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sector_breakdown/Transport/"/>
    </mc:Choice>
  </mc:AlternateContent>
  <xr:revisionPtr revIDLastSave="2" documentId="13_ncr:1_{099EE414-E1E4-46B2-9983-CE1E03D5B2F0}" xr6:coauthVersionLast="47" xr6:coauthVersionMax="47" xr10:uidLastSave="{9884D0C3-89CD-4BD0-A239-AEE7BA99B6D7}"/>
  <bookViews>
    <workbookView xWindow="-120" yWindow="-120" windowWidth="29040" windowHeight="15720" firstSheet="4" activeTab="10" xr2:uid="{AECA1210-71DA-4195-AC79-DBA8B806F380}"/>
  </bookViews>
  <sheets>
    <sheet name="Energy consumption" sheetId="1" r:id="rId1"/>
    <sheet name="Energy demand" sheetId="3" r:id="rId2"/>
    <sheet name="GDP vs energy demand" sheetId="4" r:id="rId3"/>
    <sheet name="Emissions" sheetId="6" r:id="rId4"/>
    <sheet name="Vehicle cost" sheetId="7" r:id="rId5"/>
    <sheet name="Vehicle number" sheetId="10" r:id="rId6"/>
    <sheet name="New registration heavy duty" sheetId="8" r:id="rId7"/>
    <sheet name="New registration light duty" sheetId="9" r:id="rId8"/>
    <sheet name="S-shaped curve" sheetId="11" r:id="rId9"/>
    <sheet name="Hoja1" sheetId="12" r:id="rId10"/>
    <sheet name="OVERLEAF" sheetId="5" r:id="rId11"/>
  </sheets>
  <externalReferences>
    <externalReference r:id="rId12"/>
    <externalReference r:id="rId13"/>
  </externalReferences>
  <definedNames>
    <definedName name="solver_adj" localSheetId="8" hidden="1">'S-shaped curve'!$Q$7:$Q$11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8" hidden="1">1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mip" localSheetId="8" hidden="1">2147483647</definedName>
    <definedName name="solver_mni" localSheetId="8" hidden="1">30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0</definedName>
    <definedName name="solver_nwt" localSheetId="8" hidden="1">1</definedName>
    <definedName name="solver_opt" localSheetId="8" hidden="1">'S-shaped curve'!$H$36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8" hidden="1">1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1</definedName>
    <definedName name="solver_typ" localSheetId="8" hidden="1">2</definedName>
    <definedName name="solver_val" localSheetId="8" hidden="1">0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7" l="1"/>
  <c r="AG9" i="3" l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AG36" i="3" s="1"/>
  <c r="AG37" i="3" s="1"/>
  <c r="AG38" i="3" s="1"/>
  <c r="AG39" i="3" s="1"/>
  <c r="U38" i="7"/>
  <c r="V38" i="7"/>
  <c r="W38" i="7"/>
  <c r="X38" i="7"/>
  <c r="U39" i="7"/>
  <c r="V39" i="7"/>
  <c r="W39" i="7"/>
  <c r="X39" i="7"/>
  <c r="U40" i="7"/>
  <c r="V40" i="7"/>
  <c r="W40" i="7"/>
  <c r="X40" i="7"/>
  <c r="U41" i="7"/>
  <c r="V41" i="7"/>
  <c r="W41" i="7"/>
  <c r="X41" i="7"/>
  <c r="V37" i="7"/>
  <c r="W37" i="7"/>
  <c r="X37" i="7"/>
  <c r="U37" i="7"/>
  <c r="U32" i="7"/>
  <c r="V32" i="7"/>
  <c r="W32" i="7"/>
  <c r="X32" i="7"/>
  <c r="U33" i="7"/>
  <c r="V33" i="7"/>
  <c r="W33" i="7"/>
  <c r="X33" i="7"/>
  <c r="U34" i="7"/>
  <c r="V34" i="7"/>
  <c r="W34" i="7"/>
  <c r="X34" i="7"/>
  <c r="U35" i="7"/>
  <c r="V35" i="7"/>
  <c r="W35" i="7"/>
  <c r="X35" i="7"/>
  <c r="V31" i="7"/>
  <c r="W31" i="7"/>
  <c r="X31" i="7"/>
  <c r="U31" i="7"/>
  <c r="G25" i="7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24" i="7"/>
  <c r="N31" i="7" s="1"/>
  <c r="N32" i="7" s="1"/>
  <c r="N33" i="7" s="1"/>
  <c r="N34" i="7" s="1"/>
  <c r="N35" i="7" s="1"/>
  <c r="K15" i="7"/>
  <c r="N7" i="11"/>
  <c r="N9" i="11"/>
  <c r="N11" i="11"/>
  <c r="N13" i="11"/>
  <c r="N15" i="11"/>
  <c r="N17" i="11"/>
  <c r="N19" i="11"/>
  <c r="N21" i="11"/>
  <c r="N23" i="11"/>
  <c r="N25" i="11"/>
  <c r="N27" i="11"/>
  <c r="N29" i="11"/>
  <c r="N31" i="11"/>
  <c r="N33" i="11"/>
  <c r="N35" i="11"/>
  <c r="Q5" i="11"/>
  <c r="I5" i="11"/>
  <c r="L6" i="1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I6" i="11"/>
  <c r="I9" i="12"/>
  <c r="J20" i="12"/>
  <c r="C39" i="5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I7" i="11" l="1"/>
  <c r="I8" i="11"/>
  <c r="I9" i="11"/>
  <c r="I10" i="11"/>
  <c r="I11" i="11"/>
  <c r="I12" i="11"/>
  <c r="I13" i="11"/>
  <c r="I14" i="11"/>
  <c r="I15" i="11"/>
  <c r="Q6" i="11"/>
  <c r="N142" i="11"/>
  <c r="N141" i="11"/>
  <c r="N140" i="11"/>
  <c r="N139" i="11"/>
  <c r="N138" i="11"/>
  <c r="N137" i="11"/>
  <c r="N136" i="11"/>
  <c r="N135" i="11"/>
  <c r="N134" i="11"/>
  <c r="N133" i="11"/>
  <c r="N132" i="11"/>
  <c r="N131" i="11"/>
  <c r="N130" i="11"/>
  <c r="N129" i="11"/>
  <c r="N128" i="11"/>
  <c r="N127" i="11"/>
  <c r="K98" i="11"/>
  <c r="K99" i="11" s="1"/>
  <c r="K100" i="11" s="1"/>
  <c r="K101" i="11" s="1"/>
  <c r="K102" i="11" s="1"/>
  <c r="K103" i="11" s="1"/>
  <c r="K104" i="11" s="1"/>
  <c r="K105" i="11" s="1"/>
  <c r="K106" i="11" s="1"/>
  <c r="K107" i="11" s="1"/>
  <c r="K108" i="11" s="1"/>
  <c r="K109" i="11" s="1"/>
  <c r="K110" i="11" s="1"/>
  <c r="K111" i="11" s="1"/>
  <c r="K112" i="11" s="1"/>
  <c r="K113" i="11" s="1"/>
  <c r="K114" i="11" s="1"/>
  <c r="K115" i="11" s="1"/>
  <c r="K116" i="11" s="1"/>
  <c r="K117" i="11" s="1"/>
  <c r="K118" i="11" s="1"/>
  <c r="K119" i="11" s="1"/>
  <c r="K120" i="11" s="1"/>
  <c r="K121" i="11" s="1"/>
  <c r="K122" i="11" s="1"/>
  <c r="K123" i="11" s="1"/>
  <c r="K124" i="11" s="1"/>
  <c r="K125" i="11" s="1"/>
  <c r="K126" i="11" s="1"/>
  <c r="K127" i="11" s="1"/>
  <c r="J98" i="11"/>
  <c r="J99" i="11" s="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B6" i="11"/>
  <c r="B7" i="11" s="1"/>
  <c r="J4" i="11"/>
  <c r="I4" i="11"/>
  <c r="E34" i="6"/>
  <c r="R4" i="5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T34" i="5" s="1"/>
  <c r="S21" i="5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5" i="5"/>
  <c r="S6" i="5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4" i="5"/>
  <c r="J4" i="10"/>
  <c r="O19" i="10"/>
  <c r="J19" i="10"/>
  <c r="O18" i="10"/>
  <c r="J18" i="10"/>
  <c r="O17" i="10"/>
  <c r="J17" i="10"/>
  <c r="O16" i="10"/>
  <c r="J16" i="10"/>
  <c r="O15" i="10"/>
  <c r="J15" i="10"/>
  <c r="O14" i="10"/>
  <c r="J14" i="10"/>
  <c r="O13" i="10"/>
  <c r="J13" i="10"/>
  <c r="O12" i="10"/>
  <c r="J12" i="10"/>
  <c r="O11" i="10"/>
  <c r="J11" i="10"/>
  <c r="O10" i="10"/>
  <c r="J10" i="10"/>
  <c r="O9" i="10"/>
  <c r="J9" i="10"/>
  <c r="O8" i="10"/>
  <c r="J8" i="10"/>
  <c r="O7" i="10"/>
  <c r="J7" i="10"/>
  <c r="O6" i="10"/>
  <c r="J6" i="10"/>
  <c r="O5" i="10"/>
  <c r="J5" i="10"/>
  <c r="O4" i="10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K128" i="11" l="1"/>
  <c r="K129" i="11" s="1"/>
  <c r="K130" i="11" s="1"/>
  <c r="K131" i="11" s="1"/>
  <c r="K132" i="11" s="1"/>
  <c r="K133" i="11" s="1"/>
  <c r="K134" i="11" s="1"/>
  <c r="K135" i="11" s="1"/>
  <c r="K136" i="11" s="1"/>
  <c r="K137" i="11" s="1"/>
  <c r="K138" i="11" s="1"/>
  <c r="K139" i="11" s="1"/>
  <c r="K140" i="11" s="1"/>
  <c r="K141" i="11" s="1"/>
  <c r="K142" i="11" s="1"/>
  <c r="B8" i="11"/>
  <c r="J100" i="11"/>
  <c r="J39" i="9"/>
  <c r="J41" i="9" s="1"/>
  <c r="I39" i="9"/>
  <c r="I41" i="9" s="1"/>
  <c r="H39" i="9"/>
  <c r="H41" i="9" s="1"/>
  <c r="G39" i="9"/>
  <c r="G41" i="9" s="1"/>
  <c r="F39" i="9"/>
  <c r="F41" i="9" s="1"/>
  <c r="E39" i="9"/>
  <c r="E41" i="9" s="1"/>
  <c r="E32" i="9"/>
  <c r="J31" i="9"/>
  <c r="K30" i="9"/>
  <c r="K39" i="9" s="1"/>
  <c r="K41" i="9" s="1"/>
  <c r="D14" i="9"/>
  <c r="D39" i="9" s="1"/>
  <c r="D41" i="9" s="1"/>
  <c r="C14" i="9"/>
  <c r="B14" i="9" s="1"/>
  <c r="B39" i="9" s="1"/>
  <c r="B41" i="9" s="1"/>
  <c r="G10" i="8"/>
  <c r="H10" i="8" s="1"/>
  <c r="D10" i="8"/>
  <c r="H9" i="8"/>
  <c r="G9" i="8"/>
  <c r="D9" i="8"/>
  <c r="G8" i="8"/>
  <c r="D8" i="8"/>
  <c r="G7" i="8"/>
  <c r="H7" i="8" s="1"/>
  <c r="D7" i="8"/>
  <c r="G6" i="8"/>
  <c r="H6" i="8" s="1"/>
  <c r="D6" i="8"/>
  <c r="G5" i="8"/>
  <c r="H5" i="8" s="1"/>
  <c r="D5" i="8"/>
  <c r="A5" i="8"/>
  <c r="A6" i="8" s="1"/>
  <c r="A7" i="8" s="1"/>
  <c r="A8" i="8" s="1"/>
  <c r="A9" i="8" s="1"/>
  <c r="A10" i="8" s="1"/>
  <c r="G4" i="8"/>
  <c r="D4" i="8"/>
  <c r="H4" i="8" s="1"/>
  <c r="H8" i="8" l="1"/>
  <c r="I4" i="8" s="1"/>
  <c r="B9" i="11"/>
  <c r="J101" i="11"/>
  <c r="C39" i="9"/>
  <c r="C41" i="9" s="1"/>
  <c r="L41" i="9" s="1"/>
  <c r="J102" i="11" l="1"/>
  <c r="B10" i="11"/>
  <c r="M59" i="5"/>
  <c r="N59" i="5"/>
  <c r="O59" i="5"/>
  <c r="P59" i="5"/>
  <c r="M60" i="5"/>
  <c r="N60" i="5"/>
  <c r="O60" i="5"/>
  <c r="P60" i="5"/>
  <c r="M61" i="5"/>
  <c r="N61" i="5"/>
  <c r="O61" i="5"/>
  <c r="P61" i="5"/>
  <c r="M62" i="5"/>
  <c r="N62" i="5"/>
  <c r="O62" i="5"/>
  <c r="P62" i="5"/>
  <c r="M63" i="5"/>
  <c r="N63" i="5"/>
  <c r="O63" i="5"/>
  <c r="P63" i="5"/>
  <c r="N58" i="5"/>
  <c r="O58" i="5"/>
  <c r="P58" i="5"/>
  <c r="M58" i="5"/>
  <c r="M37" i="5"/>
  <c r="N37" i="5"/>
  <c r="O37" i="5"/>
  <c r="P37" i="5"/>
  <c r="M38" i="5"/>
  <c r="N38" i="5"/>
  <c r="O38" i="5"/>
  <c r="P38" i="5"/>
  <c r="M39" i="5"/>
  <c r="N39" i="5"/>
  <c r="O39" i="5"/>
  <c r="P39" i="5"/>
  <c r="M40" i="5"/>
  <c r="N40" i="5"/>
  <c r="O40" i="5"/>
  <c r="P40" i="5"/>
  <c r="M41" i="5"/>
  <c r="N41" i="5"/>
  <c r="O41" i="5"/>
  <c r="P41" i="5"/>
  <c r="N36" i="5"/>
  <c r="O36" i="5"/>
  <c r="P36" i="5"/>
  <c r="M36" i="5"/>
  <c r="L37" i="5"/>
  <c r="M13" i="5"/>
  <c r="N13" i="5"/>
  <c r="O13" i="5"/>
  <c r="P13" i="5"/>
  <c r="M14" i="5"/>
  <c r="N14" i="5"/>
  <c r="O14" i="5"/>
  <c r="P14" i="5"/>
  <c r="M15" i="5"/>
  <c r="N15" i="5"/>
  <c r="O15" i="5"/>
  <c r="P15" i="5"/>
  <c r="M16" i="5"/>
  <c r="N16" i="5"/>
  <c r="O16" i="5"/>
  <c r="P16" i="5"/>
  <c r="M17" i="5"/>
  <c r="N17" i="5"/>
  <c r="O17" i="5"/>
  <c r="P17" i="5"/>
  <c r="N12" i="5"/>
  <c r="O12" i="5"/>
  <c r="P12" i="5"/>
  <c r="M12" i="5"/>
  <c r="L28" i="5"/>
  <c r="C35" i="7"/>
  <c r="D35" i="7"/>
  <c r="E35" i="7"/>
  <c r="F35" i="7"/>
  <c r="C36" i="7"/>
  <c r="D36" i="7"/>
  <c r="E36" i="7"/>
  <c r="F36" i="7"/>
  <c r="C37" i="7"/>
  <c r="D37" i="7"/>
  <c r="E37" i="7"/>
  <c r="F37" i="7"/>
  <c r="C38" i="7"/>
  <c r="D38" i="7"/>
  <c r="E38" i="7"/>
  <c r="F38" i="7"/>
  <c r="C39" i="7"/>
  <c r="D39" i="7"/>
  <c r="E39" i="7"/>
  <c r="F39" i="7"/>
  <c r="C40" i="7"/>
  <c r="D40" i="7"/>
  <c r="E40" i="7"/>
  <c r="F40" i="7"/>
  <c r="C41" i="7"/>
  <c r="D41" i="7"/>
  <c r="E41" i="7"/>
  <c r="F41" i="7"/>
  <c r="C42" i="7"/>
  <c r="D42" i="7"/>
  <c r="E42" i="7"/>
  <c r="F42" i="7"/>
  <c r="C43" i="7"/>
  <c r="D43" i="7"/>
  <c r="E43" i="7"/>
  <c r="F43" i="7"/>
  <c r="B11" i="11" l="1"/>
  <c r="J103" i="11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48" i="7"/>
  <c r="F91" i="7"/>
  <c r="E91" i="7"/>
  <c r="D91" i="7"/>
  <c r="C91" i="7"/>
  <c r="F90" i="7"/>
  <c r="E90" i="7"/>
  <c r="D90" i="7"/>
  <c r="C90" i="7"/>
  <c r="F89" i="7"/>
  <c r="E89" i="7"/>
  <c r="D89" i="7"/>
  <c r="C89" i="7"/>
  <c r="F88" i="7"/>
  <c r="E88" i="7"/>
  <c r="D88" i="7"/>
  <c r="C88" i="7"/>
  <c r="F87" i="7"/>
  <c r="E87" i="7"/>
  <c r="D87" i="7"/>
  <c r="C87" i="7"/>
  <c r="F86" i="7"/>
  <c r="E86" i="7"/>
  <c r="D86" i="7"/>
  <c r="C86" i="7"/>
  <c r="F85" i="7"/>
  <c r="E85" i="7"/>
  <c r="D85" i="7"/>
  <c r="C85" i="7"/>
  <c r="F84" i="7"/>
  <c r="E84" i="7"/>
  <c r="D84" i="7"/>
  <c r="C84" i="7"/>
  <c r="F83" i="7"/>
  <c r="E83" i="7"/>
  <c r="D83" i="7"/>
  <c r="C83" i="7"/>
  <c r="F82" i="7"/>
  <c r="E82" i="7"/>
  <c r="D82" i="7"/>
  <c r="C82" i="7"/>
  <c r="F81" i="7"/>
  <c r="E81" i="7"/>
  <c r="D81" i="7"/>
  <c r="C81" i="7"/>
  <c r="F80" i="7"/>
  <c r="E80" i="7"/>
  <c r="D80" i="7"/>
  <c r="C80" i="7"/>
  <c r="F79" i="7"/>
  <c r="E79" i="7"/>
  <c r="D79" i="7"/>
  <c r="C79" i="7"/>
  <c r="F78" i="7"/>
  <c r="E78" i="7"/>
  <c r="D78" i="7"/>
  <c r="C78" i="7"/>
  <c r="F77" i="7"/>
  <c r="E77" i="7"/>
  <c r="D77" i="7"/>
  <c r="C77" i="7"/>
  <c r="F76" i="7"/>
  <c r="E76" i="7"/>
  <c r="D76" i="7"/>
  <c r="C76" i="7"/>
  <c r="F75" i="7"/>
  <c r="E75" i="7"/>
  <c r="D75" i="7"/>
  <c r="C75" i="7"/>
  <c r="F74" i="7"/>
  <c r="E74" i="7"/>
  <c r="D74" i="7"/>
  <c r="C74" i="7"/>
  <c r="F73" i="7"/>
  <c r="E73" i="7"/>
  <c r="D73" i="7"/>
  <c r="C73" i="7"/>
  <c r="G72" i="7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F72" i="7"/>
  <c r="E72" i="7"/>
  <c r="D72" i="7"/>
  <c r="C72" i="7"/>
  <c r="H13" i="7"/>
  <c r="H12" i="7"/>
  <c r="H11" i="7"/>
  <c r="F67" i="7"/>
  <c r="F66" i="7"/>
  <c r="F65" i="7"/>
  <c r="F64" i="7"/>
  <c r="F63" i="7"/>
  <c r="F62" i="7"/>
  <c r="F61" i="7"/>
  <c r="F60" i="7"/>
  <c r="F59" i="7"/>
  <c r="F58" i="7"/>
  <c r="F57" i="7"/>
  <c r="I57" i="7" s="1"/>
  <c r="F56" i="7"/>
  <c r="F55" i="7"/>
  <c r="F54" i="7"/>
  <c r="F53" i="7"/>
  <c r="F52" i="7"/>
  <c r="F51" i="7"/>
  <c r="F50" i="7"/>
  <c r="F49" i="7"/>
  <c r="I49" i="7" s="1"/>
  <c r="G48" i="7"/>
  <c r="F48" i="7"/>
  <c r="E25" i="7"/>
  <c r="E26" i="7"/>
  <c r="E27" i="7"/>
  <c r="E28" i="7"/>
  <c r="E29" i="7"/>
  <c r="E30" i="7"/>
  <c r="E31" i="7"/>
  <c r="E32" i="7"/>
  <c r="E33" i="7"/>
  <c r="E34" i="7"/>
  <c r="E24" i="7"/>
  <c r="D25" i="7"/>
  <c r="D26" i="7"/>
  <c r="D27" i="7"/>
  <c r="D28" i="7"/>
  <c r="D29" i="7"/>
  <c r="D30" i="7"/>
  <c r="D31" i="7"/>
  <c r="D32" i="7"/>
  <c r="D33" i="7"/>
  <c r="D34" i="7"/>
  <c r="D24" i="7"/>
  <c r="C29" i="7"/>
  <c r="C30" i="7"/>
  <c r="C31" i="7"/>
  <c r="C32" i="7"/>
  <c r="C33" i="7"/>
  <c r="C34" i="7"/>
  <c r="F25" i="7"/>
  <c r="F26" i="7"/>
  <c r="F27" i="7"/>
  <c r="F28" i="7"/>
  <c r="F29" i="7"/>
  <c r="F30" i="7"/>
  <c r="F31" i="7"/>
  <c r="F32" i="7"/>
  <c r="F33" i="7"/>
  <c r="F34" i="7"/>
  <c r="I50" i="7" l="1"/>
  <c r="I58" i="7"/>
  <c r="J104" i="11"/>
  <c r="B12" i="11"/>
  <c r="J48" i="7"/>
  <c r="H24" i="7"/>
  <c r="I61" i="7"/>
  <c r="I48" i="7"/>
  <c r="I60" i="7"/>
  <c r="I66" i="7"/>
  <c r="I65" i="7"/>
  <c r="I64" i="7"/>
  <c r="I51" i="7"/>
  <c r="I59" i="7"/>
  <c r="I67" i="7"/>
  <c r="I53" i="7"/>
  <c r="I62" i="7"/>
  <c r="I55" i="7"/>
  <c r="I63" i="7"/>
  <c r="I52" i="7"/>
  <c r="I54" i="7"/>
  <c r="I56" i="7"/>
  <c r="H73" i="7"/>
  <c r="H72" i="7"/>
  <c r="H48" i="7"/>
  <c r="K48" i="7" s="1"/>
  <c r="G49" i="7"/>
  <c r="J49" i="7" s="1"/>
  <c r="J105" i="11" l="1"/>
  <c r="B13" i="11"/>
  <c r="H35" i="7"/>
  <c r="H74" i="7"/>
  <c r="H25" i="7"/>
  <c r="H49" i="7"/>
  <c r="K49" i="7" s="1"/>
  <c r="G50" i="7"/>
  <c r="J50" i="7" s="1"/>
  <c r="J106" i="11" l="1"/>
  <c r="B14" i="11"/>
  <c r="H36" i="7"/>
  <c r="H75" i="7"/>
  <c r="H26" i="7"/>
  <c r="G51" i="7"/>
  <c r="J51" i="7" s="1"/>
  <c r="H50" i="7"/>
  <c r="K50" i="7" s="1"/>
  <c r="H27" i="7"/>
  <c r="F14" i="11" l="1"/>
  <c r="B15" i="11"/>
  <c r="J107" i="11"/>
  <c r="H37" i="7"/>
  <c r="H76" i="7"/>
  <c r="G52" i="7"/>
  <c r="J52" i="7" s="1"/>
  <c r="H51" i="7"/>
  <c r="K51" i="7" s="1"/>
  <c r="H28" i="7"/>
  <c r="F15" i="11" l="1"/>
  <c r="B16" i="11"/>
  <c r="J108" i="11"/>
  <c r="H38" i="7"/>
  <c r="H77" i="7"/>
  <c r="G53" i="7"/>
  <c r="J53" i="7" s="1"/>
  <c r="H52" i="7"/>
  <c r="K52" i="7" s="1"/>
  <c r="H29" i="7"/>
  <c r="H15" i="11" l="1"/>
  <c r="F16" i="11"/>
  <c r="B17" i="11"/>
  <c r="J109" i="11"/>
  <c r="H39" i="7"/>
  <c r="H78" i="7"/>
  <c r="G54" i="7"/>
  <c r="J54" i="7" s="1"/>
  <c r="H53" i="7"/>
  <c r="K53" i="7" s="1"/>
  <c r="H30" i="7"/>
  <c r="H16" i="11" l="1"/>
  <c r="F17" i="11"/>
  <c r="J110" i="11"/>
  <c r="B18" i="11"/>
  <c r="H40" i="7"/>
  <c r="H79" i="7"/>
  <c r="G55" i="7"/>
  <c r="J55" i="7" s="1"/>
  <c r="H54" i="7"/>
  <c r="K54" i="7" s="1"/>
  <c r="H31" i="7"/>
  <c r="H17" i="11" l="1"/>
  <c r="F18" i="11"/>
  <c r="B19" i="11"/>
  <c r="J111" i="11"/>
  <c r="H41" i="7"/>
  <c r="H80" i="7"/>
  <c r="G56" i="7"/>
  <c r="J56" i="7" s="1"/>
  <c r="H55" i="7"/>
  <c r="K55" i="7" s="1"/>
  <c r="H32" i="7"/>
  <c r="H18" i="11" l="1"/>
  <c r="F19" i="11"/>
  <c r="J112" i="11"/>
  <c r="B20" i="11"/>
  <c r="H42" i="7"/>
  <c r="H81" i="7"/>
  <c r="G57" i="7"/>
  <c r="J57" i="7" s="1"/>
  <c r="H56" i="7"/>
  <c r="K56" i="7" s="1"/>
  <c r="H33" i="7"/>
  <c r="H19" i="11" l="1"/>
  <c r="F20" i="11"/>
  <c r="J113" i="11"/>
  <c r="B21" i="11"/>
  <c r="H43" i="7"/>
  <c r="H82" i="7"/>
  <c r="G58" i="7"/>
  <c r="J58" i="7" s="1"/>
  <c r="H57" i="7"/>
  <c r="K57" i="7" s="1"/>
  <c r="H34" i="7"/>
  <c r="H20" i="11" l="1"/>
  <c r="F21" i="11"/>
  <c r="B22" i="11"/>
  <c r="J114" i="11"/>
  <c r="H83" i="7"/>
  <c r="G59" i="7"/>
  <c r="J59" i="7" s="1"/>
  <c r="H58" i="7"/>
  <c r="K58" i="7" s="1"/>
  <c r="E6" i="11" l="1"/>
  <c r="E5" i="11"/>
  <c r="G5" i="11" s="1"/>
  <c r="E7" i="11"/>
  <c r="E8" i="11"/>
  <c r="E9" i="11"/>
  <c r="E10" i="11"/>
  <c r="E11" i="11"/>
  <c r="E12" i="11"/>
  <c r="E13" i="11"/>
  <c r="E14" i="11"/>
  <c r="H21" i="11"/>
  <c r="E22" i="11"/>
  <c r="F22" i="11"/>
  <c r="E15" i="11"/>
  <c r="E16" i="11"/>
  <c r="E17" i="11"/>
  <c r="E18" i="11"/>
  <c r="E19" i="11"/>
  <c r="E20" i="11"/>
  <c r="E21" i="11"/>
  <c r="J115" i="11"/>
  <c r="B23" i="11"/>
  <c r="H84" i="7"/>
  <c r="G60" i="7"/>
  <c r="J60" i="7" s="1"/>
  <c r="H59" i="7"/>
  <c r="K59" i="7" s="1"/>
  <c r="G20" i="11" l="1"/>
  <c r="G12" i="11"/>
  <c r="G7" i="11"/>
  <c r="G10" i="11"/>
  <c r="G21" i="11"/>
  <c r="G19" i="11"/>
  <c r="G17" i="11"/>
  <c r="G9" i="11"/>
  <c r="G22" i="11"/>
  <c r="G16" i="11"/>
  <c r="G8" i="11"/>
  <c r="G11" i="11"/>
  <c r="G6" i="11"/>
  <c r="G13" i="11"/>
  <c r="G18" i="11"/>
  <c r="G15" i="11"/>
  <c r="G14" i="11"/>
  <c r="H22" i="11"/>
  <c r="E23" i="11"/>
  <c r="F23" i="11"/>
  <c r="J116" i="11"/>
  <c r="B24" i="11"/>
  <c r="H85" i="7"/>
  <c r="G61" i="7"/>
  <c r="J61" i="7" s="1"/>
  <c r="H60" i="7"/>
  <c r="K60" i="7" s="1"/>
  <c r="H23" i="11" l="1"/>
  <c r="G23" i="11"/>
  <c r="E24" i="11"/>
  <c r="F24" i="11"/>
  <c r="J117" i="11"/>
  <c r="B25" i="11"/>
  <c r="H86" i="7"/>
  <c r="G62" i="7"/>
  <c r="J62" i="7" s="1"/>
  <c r="H61" i="7"/>
  <c r="K61" i="7" s="1"/>
  <c r="H24" i="11" l="1"/>
  <c r="G24" i="11"/>
  <c r="E25" i="11"/>
  <c r="F25" i="11"/>
  <c r="B26" i="11"/>
  <c r="J118" i="11"/>
  <c r="H87" i="7"/>
  <c r="G63" i="7"/>
  <c r="J63" i="7" s="1"/>
  <c r="H62" i="7"/>
  <c r="K62" i="7" s="1"/>
  <c r="G25" i="11" l="1"/>
  <c r="H25" i="11"/>
  <c r="E26" i="11"/>
  <c r="F26" i="11"/>
  <c r="J119" i="11"/>
  <c r="B27" i="11"/>
  <c r="H88" i="7"/>
  <c r="G64" i="7"/>
  <c r="J64" i="7" s="1"/>
  <c r="H63" i="7"/>
  <c r="K63" i="7" s="1"/>
  <c r="H26" i="11" l="1"/>
  <c r="G26" i="11"/>
  <c r="E27" i="11"/>
  <c r="F27" i="11"/>
  <c r="B28" i="11"/>
  <c r="J120" i="11"/>
  <c r="H89" i="7"/>
  <c r="G65" i="7"/>
  <c r="J65" i="7" s="1"/>
  <c r="H64" i="7"/>
  <c r="K64" i="7" s="1"/>
  <c r="G27" i="11" l="1"/>
  <c r="H27" i="11"/>
  <c r="E28" i="11"/>
  <c r="F28" i="11"/>
  <c r="B29" i="11"/>
  <c r="J121" i="11"/>
  <c r="H90" i="7"/>
  <c r="H65" i="7"/>
  <c r="K65" i="7" s="1"/>
  <c r="G66" i="7"/>
  <c r="J66" i="7" l="1"/>
  <c r="G67" i="7"/>
  <c r="G28" i="11"/>
  <c r="H28" i="11"/>
  <c r="E29" i="11"/>
  <c r="F29" i="11"/>
  <c r="J122" i="11"/>
  <c r="B30" i="11"/>
  <c r="H91" i="7"/>
  <c r="H66" i="7"/>
  <c r="K66" i="7" s="1"/>
  <c r="J67" i="7"/>
  <c r="H29" i="11" l="1"/>
  <c r="G29" i="11"/>
  <c r="E30" i="11"/>
  <c r="F30" i="11"/>
  <c r="K23" i="11" s="1"/>
  <c r="M23" i="11" s="1"/>
  <c r="J123" i="11"/>
  <c r="B31" i="11"/>
  <c r="H67" i="7"/>
  <c r="K67" i="7" s="1"/>
  <c r="O23" i="11" l="1"/>
  <c r="H30" i="11"/>
  <c r="G30" i="11"/>
  <c r="E31" i="11"/>
  <c r="B32" i="11"/>
  <c r="J124" i="11"/>
  <c r="Q123" i="11" s="1"/>
  <c r="C25" i="7"/>
  <c r="C26" i="7"/>
  <c r="C27" i="7"/>
  <c r="C28" i="7"/>
  <c r="C24" i="7"/>
  <c r="H6" i="7"/>
  <c r="H7" i="7"/>
  <c r="H5" i="7"/>
  <c r="H18" i="7"/>
  <c r="H19" i="7"/>
  <c r="K72" i="7" s="1"/>
  <c r="H17" i="7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4" i="5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7" i="3"/>
  <c r="L8" i="3"/>
  <c r="V8" i="3" s="1"/>
  <c r="L9" i="3"/>
  <c r="L10" i="3"/>
  <c r="L11" i="3"/>
  <c r="L12" i="3"/>
  <c r="L13" i="3"/>
  <c r="L14" i="3"/>
  <c r="L15" i="3"/>
  <c r="L16" i="3"/>
  <c r="V16" i="3" s="1"/>
  <c r="L17" i="3"/>
  <c r="L18" i="3"/>
  <c r="L19" i="3"/>
  <c r="L20" i="3"/>
  <c r="L21" i="3"/>
  <c r="L22" i="3"/>
  <c r="L23" i="3"/>
  <c r="L24" i="3"/>
  <c r="V24" i="3" s="1"/>
  <c r="L25" i="3"/>
  <c r="L26" i="3"/>
  <c r="L27" i="3"/>
  <c r="L28" i="3"/>
  <c r="L29" i="3"/>
  <c r="L30" i="3"/>
  <c r="L31" i="3"/>
  <c r="L32" i="3"/>
  <c r="V32" i="3" s="1"/>
  <c r="L33" i="3"/>
  <c r="L34" i="3"/>
  <c r="L35" i="3"/>
  <c r="L36" i="3"/>
  <c r="L37" i="3"/>
  <c r="L7" i="3"/>
  <c r="K8" i="3"/>
  <c r="K9" i="3"/>
  <c r="W9" i="3" s="1"/>
  <c r="K10" i="3"/>
  <c r="K11" i="3"/>
  <c r="K12" i="3"/>
  <c r="K13" i="3"/>
  <c r="K14" i="3"/>
  <c r="W14" i="3" s="1"/>
  <c r="K15" i="3"/>
  <c r="K16" i="3"/>
  <c r="K17" i="3"/>
  <c r="W17" i="3" s="1"/>
  <c r="K18" i="3"/>
  <c r="K19" i="3"/>
  <c r="K20" i="3"/>
  <c r="K21" i="3"/>
  <c r="K22" i="3"/>
  <c r="W22" i="3" s="1"/>
  <c r="K23" i="3"/>
  <c r="K24" i="3"/>
  <c r="K25" i="3"/>
  <c r="W25" i="3" s="1"/>
  <c r="K26" i="3"/>
  <c r="K27" i="3"/>
  <c r="K28" i="3"/>
  <c r="K29" i="3"/>
  <c r="K30" i="3"/>
  <c r="W30" i="3" s="1"/>
  <c r="K31" i="3"/>
  <c r="K32" i="3"/>
  <c r="K33" i="3"/>
  <c r="W33" i="3" s="1"/>
  <c r="K34" i="3"/>
  <c r="K35" i="3"/>
  <c r="K36" i="3"/>
  <c r="K37" i="3"/>
  <c r="K7" i="3"/>
  <c r="W7" i="3" s="1"/>
  <c r="AE18" i="3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E5" i="4"/>
  <c r="E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X3" i="3"/>
  <c r="W3" i="3"/>
  <c r="V3" i="3"/>
  <c r="U3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7" i="3"/>
  <c r="E8" i="3"/>
  <c r="F8" i="3" s="1"/>
  <c r="E9" i="3"/>
  <c r="F9" i="3" s="1"/>
  <c r="E10" i="3"/>
  <c r="E11" i="3"/>
  <c r="E12" i="3"/>
  <c r="E13" i="3"/>
  <c r="E14" i="3"/>
  <c r="E15" i="3"/>
  <c r="E16" i="3"/>
  <c r="F16" i="3" s="1"/>
  <c r="E17" i="3"/>
  <c r="F17" i="3" s="1"/>
  <c r="E18" i="3"/>
  <c r="E19" i="3"/>
  <c r="E20" i="3"/>
  <c r="E21" i="3"/>
  <c r="E22" i="3"/>
  <c r="E23" i="3"/>
  <c r="E24" i="3"/>
  <c r="F24" i="3" s="1"/>
  <c r="E25" i="3"/>
  <c r="F25" i="3" s="1"/>
  <c r="E26" i="3"/>
  <c r="E27" i="3"/>
  <c r="E28" i="3"/>
  <c r="E29" i="3"/>
  <c r="E30" i="3"/>
  <c r="E31" i="3"/>
  <c r="F31" i="3" s="1"/>
  <c r="E32" i="3"/>
  <c r="F32" i="3" s="1"/>
  <c r="E33" i="3"/>
  <c r="F33" i="3" s="1"/>
  <c r="E34" i="3"/>
  <c r="E35" i="3"/>
  <c r="E36" i="3"/>
  <c r="E37" i="3"/>
  <c r="E7" i="3"/>
  <c r="F7" i="3" s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Z81" i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Y81" i="1"/>
  <c r="Y82" i="1" s="1"/>
  <c r="Z45" i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Y45" i="1"/>
  <c r="Y46" i="1" s="1"/>
  <c r="Y47" i="1" s="1"/>
  <c r="Q45" i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P45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W32" i="3" l="1"/>
  <c r="W24" i="3"/>
  <c r="W16" i="3"/>
  <c r="W8" i="3"/>
  <c r="V31" i="3"/>
  <c r="V23" i="3"/>
  <c r="V15" i="3"/>
  <c r="U15" i="3"/>
  <c r="U23" i="3"/>
  <c r="U31" i="3"/>
  <c r="U34" i="3"/>
  <c r="U27" i="3"/>
  <c r="U30" i="3"/>
  <c r="U8" i="3"/>
  <c r="U16" i="3"/>
  <c r="U24" i="3"/>
  <c r="U32" i="3"/>
  <c r="U19" i="3"/>
  <c r="U35" i="3"/>
  <c r="U9" i="3"/>
  <c r="U17" i="3"/>
  <c r="U25" i="3"/>
  <c r="U33" i="3"/>
  <c r="U10" i="3"/>
  <c r="U26" i="3"/>
  <c r="U11" i="3"/>
  <c r="U22" i="3"/>
  <c r="U18" i="3"/>
  <c r="U12" i="3"/>
  <c r="U20" i="3"/>
  <c r="U28" i="3"/>
  <c r="U36" i="3"/>
  <c r="U13" i="3"/>
  <c r="U29" i="3"/>
  <c r="U37" i="3"/>
  <c r="U7" i="3"/>
  <c r="U21" i="3"/>
  <c r="U14" i="3"/>
  <c r="W31" i="3"/>
  <c r="W23" i="3"/>
  <c r="W15" i="3"/>
  <c r="V7" i="3"/>
  <c r="V30" i="3"/>
  <c r="V22" i="3"/>
  <c r="V14" i="3"/>
  <c r="V37" i="3"/>
  <c r="V29" i="3"/>
  <c r="V21" i="3"/>
  <c r="V13" i="3"/>
  <c r="W37" i="3"/>
  <c r="W29" i="3"/>
  <c r="W21" i="3"/>
  <c r="W13" i="3"/>
  <c r="V36" i="3"/>
  <c r="V28" i="3"/>
  <c r="V20" i="3"/>
  <c r="V12" i="3"/>
  <c r="X12" i="3"/>
  <c r="X20" i="3"/>
  <c r="X28" i="3"/>
  <c r="X36" i="3"/>
  <c r="X13" i="3"/>
  <c r="X21" i="3"/>
  <c r="X29" i="3"/>
  <c r="X37" i="3"/>
  <c r="X15" i="3"/>
  <c r="X23" i="3"/>
  <c r="X8" i="3"/>
  <c r="X24" i="3"/>
  <c r="X32" i="3"/>
  <c r="X14" i="3"/>
  <c r="X22" i="3"/>
  <c r="X30" i="3"/>
  <c r="X7" i="3"/>
  <c r="X31" i="3"/>
  <c r="X16" i="3"/>
  <c r="X9" i="3"/>
  <c r="X17" i="3"/>
  <c r="X25" i="3"/>
  <c r="X33" i="3"/>
  <c r="X10" i="3"/>
  <c r="X18" i="3"/>
  <c r="X26" i="3"/>
  <c r="X34" i="3"/>
  <c r="X11" i="3"/>
  <c r="X19" i="3"/>
  <c r="X27" i="3"/>
  <c r="X35" i="3"/>
  <c r="W36" i="3"/>
  <c r="W28" i="3"/>
  <c r="W20" i="3"/>
  <c r="W12" i="3"/>
  <c r="V35" i="3"/>
  <c r="V27" i="3"/>
  <c r="V19" i="3"/>
  <c r="V11" i="3"/>
  <c r="J35" i="7"/>
  <c r="J42" i="7"/>
  <c r="J37" i="7"/>
  <c r="J41" i="7"/>
  <c r="J43" i="7"/>
  <c r="J38" i="7"/>
  <c r="J36" i="7"/>
  <c r="J40" i="7"/>
  <c r="J39" i="7"/>
  <c r="J25" i="7"/>
  <c r="J26" i="7"/>
  <c r="J29" i="7"/>
  <c r="J33" i="7"/>
  <c r="J28" i="7"/>
  <c r="J32" i="7"/>
  <c r="J24" i="7"/>
  <c r="J31" i="7"/>
  <c r="J30" i="7"/>
  <c r="J27" i="7"/>
  <c r="J34" i="7"/>
  <c r="W35" i="3"/>
  <c r="W27" i="3"/>
  <c r="W19" i="3"/>
  <c r="W11" i="3"/>
  <c r="V34" i="3"/>
  <c r="V26" i="3"/>
  <c r="V18" i="3"/>
  <c r="V10" i="3"/>
  <c r="W34" i="3"/>
  <c r="W26" i="3"/>
  <c r="W18" i="3"/>
  <c r="W10" i="3"/>
  <c r="V33" i="3"/>
  <c r="V25" i="3"/>
  <c r="V17" i="3"/>
  <c r="V9" i="3"/>
  <c r="H37" i="11"/>
  <c r="H36" i="11"/>
  <c r="G31" i="11"/>
  <c r="E32" i="11"/>
  <c r="B33" i="11"/>
  <c r="Q124" i="11"/>
  <c r="Q97" i="11"/>
  <c r="Q99" i="11"/>
  <c r="Q98" i="11"/>
  <c r="J125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I41" i="7"/>
  <c r="I37" i="7"/>
  <c r="I36" i="7"/>
  <c r="I40" i="7"/>
  <c r="I43" i="7"/>
  <c r="I38" i="7"/>
  <c r="I39" i="7"/>
  <c r="I35" i="7"/>
  <c r="I42" i="7"/>
  <c r="K35" i="7"/>
  <c r="K36" i="7"/>
  <c r="K37" i="7"/>
  <c r="K38" i="7"/>
  <c r="K39" i="7"/>
  <c r="K40" i="7"/>
  <c r="K41" i="7"/>
  <c r="K42" i="7"/>
  <c r="K43" i="7"/>
  <c r="I24" i="7"/>
  <c r="I28" i="7"/>
  <c r="I76" i="7"/>
  <c r="I85" i="7"/>
  <c r="I73" i="7"/>
  <c r="I78" i="7"/>
  <c r="I77" i="7"/>
  <c r="I87" i="7"/>
  <c r="I89" i="7"/>
  <c r="I75" i="7"/>
  <c r="I79" i="7"/>
  <c r="I91" i="7"/>
  <c r="I83" i="7"/>
  <c r="I72" i="7"/>
  <c r="I86" i="7"/>
  <c r="I80" i="7"/>
  <c r="I74" i="7"/>
  <c r="I84" i="7"/>
  <c r="I82" i="7"/>
  <c r="I88" i="7"/>
  <c r="I90" i="7"/>
  <c r="I81" i="7"/>
  <c r="I27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J18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I26" i="7"/>
  <c r="I25" i="7"/>
  <c r="I34" i="7"/>
  <c r="I30" i="7"/>
  <c r="I33" i="7"/>
  <c r="I32" i="7"/>
  <c r="I31" i="7"/>
  <c r="I29" i="7"/>
  <c r="K24" i="7"/>
  <c r="K25" i="7"/>
  <c r="K26" i="7"/>
  <c r="K27" i="7"/>
  <c r="K28" i="7"/>
  <c r="K29" i="7"/>
  <c r="K30" i="7"/>
  <c r="K31" i="7"/>
  <c r="K32" i="7"/>
  <c r="K33" i="7"/>
  <c r="K34" i="7"/>
  <c r="F23" i="3"/>
  <c r="F30" i="3"/>
  <c r="F22" i="3"/>
  <c r="F14" i="3"/>
  <c r="F15" i="3"/>
  <c r="F37" i="3"/>
  <c r="F29" i="3"/>
  <c r="F21" i="3"/>
  <c r="F13" i="3"/>
  <c r="F36" i="3"/>
  <c r="F28" i="3"/>
  <c r="F20" i="3"/>
  <c r="F12" i="3"/>
  <c r="F35" i="3"/>
  <c r="F27" i="3"/>
  <c r="F19" i="3"/>
  <c r="F11" i="3"/>
  <c r="F34" i="3"/>
  <c r="F26" i="3"/>
  <c r="F18" i="3"/>
  <c r="F10" i="3"/>
  <c r="Y48" i="1"/>
  <c r="Z111" i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P46" i="1"/>
  <c r="Y83" i="1"/>
  <c r="G32" i="11" l="1"/>
  <c r="E33" i="11"/>
  <c r="B34" i="11"/>
  <c r="Q125" i="11"/>
  <c r="J126" i="11"/>
  <c r="Y14" i="3"/>
  <c r="Y33" i="3"/>
  <c r="Y20" i="3"/>
  <c r="Y23" i="3"/>
  <c r="Y12" i="3"/>
  <c r="Y13" i="3"/>
  <c r="Y21" i="3"/>
  <c r="Y27" i="3"/>
  <c r="Y7" i="3"/>
  <c r="Y31" i="3"/>
  <c r="Y24" i="3"/>
  <c r="Y25" i="3"/>
  <c r="Y17" i="3"/>
  <c r="Y10" i="3"/>
  <c r="Y9" i="3"/>
  <c r="Y34" i="3"/>
  <c r="Y32" i="3"/>
  <c r="Y28" i="3"/>
  <c r="Y29" i="3"/>
  <c r="Y15" i="3"/>
  <c r="Y19" i="3"/>
  <c r="Y36" i="3"/>
  <c r="Y37" i="3"/>
  <c r="AH8" i="3" s="1"/>
  <c r="Y11" i="3"/>
  <c r="Y8" i="3"/>
  <c r="Y35" i="3"/>
  <c r="Y16" i="3"/>
  <c r="Y22" i="3"/>
  <c r="Y18" i="3"/>
  <c r="Z18" i="3" s="1"/>
  <c r="Y30" i="3"/>
  <c r="Y26" i="3"/>
  <c r="Y84" i="1"/>
  <c r="Y49" i="1"/>
  <c r="P47" i="1"/>
  <c r="G33" i="11" l="1"/>
  <c r="E34" i="11"/>
  <c r="Q126" i="11"/>
  <c r="J127" i="11"/>
  <c r="B35" i="11"/>
  <c r="Z10" i="3"/>
  <c r="Z32" i="3"/>
  <c r="Z14" i="3"/>
  <c r="Z15" i="3"/>
  <c r="Z13" i="3"/>
  <c r="Z24" i="3"/>
  <c r="Z11" i="3"/>
  <c r="Z22" i="3"/>
  <c r="Z16" i="3"/>
  <c r="Z34" i="3"/>
  <c r="Z21" i="3"/>
  <c r="Z37" i="3"/>
  <c r="Z20" i="3"/>
  <c r="Z28" i="3"/>
  <c r="Z25" i="3"/>
  <c r="Z33" i="3"/>
  <c r="Z8" i="3"/>
  <c r="Z29" i="3"/>
  <c r="Z17" i="3"/>
  <c r="Z9" i="3"/>
  <c r="Z26" i="3"/>
  <c r="Z36" i="3"/>
  <c r="Z30" i="3"/>
  <c r="Z35" i="3"/>
  <c r="Z27" i="3"/>
  <c r="Z19" i="3"/>
  <c r="Z12" i="3"/>
  <c r="Z23" i="3"/>
  <c r="Z31" i="3"/>
  <c r="Y50" i="1"/>
  <c r="Y85" i="1"/>
  <c r="P48" i="1"/>
  <c r="G34" i="11" l="1"/>
  <c r="E35" i="11"/>
  <c r="J34" i="11" s="1"/>
  <c r="K30" i="11"/>
  <c r="M37" i="11" s="1"/>
  <c r="Q127" i="11"/>
  <c r="J128" i="11"/>
  <c r="AB31" i="3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B18" i="3"/>
  <c r="Y86" i="1"/>
  <c r="P49" i="1"/>
  <c r="Y51" i="1"/>
  <c r="J30" i="11" l="1"/>
  <c r="J31" i="11"/>
  <c r="K14" i="11"/>
  <c r="M5" i="11" s="1"/>
  <c r="K15" i="11"/>
  <c r="M7" i="11" s="1"/>
  <c r="K16" i="11"/>
  <c r="M9" i="11" s="1"/>
  <c r="K17" i="11"/>
  <c r="M11" i="11" s="1"/>
  <c r="K20" i="11"/>
  <c r="M17" i="11" s="1"/>
  <c r="K18" i="11"/>
  <c r="M13" i="11" s="1"/>
  <c r="K19" i="11"/>
  <c r="M15" i="11" s="1"/>
  <c r="K21" i="11"/>
  <c r="M19" i="11" s="1"/>
  <c r="K24" i="11"/>
  <c r="M25" i="11" s="1"/>
  <c r="K22" i="11"/>
  <c r="M21" i="11" s="1"/>
  <c r="K26" i="11"/>
  <c r="M29" i="11" s="1"/>
  <c r="K25" i="11"/>
  <c r="M27" i="11" s="1"/>
  <c r="K28" i="11"/>
  <c r="M33" i="11" s="1"/>
  <c r="K27" i="11"/>
  <c r="M31" i="11" s="1"/>
  <c r="K29" i="11"/>
  <c r="M35" i="11" s="1"/>
  <c r="J35" i="11"/>
  <c r="G35" i="11"/>
  <c r="G36" i="11" s="1"/>
  <c r="J12" i="11"/>
  <c r="J19" i="11"/>
  <c r="J21" i="11"/>
  <c r="J11" i="11"/>
  <c r="J17" i="11"/>
  <c r="J14" i="11"/>
  <c r="J8" i="11"/>
  <c r="J6" i="11"/>
  <c r="J22" i="11"/>
  <c r="J20" i="11"/>
  <c r="J13" i="11"/>
  <c r="J23" i="11"/>
  <c r="J7" i="11"/>
  <c r="J10" i="11"/>
  <c r="J9" i="11"/>
  <c r="J18" i="11"/>
  <c r="J15" i="11"/>
  <c r="J16" i="11"/>
  <c r="J24" i="11"/>
  <c r="J25" i="11"/>
  <c r="J27" i="11"/>
  <c r="J28" i="11"/>
  <c r="J26" i="11"/>
  <c r="J33" i="11"/>
  <c r="J29" i="11"/>
  <c r="J32" i="11"/>
  <c r="Q128" i="11"/>
  <c r="J129" i="11"/>
  <c r="J5" i="11"/>
  <c r="P50" i="1"/>
  <c r="Y52" i="1"/>
  <c r="Y87" i="1"/>
  <c r="N34" i="11" l="1"/>
  <c r="O34" i="11" s="1"/>
  <c r="O33" i="11"/>
  <c r="O29" i="11"/>
  <c r="N30" i="11"/>
  <c r="O30" i="11" s="1"/>
  <c r="N10" i="11"/>
  <c r="O10" i="11" s="1"/>
  <c r="O9" i="11"/>
  <c r="O31" i="11"/>
  <c r="N32" i="11"/>
  <c r="O32" i="11" s="1"/>
  <c r="N18" i="11"/>
  <c r="O18" i="11" s="1"/>
  <c r="O17" i="11"/>
  <c r="N12" i="11"/>
  <c r="O12" i="11" s="1"/>
  <c r="O11" i="11"/>
  <c r="O13" i="11"/>
  <c r="N14" i="11"/>
  <c r="O14" i="11" s="1"/>
  <c r="O27" i="11"/>
  <c r="N28" i="11"/>
  <c r="O28" i="11" s="1"/>
  <c r="N22" i="11"/>
  <c r="O22" i="11" s="1"/>
  <c r="O21" i="11"/>
  <c r="O7" i="11"/>
  <c r="N8" i="11"/>
  <c r="O8" i="11" s="1"/>
  <c r="N26" i="11"/>
  <c r="O26" i="11" s="1"/>
  <c r="O25" i="11"/>
  <c r="N24" i="11"/>
  <c r="O24" i="11" s="1"/>
  <c r="O5" i="11"/>
  <c r="N6" i="11"/>
  <c r="O6" i="11" s="1"/>
  <c r="N20" i="11"/>
  <c r="O20" i="11" s="1"/>
  <c r="O19" i="11"/>
  <c r="N36" i="11"/>
  <c r="O36" i="11" s="1"/>
  <c r="O35" i="11"/>
  <c r="O15" i="11"/>
  <c r="N16" i="11"/>
  <c r="O16" i="11" s="1"/>
  <c r="Q129" i="11"/>
  <c r="J130" i="11"/>
  <c r="Y53" i="1"/>
  <c r="Y88" i="1"/>
  <c r="P51" i="1"/>
  <c r="J131" i="11" l="1"/>
  <c r="Q130" i="11"/>
  <c r="Y89" i="1"/>
  <c r="P52" i="1"/>
  <c r="Y54" i="1"/>
  <c r="Q131" i="11" l="1"/>
  <c r="J132" i="11"/>
  <c r="P53" i="1"/>
  <c r="Y55" i="1"/>
  <c r="Y90" i="1"/>
  <c r="J133" i="11" l="1"/>
  <c r="Q132" i="11"/>
  <c r="P54" i="1"/>
  <c r="Y56" i="1"/>
  <c r="Y91" i="1"/>
  <c r="Q133" i="11" l="1"/>
  <c r="J134" i="11"/>
  <c r="Y57" i="1"/>
  <c r="Y92" i="1"/>
  <c r="P55" i="1"/>
  <c r="J135" i="11" l="1"/>
  <c r="Q134" i="11"/>
  <c r="Y58" i="1"/>
  <c r="Y93" i="1"/>
  <c r="P56" i="1"/>
  <c r="Q135" i="11" l="1"/>
  <c r="J136" i="11"/>
  <c r="Y94" i="1"/>
  <c r="P57" i="1"/>
  <c r="Y59" i="1"/>
  <c r="J137" i="11" l="1"/>
  <c r="Q136" i="11"/>
  <c r="P58" i="1"/>
  <c r="Y60" i="1"/>
  <c r="Y95" i="1"/>
  <c r="Q137" i="11" l="1"/>
  <c r="J138" i="11"/>
  <c r="Y61" i="1"/>
  <c r="AD60" i="1" s="1"/>
  <c r="AF60" i="1" s="1"/>
  <c r="Y96" i="1"/>
  <c r="P59" i="1"/>
  <c r="J139" i="11" l="1"/>
  <c r="Q138" i="11"/>
  <c r="Y97" i="1"/>
  <c r="AC60" i="1"/>
  <c r="AE60" i="1" s="1"/>
  <c r="P60" i="1"/>
  <c r="AC61" i="1"/>
  <c r="AE61" i="1" s="1"/>
  <c r="AC44" i="1"/>
  <c r="AE44" i="1" s="1"/>
  <c r="AD44" i="1"/>
  <c r="AF44" i="1" s="1"/>
  <c r="Y62" i="1"/>
  <c r="AB61" i="1" s="1"/>
  <c r="AD61" i="1"/>
  <c r="AF61" i="1" s="1"/>
  <c r="AC46" i="1"/>
  <c r="AE46" i="1" s="1"/>
  <c r="AC47" i="1"/>
  <c r="AE47" i="1" s="1"/>
  <c r="AC45" i="1"/>
  <c r="AE45" i="1" s="1"/>
  <c r="AD47" i="1"/>
  <c r="AF47" i="1" s="1"/>
  <c r="AD46" i="1"/>
  <c r="AF46" i="1" s="1"/>
  <c r="AD45" i="1"/>
  <c r="AF45" i="1" s="1"/>
  <c r="AC48" i="1"/>
  <c r="AE48" i="1" s="1"/>
  <c r="AD48" i="1"/>
  <c r="AF48" i="1" s="1"/>
  <c r="AD49" i="1"/>
  <c r="AF49" i="1" s="1"/>
  <c r="AC49" i="1"/>
  <c r="AE49" i="1" s="1"/>
  <c r="AD50" i="1"/>
  <c r="AF50" i="1" s="1"/>
  <c r="AC50" i="1"/>
  <c r="AE50" i="1" s="1"/>
  <c r="AD51" i="1"/>
  <c r="AF51" i="1" s="1"/>
  <c r="AC51" i="1"/>
  <c r="AE51" i="1" s="1"/>
  <c r="AD52" i="1"/>
  <c r="AF52" i="1" s="1"/>
  <c r="AC52" i="1"/>
  <c r="AE52" i="1" s="1"/>
  <c r="AC53" i="1"/>
  <c r="AE53" i="1" s="1"/>
  <c r="AD53" i="1"/>
  <c r="AF53" i="1" s="1"/>
  <c r="AC54" i="1"/>
  <c r="AE54" i="1" s="1"/>
  <c r="AD54" i="1"/>
  <c r="AF54" i="1" s="1"/>
  <c r="AD55" i="1"/>
  <c r="AF55" i="1" s="1"/>
  <c r="AC55" i="1"/>
  <c r="AE55" i="1" s="1"/>
  <c r="AD56" i="1"/>
  <c r="AF56" i="1" s="1"/>
  <c r="AC56" i="1"/>
  <c r="AE56" i="1" s="1"/>
  <c r="AD57" i="1"/>
  <c r="AF57" i="1" s="1"/>
  <c r="AC57" i="1"/>
  <c r="AE57" i="1" s="1"/>
  <c r="AC58" i="1"/>
  <c r="AE58" i="1" s="1"/>
  <c r="AD58" i="1"/>
  <c r="AF58" i="1" s="1"/>
  <c r="AD59" i="1"/>
  <c r="AF59" i="1" s="1"/>
  <c r="AC59" i="1"/>
  <c r="AE59" i="1" s="1"/>
  <c r="Q139" i="11" l="1"/>
  <c r="J140" i="11"/>
  <c r="P61" i="1"/>
  <c r="T60" i="1" s="1"/>
  <c r="V60" i="1" s="1"/>
  <c r="AB62" i="1"/>
  <c r="AB44" i="1"/>
  <c r="Y63" i="1"/>
  <c r="AD62" i="1"/>
  <c r="AF62" i="1" s="1"/>
  <c r="AC62" i="1"/>
  <c r="AE62" i="1" s="1"/>
  <c r="AB47" i="1"/>
  <c r="AB46" i="1"/>
  <c r="AB45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Y98" i="1"/>
  <c r="J141" i="11" l="1"/>
  <c r="Q140" i="11"/>
  <c r="AD63" i="1"/>
  <c r="AF63" i="1" s="1"/>
  <c r="AC63" i="1"/>
  <c r="AE63" i="1" s="1"/>
  <c r="Y64" i="1"/>
  <c r="AB63" i="1"/>
  <c r="Y99" i="1"/>
  <c r="P62" i="1"/>
  <c r="S61" i="1" s="1"/>
  <c r="U61" i="1"/>
  <c r="W61" i="1" s="1"/>
  <c r="U44" i="1"/>
  <c r="W44" i="1" s="1"/>
  <c r="T61" i="1"/>
  <c r="V61" i="1" s="1"/>
  <c r="T44" i="1"/>
  <c r="V44" i="1" s="1"/>
  <c r="U45" i="1"/>
  <c r="W45" i="1" s="1"/>
  <c r="T45" i="1"/>
  <c r="V45" i="1" s="1"/>
  <c r="U46" i="1"/>
  <c r="W46" i="1" s="1"/>
  <c r="T46" i="1"/>
  <c r="V46" i="1" s="1"/>
  <c r="T47" i="1"/>
  <c r="V47" i="1" s="1"/>
  <c r="U47" i="1"/>
  <c r="W47" i="1" s="1"/>
  <c r="T48" i="1"/>
  <c r="V48" i="1" s="1"/>
  <c r="U48" i="1"/>
  <c r="W48" i="1" s="1"/>
  <c r="U49" i="1"/>
  <c r="W49" i="1" s="1"/>
  <c r="T49" i="1"/>
  <c r="V49" i="1" s="1"/>
  <c r="U50" i="1"/>
  <c r="W50" i="1" s="1"/>
  <c r="T50" i="1"/>
  <c r="V50" i="1" s="1"/>
  <c r="T51" i="1"/>
  <c r="V51" i="1" s="1"/>
  <c r="U51" i="1"/>
  <c r="W51" i="1" s="1"/>
  <c r="U52" i="1"/>
  <c r="W52" i="1" s="1"/>
  <c r="T52" i="1"/>
  <c r="V52" i="1" s="1"/>
  <c r="T53" i="1"/>
  <c r="V53" i="1" s="1"/>
  <c r="U53" i="1"/>
  <c r="W53" i="1" s="1"/>
  <c r="T54" i="1"/>
  <c r="V54" i="1" s="1"/>
  <c r="U54" i="1"/>
  <c r="W54" i="1" s="1"/>
  <c r="T55" i="1"/>
  <c r="V55" i="1" s="1"/>
  <c r="U55" i="1"/>
  <c r="W55" i="1" s="1"/>
  <c r="T56" i="1"/>
  <c r="V56" i="1" s="1"/>
  <c r="U56" i="1"/>
  <c r="W56" i="1" s="1"/>
  <c r="T57" i="1"/>
  <c r="V57" i="1" s="1"/>
  <c r="U57" i="1"/>
  <c r="W57" i="1" s="1"/>
  <c r="U58" i="1"/>
  <c r="W58" i="1" s="1"/>
  <c r="T58" i="1"/>
  <c r="V58" i="1" s="1"/>
  <c r="U59" i="1"/>
  <c r="W59" i="1" s="1"/>
  <c r="T59" i="1"/>
  <c r="V59" i="1" s="1"/>
  <c r="U60" i="1"/>
  <c r="W60" i="1" s="1"/>
  <c r="Q141" i="11" l="1"/>
  <c r="J142" i="11"/>
  <c r="Q142" i="11" s="1"/>
  <c r="Y100" i="1"/>
  <c r="Y65" i="1"/>
  <c r="AC64" i="1"/>
  <c r="AE64" i="1" s="1"/>
  <c r="AB64" i="1"/>
  <c r="AD64" i="1"/>
  <c r="AF64" i="1" s="1"/>
  <c r="P63" i="1"/>
  <c r="U62" i="1"/>
  <c r="W62" i="1" s="1"/>
  <c r="S45" i="1"/>
  <c r="T62" i="1"/>
  <c r="V62" i="1" s="1"/>
  <c r="S62" i="1"/>
  <c r="S44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Y66" i="1" l="1"/>
  <c r="AD65" i="1"/>
  <c r="AF65" i="1" s="1"/>
  <c r="AC65" i="1"/>
  <c r="AE65" i="1" s="1"/>
  <c r="AB65" i="1"/>
  <c r="T63" i="1"/>
  <c r="V63" i="1" s="1"/>
  <c r="S63" i="1"/>
  <c r="P64" i="1"/>
  <c r="U63" i="1"/>
  <c r="W63" i="1" s="1"/>
  <c r="Y101" i="1"/>
  <c r="Y102" i="1" l="1"/>
  <c r="AB66" i="1"/>
  <c r="Y67" i="1"/>
  <c r="AD66" i="1"/>
  <c r="AF66" i="1" s="1"/>
  <c r="AC66" i="1"/>
  <c r="AE66" i="1" s="1"/>
  <c r="U64" i="1"/>
  <c r="W64" i="1" s="1"/>
  <c r="T64" i="1"/>
  <c r="V64" i="1" s="1"/>
  <c r="P65" i="1"/>
  <c r="S64" i="1"/>
  <c r="Y103" i="1" l="1"/>
  <c r="P66" i="1"/>
  <c r="U65" i="1"/>
  <c r="W65" i="1" s="1"/>
  <c r="T65" i="1"/>
  <c r="V65" i="1" s="1"/>
  <c r="S65" i="1"/>
  <c r="AD67" i="1"/>
  <c r="AF67" i="1" s="1"/>
  <c r="AC67" i="1"/>
  <c r="AE67" i="1" s="1"/>
  <c r="Y68" i="1"/>
  <c r="AB67" i="1"/>
  <c r="P67" i="1" l="1"/>
  <c r="U66" i="1"/>
  <c r="W66" i="1" s="1"/>
  <c r="T66" i="1"/>
  <c r="V66" i="1" s="1"/>
  <c r="S66" i="1"/>
  <c r="Y69" i="1"/>
  <c r="AD68" i="1"/>
  <c r="AF68" i="1" s="1"/>
  <c r="AC68" i="1"/>
  <c r="AE68" i="1" s="1"/>
  <c r="AB68" i="1"/>
  <c r="Y104" i="1"/>
  <c r="Y70" i="1" l="1"/>
  <c r="AD69" i="1"/>
  <c r="AF69" i="1" s="1"/>
  <c r="AC69" i="1"/>
  <c r="AE69" i="1" s="1"/>
  <c r="AB69" i="1"/>
  <c r="Y105" i="1"/>
  <c r="T67" i="1"/>
  <c r="V67" i="1" s="1"/>
  <c r="S67" i="1"/>
  <c r="P68" i="1"/>
  <c r="U67" i="1"/>
  <c r="W67" i="1" s="1"/>
  <c r="Y106" i="1" l="1"/>
  <c r="U68" i="1"/>
  <c r="W68" i="1" s="1"/>
  <c r="T68" i="1"/>
  <c r="V68" i="1" s="1"/>
  <c r="P69" i="1"/>
  <c r="S68" i="1"/>
  <c r="AB70" i="1"/>
  <c r="Y71" i="1"/>
  <c r="AD70" i="1"/>
  <c r="AF70" i="1" s="1"/>
  <c r="AC70" i="1"/>
  <c r="AE70" i="1" s="1"/>
  <c r="P70" i="1" l="1"/>
  <c r="U69" i="1"/>
  <c r="W69" i="1" s="1"/>
  <c r="T69" i="1"/>
  <c r="V69" i="1" s="1"/>
  <c r="S69" i="1"/>
  <c r="AD71" i="1"/>
  <c r="AF71" i="1" s="1"/>
  <c r="AC71" i="1"/>
  <c r="AE71" i="1" s="1"/>
  <c r="Y72" i="1"/>
  <c r="AB71" i="1"/>
  <c r="Y107" i="1"/>
  <c r="AC106" i="1" s="1"/>
  <c r="Y73" i="1" l="1"/>
  <c r="AD72" i="1"/>
  <c r="AF72" i="1" s="1"/>
  <c r="AC72" i="1"/>
  <c r="AE72" i="1" s="1"/>
  <c r="AB72" i="1"/>
  <c r="AC107" i="1"/>
  <c r="AC80" i="1"/>
  <c r="Y108" i="1"/>
  <c r="AE107" i="1" s="1"/>
  <c r="AG107" i="1" s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S70" i="1"/>
  <c r="P71" i="1"/>
  <c r="U70" i="1"/>
  <c r="W70" i="1" s="1"/>
  <c r="T70" i="1"/>
  <c r="V70" i="1" s="1"/>
  <c r="AD107" i="1" l="1"/>
  <c r="AF107" i="1" s="1"/>
  <c r="T71" i="1"/>
  <c r="V71" i="1" s="1"/>
  <c r="S71" i="1"/>
  <c r="P72" i="1"/>
  <c r="U71" i="1"/>
  <c r="W71" i="1" s="1"/>
  <c r="AE108" i="1"/>
  <c r="AG108" i="1" s="1"/>
  <c r="AE80" i="1"/>
  <c r="AG80" i="1" s="1"/>
  <c r="AD80" i="1"/>
  <c r="AF80" i="1" s="1"/>
  <c r="Y109" i="1"/>
  <c r="AD108" i="1"/>
  <c r="AF108" i="1" s="1"/>
  <c r="AC108" i="1"/>
  <c r="AE81" i="1"/>
  <c r="AG81" i="1" s="1"/>
  <c r="AD81" i="1"/>
  <c r="AF81" i="1" s="1"/>
  <c r="AE82" i="1"/>
  <c r="AG82" i="1" s="1"/>
  <c r="AD82" i="1"/>
  <c r="AF82" i="1" s="1"/>
  <c r="AE83" i="1"/>
  <c r="AG83" i="1" s="1"/>
  <c r="AD83" i="1"/>
  <c r="AF83" i="1" s="1"/>
  <c r="AE84" i="1"/>
  <c r="AG84" i="1" s="1"/>
  <c r="AD84" i="1"/>
  <c r="AF84" i="1" s="1"/>
  <c r="AE85" i="1"/>
  <c r="AG85" i="1" s="1"/>
  <c r="AD85" i="1"/>
  <c r="AF85" i="1" s="1"/>
  <c r="AD86" i="1"/>
  <c r="AF86" i="1" s="1"/>
  <c r="AE86" i="1"/>
  <c r="AG86" i="1" s="1"/>
  <c r="AD87" i="1"/>
  <c r="AF87" i="1" s="1"/>
  <c r="AE87" i="1"/>
  <c r="AG87" i="1" s="1"/>
  <c r="AE88" i="1"/>
  <c r="AG88" i="1" s="1"/>
  <c r="AD88" i="1"/>
  <c r="AF88" i="1" s="1"/>
  <c r="AE89" i="1"/>
  <c r="AG89" i="1" s="1"/>
  <c r="AD89" i="1"/>
  <c r="AF89" i="1" s="1"/>
  <c r="AE90" i="1"/>
  <c r="AG90" i="1" s="1"/>
  <c r="AD90" i="1"/>
  <c r="AF90" i="1" s="1"/>
  <c r="AD91" i="1"/>
  <c r="AF91" i="1" s="1"/>
  <c r="AE91" i="1"/>
  <c r="AG91" i="1" s="1"/>
  <c r="AE92" i="1"/>
  <c r="AG92" i="1" s="1"/>
  <c r="AD92" i="1"/>
  <c r="AF92" i="1" s="1"/>
  <c r="AE93" i="1"/>
  <c r="AG93" i="1" s="1"/>
  <c r="AD93" i="1"/>
  <c r="AF93" i="1" s="1"/>
  <c r="AE94" i="1"/>
  <c r="AG94" i="1" s="1"/>
  <c r="AD94" i="1"/>
  <c r="AF94" i="1" s="1"/>
  <c r="AD95" i="1"/>
  <c r="AF95" i="1" s="1"/>
  <c r="AE95" i="1"/>
  <c r="AG95" i="1" s="1"/>
  <c r="AE96" i="1"/>
  <c r="AG96" i="1" s="1"/>
  <c r="AD96" i="1"/>
  <c r="AF96" i="1" s="1"/>
  <c r="AD97" i="1"/>
  <c r="AF97" i="1" s="1"/>
  <c r="AE97" i="1"/>
  <c r="AG97" i="1" s="1"/>
  <c r="AD98" i="1"/>
  <c r="AF98" i="1" s="1"/>
  <c r="AE98" i="1"/>
  <c r="AG98" i="1" s="1"/>
  <c r="AE99" i="1"/>
  <c r="AG99" i="1" s="1"/>
  <c r="AD99" i="1"/>
  <c r="AF99" i="1" s="1"/>
  <c r="AE100" i="1"/>
  <c r="AG100" i="1" s="1"/>
  <c r="AD100" i="1"/>
  <c r="AF100" i="1" s="1"/>
  <c r="AE101" i="1"/>
  <c r="AG101" i="1" s="1"/>
  <c r="AD101" i="1"/>
  <c r="AF101" i="1" s="1"/>
  <c r="AE102" i="1"/>
  <c r="AG102" i="1" s="1"/>
  <c r="AD102" i="1"/>
  <c r="AF102" i="1" s="1"/>
  <c r="AD103" i="1"/>
  <c r="AF103" i="1" s="1"/>
  <c r="AE103" i="1"/>
  <c r="AG103" i="1" s="1"/>
  <c r="AE104" i="1"/>
  <c r="AG104" i="1" s="1"/>
  <c r="AD104" i="1"/>
  <c r="AF104" i="1" s="1"/>
  <c r="AE105" i="1"/>
  <c r="AG105" i="1" s="1"/>
  <c r="AD105" i="1"/>
  <c r="AF105" i="1" s="1"/>
  <c r="AD106" i="1"/>
  <c r="AF106" i="1" s="1"/>
  <c r="AE106" i="1"/>
  <c r="AG106" i="1" s="1"/>
  <c r="Y74" i="1"/>
  <c r="AD73" i="1"/>
  <c r="AF73" i="1" s="1"/>
  <c r="AC73" i="1"/>
  <c r="AE73" i="1" s="1"/>
  <c r="AB73" i="1"/>
  <c r="AB74" i="1" l="1"/>
  <c r="AC74" i="1"/>
  <c r="AE74" i="1" s="1"/>
  <c r="AE75" i="1" s="1"/>
  <c r="AD74" i="1"/>
  <c r="AF74" i="1" s="1"/>
  <c r="AF75" i="1" s="1"/>
  <c r="AC109" i="1"/>
  <c r="Y110" i="1"/>
  <c r="AE109" i="1"/>
  <c r="AG109" i="1" s="1"/>
  <c r="AD109" i="1"/>
  <c r="AF109" i="1" s="1"/>
  <c r="U72" i="1"/>
  <c r="W72" i="1" s="1"/>
  <c r="T72" i="1"/>
  <c r="V72" i="1" s="1"/>
  <c r="P73" i="1"/>
  <c r="S72" i="1"/>
  <c r="AE110" i="1" l="1"/>
  <c r="AG110" i="1" s="1"/>
  <c r="AG111" i="1" s="1"/>
  <c r="AD110" i="1"/>
  <c r="AF110" i="1" s="1"/>
  <c r="AF111" i="1" s="1"/>
  <c r="AC110" i="1"/>
  <c r="Y111" i="1"/>
  <c r="P74" i="1"/>
  <c r="S73" i="1"/>
  <c r="U73" i="1"/>
  <c r="W73" i="1" s="1"/>
  <c r="T73" i="1"/>
  <c r="V73" i="1" s="1"/>
  <c r="U74" i="1" l="1"/>
  <c r="W74" i="1" s="1"/>
  <c r="W75" i="1" s="1"/>
  <c r="T74" i="1"/>
  <c r="V74" i="1" s="1"/>
  <c r="V75" i="1" s="1"/>
  <c r="S74" i="1"/>
  <c r="Y112" i="1"/>
  <c r="AC111" i="1"/>
  <c r="AC112" i="1" l="1"/>
  <c r="Y113" i="1"/>
  <c r="Y114" i="1" l="1"/>
  <c r="AC113" i="1"/>
  <c r="Y115" i="1" l="1"/>
  <c r="AC114" i="1"/>
  <c r="Y116" i="1" l="1"/>
  <c r="AC115" i="1"/>
  <c r="Y117" i="1" l="1"/>
  <c r="AC116" i="1"/>
  <c r="Y118" i="1" l="1"/>
  <c r="AC117" i="1"/>
  <c r="Y119" i="1" l="1"/>
  <c r="AC118" i="1"/>
  <c r="Y120" i="1" l="1"/>
  <c r="AC119" i="1"/>
  <c r="AC120" i="1" l="1"/>
  <c r="Y121" i="1"/>
  <c r="Y122" i="1" l="1"/>
  <c r="AC121" i="1"/>
  <c r="Y123" i="1" l="1"/>
  <c r="AC122" i="1"/>
  <c r="Y124" i="1" l="1"/>
  <c r="AC123" i="1"/>
  <c r="Y125" i="1" l="1"/>
  <c r="AC125" i="1" s="1"/>
  <c r="AC124" i="1"/>
</calcChain>
</file>

<file path=xl/sharedStrings.xml><?xml version="1.0" encoding="utf-8"?>
<sst xmlns="http://schemas.openxmlformats.org/spreadsheetml/2006/main" count="475" uniqueCount="230">
  <si>
    <t>Data extracted on 30/03/2022 17:15:14 from [ESTAT]</t>
  </si>
  <si>
    <t xml:space="preserve">Dataset: </t>
  </si>
  <si>
    <t>Complete energy balances [NRG_BAL_C__custom_2401770]</t>
  </si>
  <si>
    <t xml:space="preserve">Last updated: </t>
  </si>
  <si>
    <t>04/03/2022 11:00</t>
  </si>
  <si>
    <t>Time frequency</t>
  </si>
  <si>
    <t>Annual</t>
  </si>
  <si>
    <t>Energy balance</t>
  </si>
  <si>
    <t>Final consumption - transport sector - road - energy use</t>
  </si>
  <si>
    <t>Unit of measure</t>
  </si>
  <si>
    <t>Gigawatt-hour</t>
  </si>
  <si>
    <t>Geopolitical entity (reporting)</t>
  </si>
  <si>
    <t>European Union - 27 countries (from 2020)</t>
  </si>
  <si>
    <t>TIME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</si>
  <si>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</si>
  <si>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</si>
  <si>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</si>
  <si>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</si>
  <si>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</si>
  <si>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</si>
  <si>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</si>
  <si>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</si>
  <si>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</si>
  <si>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</si>
  <si>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</si>
  <si>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</si>
  <si>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</si>
  <si>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</si>
  <si>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</si>
  <si>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</si>
  <si>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</si>
  <si>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</si>
  <si>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</si>
  <si>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</si>
  <si>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</si>
  <si>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</si>
  <si>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</si>
  <si>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</si>
  <si>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</si>
  <si>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</si>
  <si>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</si>
  <si>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</si>
  <si>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</si>
  <si>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</si>
  <si>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</si>
  <si>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SIEC (Labels)</t>
  </si>
  <si>
    <t/>
  </si>
  <si>
    <t>Total</t>
  </si>
  <si>
    <t>Natural gas</t>
  </si>
  <si>
    <t>Oil and petroleum products (excluding biofuel portion)</t>
  </si>
  <si>
    <t>Liquefied petroleum gases</t>
  </si>
  <si>
    <t>Naphtha</t>
  </si>
  <si>
    <t>Motor gasoline (excluding biofuel portion)</t>
  </si>
  <si>
    <t>Other kerosene</t>
  </si>
  <si>
    <t>Gas oil and diesel oil (excluding biofuel portion)</t>
  </si>
  <si>
    <t>Fuel oil</t>
  </si>
  <si>
    <t>White spirit and special boiling point industrial spirits</t>
  </si>
  <si>
    <t>Other oil products n.e.c.</t>
  </si>
  <si>
    <t>Renewables and biofuels</t>
  </si>
  <si>
    <t>Pure biogasoline</t>
  </si>
  <si>
    <t>Blended biogasoline</t>
  </si>
  <si>
    <t>Pure biodiesels</t>
  </si>
  <si>
    <t>Blended biodiesels</t>
  </si>
  <si>
    <t>Other liquid biofuels</t>
  </si>
  <si>
    <t>Biogases</t>
  </si>
  <si>
    <t>Electricity</t>
  </si>
  <si>
    <t>Bioenergy</t>
  </si>
  <si>
    <t>Fossil energy</t>
  </si>
  <si>
    <t>Special value</t>
  </si>
  <si>
    <t>:</t>
  </si>
  <si>
    <t>not available</t>
  </si>
  <si>
    <t>Bioenergy share</t>
  </si>
  <si>
    <t>Electricity share</t>
  </si>
  <si>
    <t>Bioenergy share (includ elec prod)</t>
  </si>
  <si>
    <t>Fossil energy share (includ elec prod)</t>
  </si>
  <si>
    <t>ORIGINAL</t>
  </si>
  <si>
    <t>RICHARD 6,69</t>
  </si>
  <si>
    <t>RICHARD k</t>
  </si>
  <si>
    <t>RICHARD a</t>
  </si>
  <si>
    <t>squared k</t>
  </si>
  <si>
    <t>squared a</t>
  </si>
  <si>
    <t>Projection</t>
  </si>
  <si>
    <t>Time</t>
  </si>
  <si>
    <t>consumption (GWh)</t>
  </si>
  <si>
    <t>demand (GWh)</t>
  </si>
  <si>
    <t>efficiency</t>
  </si>
  <si>
    <t>Diesel</t>
  </si>
  <si>
    <t>Gasoline</t>
  </si>
  <si>
    <t>% gasoline</t>
  </si>
  <si>
    <t>% diesel</t>
  </si>
  <si>
    <t>Non diesel-gasoline</t>
  </si>
  <si>
    <t>% diesel-gasoline</t>
  </si>
  <si>
    <t>14-33</t>
  </si>
  <si>
    <t>28-42</t>
  </si>
  <si>
    <t>14-26</t>
  </si>
  <si>
    <t>50-80</t>
  </si>
  <si>
    <t>Yearly growth</t>
  </si>
  <si>
    <t>Year</t>
  </si>
  <si>
    <t>GDP per capita</t>
  </si>
  <si>
    <t xml:space="preserve">GDP </t>
  </si>
  <si>
    <t>x</t>
  </si>
  <si>
    <t>Gasoline + bio</t>
  </si>
  <si>
    <t>Diesel + bio</t>
  </si>
  <si>
    <t>emissions (%)</t>
  </si>
  <si>
    <t xml:space="preserve"> emissions (million tonnes GHG)</t>
  </si>
  <si>
    <t>Road transport</t>
  </si>
  <si>
    <t>Cars</t>
  </si>
  <si>
    <t>Light duty</t>
  </si>
  <si>
    <t>Heavy duty and buses</t>
  </si>
  <si>
    <t>Motorcycles</t>
  </si>
  <si>
    <t>Others</t>
  </si>
  <si>
    <t>Fuel combustion in road transport</t>
  </si>
  <si>
    <t>Fuel combustion in cars</t>
  </si>
  <si>
    <t>Fuel combustion in light duty trucks</t>
  </si>
  <si>
    <t>Fuel combustion in heavy duty trucks and buses</t>
  </si>
  <si>
    <t>Fuel combustion in motorcycles</t>
  </si>
  <si>
    <t>Fuel combustion in other road transportation</t>
  </si>
  <si>
    <t>BEV</t>
  </si>
  <si>
    <t>FCEV</t>
  </si>
  <si>
    <t>CAPEX</t>
  </si>
  <si>
    <t>Urban</t>
  </si>
  <si>
    <t>Class 5 long distance</t>
  </si>
  <si>
    <t>OPEX</t>
  </si>
  <si>
    <t>Daily range (km)</t>
  </si>
  <si>
    <t>Energy (kWh)</t>
  </si>
  <si>
    <t>Cost (€)</t>
  </si>
  <si>
    <t>Consumption (kWh/km)</t>
  </si>
  <si>
    <t>CAPEX urban</t>
  </si>
  <si>
    <t>OPEX urban</t>
  </si>
  <si>
    <t>Price diesel (€/kWh)</t>
  </si>
  <si>
    <t>Price electricity (€/kWh)</t>
  </si>
  <si>
    <t>Price hydrogen (€/kWh)</t>
  </si>
  <si>
    <t>Density diesel (kWh/l)</t>
  </si>
  <si>
    <t>Density hydrogen (kWh/kg)</t>
  </si>
  <si>
    <t>Price diesel (€/l)</t>
  </si>
  <si>
    <t>Yearly range (km)</t>
  </si>
  <si>
    <t>Life time (years)</t>
  </si>
  <si>
    <t>TOTAL urban</t>
  </si>
  <si>
    <t>OPEX class 5 long range</t>
  </si>
  <si>
    <t>TOTAL class 5 long range</t>
  </si>
  <si>
    <t>CAPEX class 5 long range</t>
  </si>
  <si>
    <t>Class 5 regional</t>
  </si>
  <si>
    <t>*equivalent to 1100000 km for long range</t>
  </si>
  <si>
    <t>Diesel (1.5 €/l)</t>
  </si>
  <si>
    <t>Diesel (1 €/l)</t>
  </si>
  <si>
    <t>Diesel 1 €/l</t>
  </si>
  <si>
    <t>Diesel 1.5 €/l</t>
  </si>
  <si>
    <t>Number all trailers</t>
  </si>
  <si>
    <t>Number all buses</t>
  </si>
  <si>
    <t>Total heavy duty</t>
  </si>
  <si>
    <t>New reg all trailers</t>
  </si>
  <si>
    <t>New reg all buses</t>
  </si>
  <si>
    <t>New reg heavy duty</t>
  </si>
  <si>
    <t>New reg share</t>
  </si>
  <si>
    <t>SEE NEW REGISTRATION OF HEAVY DUTY FILE FOR MORE DETAIL</t>
  </si>
  <si>
    <t>Data extracted on 30/05/2022 21:18:16 from [ESTAT]</t>
  </si>
  <si>
    <t>New registrations of passenger cars by unloaded weight [ROAD_EQR_UNLWEIG__custom_2825859]</t>
  </si>
  <si>
    <t>13/09/2021 23:00</t>
  </si>
  <si>
    <t>Weight</t>
  </si>
  <si>
    <t>Number</t>
  </si>
  <si>
    <t>GEO (Labels)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</si>
  <si>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</si>
  <si>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</si>
  <si>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</si>
  <si>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</si>
  <si>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</si>
  <si>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</si>
  <si>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</si>
  <si>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</si>
  <si>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</si>
  <si>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</si>
  <si>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</si>
  <si>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</si>
  <si>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</si>
  <si>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</si>
  <si>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</si>
  <si>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</si>
  <si>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</si>
  <si>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</si>
  <si>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</si>
  <si>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</si>
  <si>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</si>
  <si>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</si>
  <si>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</si>
  <si>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</si>
  <si>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</si>
  <si>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</si>
  <si>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</si>
  <si>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New registration</t>
  </si>
  <si>
    <t>Total number</t>
  </si>
  <si>
    <t>*no Ireland</t>
  </si>
  <si>
    <t>All vehicles</t>
  </si>
  <si>
    <t>Utility vehicles</t>
  </si>
  <si>
    <t>Lorries</t>
  </si>
  <si>
    <t>Road tractos</t>
  </si>
  <si>
    <t>Trailers and semi-trailes *</t>
  </si>
  <si>
    <t>Passenger cars</t>
  </si>
  <si>
    <t>Passenger cars share</t>
  </si>
  <si>
    <t>Motor coaches, buses and trolley buses</t>
  </si>
  <si>
    <t>Special vehicles</t>
  </si>
  <si>
    <t>LIGHT</t>
  </si>
  <si>
    <t>HEAVY</t>
  </si>
  <si>
    <t>OPTIMIZED</t>
  </si>
  <si>
    <t>A</t>
  </si>
  <si>
    <t>K</t>
  </si>
  <si>
    <t>C</t>
  </si>
  <si>
    <t>Q</t>
  </si>
  <si>
    <t>B</t>
  </si>
  <si>
    <t>lambda</t>
  </si>
  <si>
    <t>M</t>
  </si>
  <si>
    <t>Minimum y  value</t>
  </si>
  <si>
    <t>Maximum y value</t>
  </si>
  <si>
    <t>Saturation</t>
  </si>
  <si>
    <t>Stiffness: the higher value the stiffer</t>
  </si>
  <si>
    <t>Shifts from left to right: higher value shifts to the right</t>
  </si>
  <si>
    <t>From convex to concave</t>
  </si>
  <si>
    <t>Affects stiffness on the left side</t>
  </si>
  <si>
    <t>Tini</t>
  </si>
  <si>
    <t>Tfin</t>
  </si>
  <si>
    <t>Starting year</t>
  </si>
  <si>
    <t>Finishing year</t>
  </si>
  <si>
    <t>FORMULA</t>
  </si>
  <si>
    <t>squared F</t>
  </si>
  <si>
    <t>squared O</t>
  </si>
  <si>
    <t>{Name 1}</t>
  </si>
  <si>
    <t>OPTIMIZED SOLVER</t>
  </si>
  <si>
    <t>SCALED FROM 0-1</t>
  </si>
  <si>
    <t>OPTIMIZED ORIGINAL</t>
  </si>
  <si>
    <t>OPTIMIZED AVERAGE</t>
  </si>
  <si>
    <t>FULL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</si>
</sst>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"/>
    <numFmt numFmtId="165" formatCode="#,##0.000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b/>
      <sz val="11"/>
      <color indexed="8"/>
      <name val="Calibri"/>
      <family val="2"/>
      <scheme val="minor"/>
    </font>
    <font>
      <b/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F6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B0B0B0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4" borderId="0" xfId="0" applyFill="1"/>
    <xf numFmtId="0" fontId="3" fillId="5" borderId="1" xfId="0" applyFont="1" applyFill="1" applyBorder="1" applyAlignment="1">
      <alignment horizontal="left" vertical="center"/>
    </xf>
    <xf numFmtId="165" fontId="2" fillId="7" borderId="0" xfId="0" applyNumberFormat="1" applyFont="1" applyFill="1" applyAlignment="1">
      <alignment horizontal="right" vertical="center" shrinkToFit="1"/>
    </xf>
    <xf numFmtId="164" fontId="2" fillId="7" borderId="0" xfId="0" applyNumberFormat="1" applyFont="1" applyFill="1" applyAlignment="1">
      <alignment horizontal="right" vertical="center" shrinkToFit="1"/>
    </xf>
    <xf numFmtId="164" fontId="2" fillId="8" borderId="0" xfId="0" applyNumberFormat="1" applyFont="1" applyFill="1" applyAlignment="1">
      <alignment horizontal="right" vertical="center" shrinkToFit="1"/>
    </xf>
    <xf numFmtId="165" fontId="2" fillId="8" borderId="0" xfId="0" applyNumberFormat="1" applyFont="1" applyFill="1" applyAlignment="1">
      <alignment horizontal="right" vertical="center" shrinkToFit="1"/>
    </xf>
    <xf numFmtId="165" fontId="2" fillId="0" borderId="0" xfId="0" applyNumberFormat="1" applyFont="1" applyAlignment="1">
      <alignment horizontal="right" vertical="center" shrinkToFit="1"/>
    </xf>
    <xf numFmtId="164" fontId="2" fillId="0" borderId="0" xfId="0" applyNumberFormat="1" applyFont="1" applyAlignment="1">
      <alignment horizontal="right" vertical="center" shrinkToFit="1"/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" fontId="0" fillId="1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2" fillId="7" borderId="0" xfId="0" applyFont="1" applyFill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0" fillId="10" borderId="0" xfId="0" applyNumberFormat="1" applyFill="1" applyAlignment="1">
      <alignment horizontal="center"/>
    </xf>
    <xf numFmtId="0" fontId="2" fillId="10" borderId="0" xfId="0" applyFont="1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0" xfId="0" applyNumberFormat="1"/>
    <xf numFmtId="1" fontId="0" fillId="0" borderId="0" xfId="0" applyNumberFormat="1"/>
    <xf numFmtId="0" fontId="0" fillId="11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8" borderId="0" xfId="0" applyNumberFormat="1" applyFont="1" applyFill="1" applyAlignment="1">
      <alignment horizontal="right" vertical="center" shrinkToFit="1"/>
    </xf>
    <xf numFmtId="3" fontId="2" fillId="11" borderId="0" xfId="0" applyNumberFormat="1" applyFont="1" applyFill="1" applyAlignment="1">
      <alignment horizontal="right" vertical="center" shrinkToFit="1"/>
    </xf>
    <xf numFmtId="0" fontId="5" fillId="0" borderId="0" xfId="0" applyFont="1"/>
    <xf numFmtId="0" fontId="6" fillId="5" borderId="1" xfId="0" applyFont="1" applyFill="1" applyBorder="1" applyAlignment="1">
      <alignment horizontal="left" vertical="center"/>
    </xf>
    <xf numFmtId="0" fontId="0" fillId="12" borderId="0" xfId="0" applyFill="1"/>
    <xf numFmtId="0" fontId="0" fillId="0" borderId="9" xfId="0" applyBorder="1" applyAlignment="1">
      <alignment horizontal="center"/>
    </xf>
    <xf numFmtId="3" fontId="2" fillId="6" borderId="0" xfId="0" applyNumberFormat="1" applyFont="1" applyFill="1" applyAlignment="1">
      <alignment horizontal="right" vertical="center" shrinkToFit="1"/>
    </xf>
    <xf numFmtId="3" fontId="2" fillId="7" borderId="0" xfId="0" applyNumberFormat="1" applyFont="1" applyFill="1" applyAlignment="1">
      <alignment horizontal="right" vertical="center" shrinkToFit="1"/>
    </xf>
    <xf numFmtId="3" fontId="2" fillId="9" borderId="0" xfId="0" applyNumberFormat="1" applyFont="1" applyFill="1" applyAlignment="1">
      <alignment horizontal="right" vertical="center" shrinkToFit="1"/>
    </xf>
    <xf numFmtId="0" fontId="3" fillId="5" borderId="0" xfId="0" applyFont="1" applyFill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Bioenergy share *CURVE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[1]Road!$A$36</c:f>
              <c:strCache>
                <c:ptCount val="1"/>
                <c:pt idx="0">
                  <c:v>Bioenergy 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[1]Road!$B$10:$AF$10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[1]Road!$B$36:$AF$36</c:f>
              <c:numCache>
                <c:formatCode>General</c:formatCode>
                <c:ptCount val="31"/>
                <c:pt idx="0">
                  <c:v>2.8387323823146691E-3</c:v>
                </c:pt>
                <c:pt idx="1">
                  <c:v>3.1062861898334166E-3</c:v>
                </c:pt>
                <c:pt idx="2">
                  <c:v>1.0440156857140991E-2</c:v>
                </c:pt>
                <c:pt idx="3">
                  <c:v>2.442633518792512E-2</c:v>
                </c:pt>
                <c:pt idx="4">
                  <c:v>6.4845724346720937E-2</c:v>
                </c:pt>
                <c:pt idx="5">
                  <c:v>9.9575891968822536E-2</c:v>
                </c:pt>
                <c:pt idx="6">
                  <c:v>0.1417613100202022</c:v>
                </c:pt>
                <c:pt idx="7">
                  <c:v>0.1900387061462977</c:v>
                </c:pt>
                <c:pt idx="8">
                  <c:v>0.17250395738108454</c:v>
                </c:pt>
                <c:pt idx="9">
                  <c:v>0.18804975518925077</c:v>
                </c:pt>
                <c:pt idx="10">
                  <c:v>0.29250209310668995</c:v>
                </c:pt>
                <c:pt idx="11">
                  <c:v>0.33838956484565963</c:v>
                </c:pt>
                <c:pt idx="12">
                  <c:v>0.44292226797185663</c:v>
                </c:pt>
                <c:pt idx="13">
                  <c:v>0.54334542816902598</c:v>
                </c:pt>
                <c:pt idx="14">
                  <c:v>0.72282734166985985</c:v>
                </c:pt>
                <c:pt idx="15">
                  <c:v>1.2024963649503719</c:v>
                </c:pt>
                <c:pt idx="16">
                  <c:v>1.9466677274927582</c:v>
                </c:pt>
                <c:pt idx="17">
                  <c:v>2.6778269298566646</c:v>
                </c:pt>
                <c:pt idx="18">
                  <c:v>3.3468759970900019</c:v>
                </c:pt>
                <c:pt idx="19">
                  <c:v>4.0419886523809776</c:v>
                </c:pt>
                <c:pt idx="20">
                  <c:v>4.5976293512192425</c:v>
                </c:pt>
                <c:pt idx="21">
                  <c:v>4.8787216238790965</c:v>
                </c:pt>
                <c:pt idx="22">
                  <c:v>5.3740580503461661</c:v>
                </c:pt>
                <c:pt idx="23">
                  <c:v>4.8424949953973018</c:v>
                </c:pt>
                <c:pt idx="24">
                  <c:v>5.136742826190047</c:v>
                </c:pt>
                <c:pt idx="25">
                  <c:v>5.0774564812953304</c:v>
                </c:pt>
                <c:pt idx="26">
                  <c:v>4.8396513277490403</c:v>
                </c:pt>
                <c:pt idx="27">
                  <c:v>5.1797766065714175</c:v>
                </c:pt>
                <c:pt idx="28">
                  <c:v>5.6914055186085006</c:v>
                </c:pt>
                <c:pt idx="29">
                  <c:v>5.8424460960148963</c:v>
                </c:pt>
                <c:pt idx="30">
                  <c:v>6.6930009642973936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9-49FC-8A70-30C40DB15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877680"/>
        <c:axId val="1036867280"/>
      </c:lineChart>
      <c:catAx>
        <c:axId val="10368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67280"/>
        <c:crosses val="autoZero"/>
        <c:auto val="1"/>
        <c:lblAlgn val="ctr"/>
        <c:lblOffset val="100"/>
        <c:noMultiLvlLbl val="0"/>
      </c:catAx>
      <c:valAx>
        <c:axId val="10368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7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'Energy consumption'!$B$30:$AF$30</c:f>
              <c:numCache>
                <c:formatCode>#,##0</c:formatCode>
                <c:ptCount val="31"/>
                <c:pt idx="0">
                  <c:v>259</c:v>
                </c:pt>
                <c:pt idx="1">
                  <c:v>248</c:v>
                </c:pt>
                <c:pt idx="2">
                  <c:v>251</c:v>
                </c:pt>
                <c:pt idx="3">
                  <c:v>215</c:v>
                </c:pt>
                <c:pt idx="4">
                  <c:v>204</c:v>
                </c:pt>
                <c:pt idx="5">
                  <c:v>204</c:v>
                </c:pt>
                <c:pt idx="6">
                  <c:v>203</c:v>
                </c:pt>
                <c:pt idx="7">
                  <c:v>198</c:v>
                </c:pt>
                <c:pt idx="8">
                  <c:v>177</c:v>
                </c:pt>
                <c:pt idx="9">
                  <c:v>171</c:v>
                </c:pt>
                <c:pt idx="10">
                  <c:v>234</c:v>
                </c:pt>
                <c:pt idx="11">
                  <c:v>234</c:v>
                </c:pt>
                <c:pt idx="12">
                  <c:v>236</c:v>
                </c:pt>
                <c:pt idx="13">
                  <c:v>258</c:v>
                </c:pt>
                <c:pt idx="14">
                  <c:v>309</c:v>
                </c:pt>
                <c:pt idx="15">
                  <c:v>303.56099999999998</c:v>
                </c:pt>
                <c:pt idx="16">
                  <c:v>308.73899999999998</c:v>
                </c:pt>
                <c:pt idx="17">
                  <c:v>307.25799999999998</c:v>
                </c:pt>
                <c:pt idx="18">
                  <c:v>306.15100000000001</c:v>
                </c:pt>
                <c:pt idx="19">
                  <c:v>348.80399999999997</c:v>
                </c:pt>
                <c:pt idx="20">
                  <c:v>407.24400000000003</c:v>
                </c:pt>
                <c:pt idx="21">
                  <c:v>482.81099999999998</c:v>
                </c:pt>
                <c:pt idx="22">
                  <c:v>482.53100000000001</c:v>
                </c:pt>
                <c:pt idx="23">
                  <c:v>618.04999999999995</c:v>
                </c:pt>
                <c:pt idx="24">
                  <c:v>716.37099999999998</c:v>
                </c:pt>
                <c:pt idx="25">
                  <c:v>937.76900000000001</c:v>
                </c:pt>
                <c:pt idx="26">
                  <c:v>1003.893</c:v>
                </c:pt>
                <c:pt idx="27">
                  <c:v>1234.992</c:v>
                </c:pt>
                <c:pt idx="28">
                  <c:v>1586.433</c:v>
                </c:pt>
                <c:pt idx="29">
                  <c:v>2379.9699999999998</c:v>
                </c:pt>
                <c:pt idx="30">
                  <c:v>3283.45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5-4936-ABA2-4E70F6AD3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046559"/>
        <c:axId val="1290044479"/>
      </c:lineChart>
      <c:catAx>
        <c:axId val="12900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0044479"/>
        <c:crosses val="autoZero"/>
        <c:auto val="1"/>
        <c:lblAlgn val="ctr"/>
        <c:lblOffset val="100"/>
        <c:noMultiLvlLbl val="0"/>
      </c:catAx>
      <c:valAx>
        <c:axId val="12900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00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'Energy demand'!$AA$7:$AA$37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'Energy demand'!$Z$7:$Z$37</c:f>
              <c:numCache>
                <c:formatCode>0.00</c:formatCode>
                <c:ptCount val="31"/>
                <c:pt idx="1">
                  <c:v>1.8024335835465286</c:v>
                </c:pt>
                <c:pt idx="2">
                  <c:v>3.1454441005042333</c:v>
                </c:pt>
                <c:pt idx="3">
                  <c:v>1.3961787645602479</c:v>
                </c:pt>
                <c:pt idx="4">
                  <c:v>1.1561118906016628</c:v>
                </c:pt>
                <c:pt idx="5">
                  <c:v>1.5823947627575101</c:v>
                </c:pt>
                <c:pt idx="6">
                  <c:v>3.5148793597743331</c:v>
                </c:pt>
                <c:pt idx="7">
                  <c:v>1.8811797870437179</c:v>
                </c:pt>
                <c:pt idx="8">
                  <c:v>4.6700994513634342</c:v>
                </c:pt>
                <c:pt idx="9">
                  <c:v>2.8028264706378416</c:v>
                </c:pt>
                <c:pt idx="10">
                  <c:v>0.8387865571762978</c:v>
                </c:pt>
                <c:pt idx="11">
                  <c:v>2.3276393172355183</c:v>
                </c:pt>
                <c:pt idx="12">
                  <c:v>1.7727440533355725</c:v>
                </c:pt>
                <c:pt idx="13">
                  <c:v>1.7854395136163086</c:v>
                </c:pt>
                <c:pt idx="14">
                  <c:v>3.1948760206064879</c:v>
                </c:pt>
                <c:pt idx="15">
                  <c:v>0.6699567366365069</c:v>
                </c:pt>
                <c:pt idx="16">
                  <c:v>2.7747939568805986</c:v>
                </c:pt>
                <c:pt idx="17">
                  <c:v>2.2573260843649372</c:v>
                </c:pt>
                <c:pt idx="18">
                  <c:v>-0.88502681354876578</c:v>
                </c:pt>
                <c:pt idx="19">
                  <c:v>-2.0315910635281975</c:v>
                </c:pt>
                <c:pt idx="20">
                  <c:v>0.30807854644069071</c:v>
                </c:pt>
                <c:pt idx="21">
                  <c:v>-0.2080416359859204</c:v>
                </c:pt>
                <c:pt idx="22">
                  <c:v>-3.4626537308671641</c:v>
                </c:pt>
                <c:pt idx="23">
                  <c:v>-0.65786955353667642</c:v>
                </c:pt>
                <c:pt idx="24">
                  <c:v>1.9282916260335909</c:v>
                </c:pt>
                <c:pt idx="25">
                  <c:v>1.5953453821401853</c:v>
                </c:pt>
                <c:pt idx="26">
                  <c:v>2.4197723476365205</c:v>
                </c:pt>
                <c:pt idx="27">
                  <c:v>2.0643742857988379</c:v>
                </c:pt>
                <c:pt idx="28">
                  <c:v>0.50857397704432317</c:v>
                </c:pt>
                <c:pt idx="29">
                  <c:v>0.82075769501395901</c:v>
                </c:pt>
                <c:pt idx="30">
                  <c:v>-11.534459300352095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E-4353-804E-CA2B0CFBF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706784"/>
        <c:axId val="884706368"/>
      </c:barChart>
      <c:catAx>
        <c:axId val="88470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84706368"/>
        <c:crosses val="autoZero"/>
        <c:auto val="1"/>
        <c:lblAlgn val="ctr"/>
        <c:lblOffset val="100"/>
        <c:noMultiLvlLbl val="0"/>
      </c:catAx>
      <c:valAx>
        <c:axId val="8847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847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</a:t>
            </a:r>
            <a:r>
              <a:rPr lang="es-ES" baseline="0"/>
              <a:t> energy demanded by fuel (GWh)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'Energy demand'!$U$6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'Energy demand'!$AA$7:$AA$37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'Energy demand'!$U$7:$U$37</c:f>
              <c:numCache>
                <c:formatCode>0</c:formatCode>
                <c:ptCount val="31"/>
                <c:pt idx="0">
                  <c:v>502.45</c:v>
                </c:pt>
                <c:pt idx="1">
                  <c:v>505.8</c:v>
                </c:pt>
                <c:pt idx="2">
                  <c:v>508.7</c:v>
                </c:pt>
                <c:pt idx="3">
                  <c:v>517.1</c:v>
                </c:pt>
                <c:pt idx="4">
                  <c:v>543.25</c:v>
                </c:pt>
                <c:pt idx="5">
                  <c:v>575.20000000000005</c:v>
                </c:pt>
                <c:pt idx="6">
                  <c:v>624.9</c:v>
                </c:pt>
                <c:pt idx="7">
                  <c:v>671.4</c:v>
                </c:pt>
                <c:pt idx="8">
                  <c:v>687.65</c:v>
                </c:pt>
                <c:pt idx="9">
                  <c:v>695.2</c:v>
                </c:pt>
                <c:pt idx="10">
                  <c:v>866.44979999999998</c:v>
                </c:pt>
                <c:pt idx="11">
                  <c:v>1183.4497999999999</c:v>
                </c:pt>
                <c:pt idx="12">
                  <c:v>1115.9000000000001</c:v>
                </c:pt>
                <c:pt idx="13">
                  <c:v>1125.0508</c:v>
                </c:pt>
                <c:pt idx="14">
                  <c:v>1162.1708000000001</c:v>
                </c:pt>
                <c:pt idx="15">
                  <c:v>1313.1863999999998</c:v>
                </c:pt>
                <c:pt idx="16">
                  <c:v>1582.8232</c:v>
                </c:pt>
                <c:pt idx="17">
                  <c:v>1750.9704000000002</c:v>
                </c:pt>
                <c:pt idx="18">
                  <c:v>1899.8554000000001</c:v>
                </c:pt>
                <c:pt idx="19">
                  <c:v>2203.3978000000002</c:v>
                </c:pt>
                <c:pt idx="20">
                  <c:v>2520.5225999999998</c:v>
                </c:pt>
                <c:pt idx="21">
                  <c:v>2787.1264000000001</c:v>
                </c:pt>
                <c:pt idx="22">
                  <c:v>2965.4369999999999</c:v>
                </c:pt>
                <c:pt idx="23">
                  <c:v>3169.4722000000002</c:v>
                </c:pt>
                <c:pt idx="24">
                  <c:v>3385.2065999999995</c:v>
                </c:pt>
                <c:pt idx="25">
                  <c:v>3603.7705999999998</c:v>
                </c:pt>
                <c:pt idx="26">
                  <c:v>3678.3233999999998</c:v>
                </c:pt>
                <c:pt idx="27">
                  <c:v>3556.4377999999997</c:v>
                </c:pt>
                <c:pt idx="28">
                  <c:v>3727.3896000000004</c:v>
                </c:pt>
                <c:pt idx="29">
                  <c:v>4289.2255999999998</c:v>
                </c:pt>
                <c:pt idx="30">
                  <c:v>4141.2847999999994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5-4F1F-BEDE-B7821F965E33}"/>
            </c:ext>
          </c:extLst>
        </c:ser>
        <c:ser>
          <c:idx val="1"/>
          <c:order val="1"/>
          <c:tx>
            <c:strRef>
              <c:f>'Energy demand'!$V$6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'Energy demand'!$AA$7:$AA$37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'Energy demand'!$V$7:$V$37</c:f>
              <c:numCache>
                <c:formatCode>0</c:formatCode>
                <c:ptCount val="31"/>
                <c:pt idx="0">
                  <c:v>359365.85405000002</c:v>
                </c:pt>
                <c:pt idx="1">
                  <c:v>369099.41530000011</c:v>
                </c:pt>
                <c:pt idx="2">
                  <c:v>384162.49200000003</c:v>
                </c:pt>
                <c:pt idx="3">
                  <c:v>394462.80685000005</c:v>
                </c:pt>
                <c:pt idx="4">
                  <c:v>403778.30150000006</c:v>
                </c:pt>
                <c:pt idx="5">
                  <c:v>414744.06154999998</c:v>
                </c:pt>
                <c:pt idx="6">
                  <c:v>437256.82874999999</c:v>
                </c:pt>
                <c:pt idx="7">
                  <c:v>452130.25970000005</c:v>
                </c:pt>
                <c:pt idx="8">
                  <c:v>485203.7435000001</c:v>
                </c:pt>
                <c:pt idx="9">
                  <c:v>508165.91944999993</c:v>
                </c:pt>
                <c:pt idx="10">
                  <c:v>528327.88610000012</c:v>
                </c:pt>
                <c:pt idx="11">
                  <c:v>551610.35824999993</c:v>
                </c:pt>
                <c:pt idx="12">
                  <c:v>571574.21614999999</c:v>
                </c:pt>
                <c:pt idx="13">
                  <c:v>596959.46029999992</c:v>
                </c:pt>
                <c:pt idx="14">
                  <c:v>633729.46735000005</c:v>
                </c:pt>
                <c:pt idx="15">
                  <c:v>651858.27560000005</c:v>
                </c:pt>
                <c:pt idx="16">
                  <c:v>685038.32565000001</c:v>
                </c:pt>
                <c:pt idx="17">
                  <c:v>713957.8075</c:v>
                </c:pt>
                <c:pt idx="18">
                  <c:v>715835.43534999993</c:v>
                </c:pt>
                <c:pt idx="19">
                  <c:v>703872.73074999999</c:v>
                </c:pt>
                <c:pt idx="20">
                  <c:v>717798.46845000004</c:v>
                </c:pt>
                <c:pt idx="21">
                  <c:v>723065.61600000004</c:v>
                </c:pt>
                <c:pt idx="22">
                  <c:v>705058.13804999995</c:v>
                </c:pt>
                <c:pt idx="23">
                  <c:v>705067.40359999996</c:v>
                </c:pt>
                <c:pt idx="24">
                  <c:v>722737.69050000003</c:v>
                </c:pt>
                <c:pt idx="25">
                  <c:v>739421.05020000006</c:v>
                </c:pt>
                <c:pt idx="26">
                  <c:v>761194.31954999978</c:v>
                </c:pt>
                <c:pt idx="27">
                  <c:v>779364.42429999996</c:v>
                </c:pt>
                <c:pt idx="28">
                  <c:v>783120.0699</c:v>
                </c:pt>
                <c:pt idx="29">
                  <c:v>785850.64529999986</c:v>
                </c:pt>
                <c:pt idx="30">
                  <c:v>697848.55489999999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5-4F1F-BEDE-B7821F965E33}"/>
            </c:ext>
          </c:extLst>
        </c:ser>
        <c:ser>
          <c:idx val="2"/>
          <c:order val="2"/>
          <c:tx>
            <c:strRef>
              <c:f>'Energy demand'!$W$6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'Energy demand'!$AA$7:$AA$37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'Energy demand'!$W$7:$W$37</c:f>
              <c:numCache>
                <c:formatCode>0</c:formatCode>
                <c:ptCount val="31"/>
                <c:pt idx="0">
                  <c:v>301498.30672999995</c:v>
                </c:pt>
                <c:pt idx="1">
                  <c:v>303692.27377999999</c:v>
                </c:pt>
                <c:pt idx="2">
                  <c:v>309807.61368499999</c:v>
                </c:pt>
                <c:pt idx="3">
                  <c:v>309220.74231</c:v>
                </c:pt>
                <c:pt idx="4">
                  <c:v>308029.21076499997</c:v>
                </c:pt>
                <c:pt idx="5">
                  <c:v>308305.80012500001</c:v>
                </c:pt>
                <c:pt idx="6">
                  <c:v>311183.19159</c:v>
                </c:pt>
                <c:pt idx="7">
                  <c:v>310360.25073000003</c:v>
                </c:pt>
                <c:pt idx="8">
                  <c:v>312930.59753999999</c:v>
                </c:pt>
                <c:pt idx="9">
                  <c:v>312357.59045999998</c:v>
                </c:pt>
                <c:pt idx="10">
                  <c:v>298872.62846499996</c:v>
                </c:pt>
                <c:pt idx="11">
                  <c:v>294551.10888999997</c:v>
                </c:pt>
                <c:pt idx="12">
                  <c:v>289677.45376</c:v>
                </c:pt>
                <c:pt idx="13">
                  <c:v>279668.54902000003</c:v>
                </c:pt>
                <c:pt idx="14">
                  <c:v>270876.75181499997</c:v>
                </c:pt>
                <c:pt idx="15">
                  <c:v>258670.06527000002</c:v>
                </c:pt>
                <c:pt idx="16">
                  <c:v>250524.21138999998</c:v>
                </c:pt>
                <c:pt idx="17">
                  <c:v>242596.50166499999</c:v>
                </c:pt>
                <c:pt idx="18">
                  <c:v>232087.68213</c:v>
                </c:pt>
                <c:pt idx="19">
                  <c:v>224418.55841499998</c:v>
                </c:pt>
                <c:pt idx="20">
                  <c:v>213005.062905</c:v>
                </c:pt>
                <c:pt idx="21">
                  <c:v>205479.93966999999</c:v>
                </c:pt>
                <c:pt idx="22">
                  <c:v>191049.59641</c:v>
                </c:pt>
                <c:pt idx="23">
                  <c:v>184831.41627500003</c:v>
                </c:pt>
                <c:pt idx="24">
                  <c:v>184110.19399</c:v>
                </c:pt>
                <c:pt idx="25">
                  <c:v>181593.15175999998</c:v>
                </c:pt>
                <c:pt idx="26">
                  <c:v>182090.74875000003</c:v>
                </c:pt>
                <c:pt idx="27">
                  <c:v>183454.654675</c:v>
                </c:pt>
                <c:pt idx="28">
                  <c:v>184218.43757499999</c:v>
                </c:pt>
                <c:pt idx="29">
                  <c:v>188388.7887</c:v>
                </c:pt>
                <c:pt idx="30">
                  <c:v>162905.13208000001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C5-4F1F-BEDE-B7821F965E33}"/>
            </c:ext>
          </c:extLst>
        </c:ser>
        <c:ser>
          <c:idx val="3"/>
          <c:order val="3"/>
          <c:tx>
            <c:strRef>
              <c:f>'Energy demand'!$X$6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'Energy demand'!$AA$7:$AA$37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'Energy demand'!$X$7:$X$37</c:f>
              <c:numCache>
                <c:formatCode>0</c:formatCode>
                <c:ptCount val="31"/>
                <c:pt idx="0">
                  <c:v>168.35</c:v>
                </c:pt>
                <c:pt idx="1">
                  <c:v>161.19999999999999</c:v>
                </c:pt>
                <c:pt idx="2">
                  <c:v>163.15</c:v>
                </c:pt>
                <c:pt idx="3">
                  <c:v>139.75</c:v>
                </c:pt>
                <c:pt idx="4">
                  <c:v>132.6</c:v>
                </c:pt>
                <c:pt idx="5">
                  <c:v>132.6</c:v>
                </c:pt>
                <c:pt idx="6">
                  <c:v>131.94999999999999</c:v>
                </c:pt>
                <c:pt idx="7">
                  <c:v>128.69999999999999</c:v>
                </c:pt>
                <c:pt idx="8">
                  <c:v>115.05</c:v>
                </c:pt>
                <c:pt idx="9">
                  <c:v>111.15</c:v>
                </c:pt>
                <c:pt idx="10">
                  <c:v>152.1</c:v>
                </c:pt>
                <c:pt idx="11">
                  <c:v>152.1</c:v>
                </c:pt>
                <c:pt idx="12">
                  <c:v>153.4</c:v>
                </c:pt>
                <c:pt idx="13">
                  <c:v>167.7</c:v>
                </c:pt>
                <c:pt idx="14">
                  <c:v>200.85</c:v>
                </c:pt>
                <c:pt idx="15">
                  <c:v>197.31465</c:v>
                </c:pt>
                <c:pt idx="16">
                  <c:v>200.68035</c:v>
                </c:pt>
                <c:pt idx="17">
                  <c:v>199.71770000000001</c:v>
                </c:pt>
                <c:pt idx="18">
                  <c:v>198.99815000000001</c:v>
                </c:pt>
                <c:pt idx="19">
                  <c:v>226.72259999999997</c:v>
                </c:pt>
                <c:pt idx="20">
                  <c:v>264.70859999999999</c:v>
                </c:pt>
                <c:pt idx="21">
                  <c:v>313.82715000000002</c:v>
                </c:pt>
                <c:pt idx="22">
                  <c:v>313.64515</c:v>
                </c:pt>
                <c:pt idx="23">
                  <c:v>401.73250000000002</c:v>
                </c:pt>
                <c:pt idx="24">
                  <c:v>465.64114999999998</c:v>
                </c:pt>
                <c:pt idx="25">
                  <c:v>609.54984999999999</c:v>
                </c:pt>
                <c:pt idx="26">
                  <c:v>652.53044999999997</c:v>
                </c:pt>
                <c:pt idx="27">
                  <c:v>802.74479999999994</c:v>
                </c:pt>
                <c:pt idx="28">
                  <c:v>1031.18145</c:v>
                </c:pt>
                <c:pt idx="29">
                  <c:v>1546.9804999999999</c:v>
                </c:pt>
                <c:pt idx="30">
                  <c:v>2134.2424999999998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C5-4F1F-BEDE-B7821F96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555216"/>
        <c:axId val="1786548560"/>
      </c:barChart>
      <c:catAx>
        <c:axId val="17865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86548560"/>
        <c:crosses val="autoZero"/>
        <c:auto val="1"/>
        <c:lblAlgn val="ctr"/>
        <c:lblOffset val="100"/>
        <c:noMultiLvlLbl val="0"/>
      </c:catAx>
      <c:valAx>
        <c:axId val="17865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8655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</a:t>
            </a:r>
            <a:r>
              <a:rPr lang="es-ES" baseline="0"/>
              <a:t> demand (GWh)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vs energy demand'!$A$14:$A$34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'GDP vs energy demand'!$B$14:$B$34</c:f>
              <c:numCache>
                <c:formatCode>0</c:formatCode>
                <c:ptCount val="21"/>
                <c:pt idx="0">
                  <c:v>82821906.436499998</c:v>
                </c:pt>
                <c:pt idx="1">
                  <c:v>84749701.693999991</c:v>
                </c:pt>
                <c:pt idx="2">
                  <c:v>86252096.990999997</c:v>
                </c:pt>
                <c:pt idx="3">
                  <c:v>87792076.011999995</c:v>
                </c:pt>
                <c:pt idx="4">
                  <c:v>90596923.996499985</c:v>
                </c:pt>
                <c:pt idx="5">
                  <c:v>91203884.192000002</c:v>
                </c:pt>
                <c:pt idx="6">
                  <c:v>93734604.058999985</c:v>
                </c:pt>
                <c:pt idx="7">
                  <c:v>95850499.726500005</c:v>
                </c:pt>
                <c:pt idx="8">
                  <c:v>95002197.103</c:v>
                </c:pt>
                <c:pt idx="9">
                  <c:v>93072140.956500009</c:v>
                </c:pt>
                <c:pt idx="10">
                  <c:v>93358876.255500004</c:v>
                </c:pt>
                <c:pt idx="11">
                  <c:v>93164650.922000021</c:v>
                </c:pt>
                <c:pt idx="12">
                  <c:v>89938681.660999998</c:v>
                </c:pt>
                <c:pt idx="13">
                  <c:v>89347002.457499996</c:v>
                </c:pt>
                <c:pt idx="14">
                  <c:v>91069873.223999992</c:v>
                </c:pt>
                <c:pt idx="15">
                  <c:v>92522752.241000012</c:v>
                </c:pt>
                <c:pt idx="16">
                  <c:v>94761592.214999989</c:v>
                </c:pt>
                <c:pt idx="17">
                  <c:v>96717826.157499999</c:v>
                </c:pt>
                <c:pt idx="18">
                  <c:v>97209707.852499977</c:v>
                </c:pt>
                <c:pt idx="19">
                  <c:v>98007564.00999999</c:v>
                </c:pt>
                <c:pt idx="20">
                  <c:v>86702921.428000003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F-4F71-A480-E3A6A2F26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184"/>
        <c:axId val="3103840"/>
      </c:lineChart>
      <c:catAx>
        <c:axId val="30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103840"/>
        <c:crosses val="autoZero"/>
        <c:auto val="1"/>
        <c:lblAlgn val="ctr"/>
        <c:lblOffset val="100"/>
        <c:noMultiLvlLbl val="0"/>
      </c:catAx>
      <c:valAx>
        <c:axId val="31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GDP</a:t>
            </a:r>
            <a:r>
              <a:rPr lang="es-ES" baseline="0"/>
              <a:t>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vs energy demand'!$A$14:$A$34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'GDP vs energy demand'!$C$14:$C$34</c:f>
              <c:numCache>
                <c:formatCode>0</c:formatCode>
                <c:ptCount val="21"/>
                <c:pt idx="0">
                  <c:v>22450</c:v>
                </c:pt>
                <c:pt idx="1">
                  <c:v>22900</c:v>
                </c:pt>
                <c:pt idx="2">
                  <c:v>23090</c:v>
                </c:pt>
                <c:pt idx="3">
                  <c:v>23210</c:v>
                </c:pt>
                <c:pt idx="4">
                  <c:v>23710</c:v>
                </c:pt>
                <c:pt idx="5">
                  <c:v>24060</c:v>
                </c:pt>
                <c:pt idx="6">
                  <c:v>24820</c:v>
                </c:pt>
                <c:pt idx="7">
                  <c:v>25510</c:v>
                </c:pt>
                <c:pt idx="8">
                  <c:v>25580</c:v>
                </c:pt>
                <c:pt idx="9">
                  <c:v>24410</c:v>
                </c:pt>
                <c:pt idx="10">
                  <c:v>24900</c:v>
                </c:pt>
                <c:pt idx="11">
                  <c:v>25320</c:v>
                </c:pt>
                <c:pt idx="12">
                  <c:v>25100</c:v>
                </c:pt>
                <c:pt idx="13">
                  <c:v>25060</c:v>
                </c:pt>
                <c:pt idx="14">
                  <c:v>25420</c:v>
                </c:pt>
                <c:pt idx="15">
                  <c:v>25950</c:v>
                </c:pt>
                <c:pt idx="16">
                  <c:v>26410</c:v>
                </c:pt>
                <c:pt idx="17">
                  <c:v>27110</c:v>
                </c:pt>
                <c:pt idx="18">
                  <c:v>27620</c:v>
                </c:pt>
                <c:pt idx="19">
                  <c:v>28070</c:v>
                </c:pt>
                <c:pt idx="20">
                  <c:v>26380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5-49B6-BFAD-ABAE6E46F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184"/>
        <c:axId val="3103840"/>
      </c:lineChart>
      <c:catAx>
        <c:axId val="30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103840"/>
        <c:crosses val="autoZero"/>
        <c:auto val="1"/>
        <c:lblAlgn val="ctr"/>
        <c:lblOffset val="100"/>
        <c:noMultiLvlLbl val="0"/>
      </c:catAx>
      <c:valAx>
        <c:axId val="31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GDP</a:t>
            </a:r>
            <a:endParaRPr lang="es-E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vs energy demand'!$A$14:$A$34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'GDP vs energy demand'!$D$14:$D$34</c:f>
              <c:numCache>
                <c:formatCode>0</c:formatCode>
                <c:ptCount val="21"/>
                <c:pt idx="0">
                  <c:v>1884733.8</c:v>
                </c:pt>
                <c:pt idx="1">
                  <c:v>1984370.5</c:v>
                </c:pt>
                <c:pt idx="2">
                  <c:v>2048281.7</c:v>
                </c:pt>
                <c:pt idx="3">
                  <c:v>2105929.2999999998</c:v>
                </c:pt>
                <c:pt idx="4">
                  <c:v>2191683.9</c:v>
                </c:pt>
                <c:pt idx="5">
                  <c:v>2278213.6</c:v>
                </c:pt>
                <c:pt idx="6">
                  <c:v>2410446.2999999998</c:v>
                </c:pt>
                <c:pt idx="7">
                  <c:v>2567361.9</c:v>
                </c:pt>
                <c:pt idx="8">
                  <c:v>2685772</c:v>
                </c:pt>
                <c:pt idx="9">
                  <c:v>2547472.7000000002</c:v>
                </c:pt>
                <c:pt idx="10">
                  <c:v>2613180.4</c:v>
                </c:pt>
                <c:pt idx="11">
                  <c:v>2740542</c:v>
                </c:pt>
                <c:pt idx="12">
                  <c:v>2765898.3</c:v>
                </c:pt>
                <c:pt idx="13">
                  <c:v>2767379.7</c:v>
                </c:pt>
                <c:pt idx="14">
                  <c:v>2837363.6</c:v>
                </c:pt>
                <c:pt idx="15">
                  <c:v>2925270</c:v>
                </c:pt>
                <c:pt idx="16">
                  <c:v>3010556</c:v>
                </c:pt>
                <c:pt idx="17">
                  <c:v>3130776</c:v>
                </c:pt>
                <c:pt idx="18">
                  <c:v>3252324.5</c:v>
                </c:pt>
                <c:pt idx="19">
                  <c:v>3370135.1</c:v>
                </c:pt>
                <c:pt idx="20">
                  <c:v>3351165.6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6-4C5E-9D03-2076A92C1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184"/>
        <c:axId val="3103840"/>
      </c:lineChart>
      <c:catAx>
        <c:axId val="30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103840"/>
        <c:crosses val="autoZero"/>
        <c:auto val="1"/>
        <c:lblAlgn val="ctr"/>
        <c:lblOffset val="100"/>
        <c:noMultiLvlLbl val="0"/>
      </c:catAx>
      <c:valAx>
        <c:axId val="31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[2]Hoja1!$C$5:$C$33</c:f>
              <c:numCache>
                <c:formatCode>General</c:formatCode>
                <c:ptCount val="29"/>
                <c:pt idx="0">
                  <c:v>63.202425590120903</c:v>
                </c:pt>
                <c:pt idx="1">
                  <c:v>63.096068108682211</c:v>
                </c:pt>
                <c:pt idx="2">
                  <c:v>62.748848680291182</c:v>
                </c:pt>
                <c:pt idx="3">
                  <c:v>62.874939351392889</c:v>
                </c:pt>
                <c:pt idx="4">
                  <c:v>62.773435147219246</c:v>
                </c:pt>
                <c:pt idx="5">
                  <c:v>62.994213030646726</c:v>
                </c:pt>
                <c:pt idx="6">
                  <c:v>62.626369622183745</c:v>
                </c:pt>
                <c:pt idx="7">
                  <c:v>62.424781268579935</c:v>
                </c:pt>
                <c:pt idx="8">
                  <c:v>62.073830599930972</c:v>
                </c:pt>
                <c:pt idx="9">
                  <c:v>62.0246611549954</c:v>
                </c:pt>
                <c:pt idx="10">
                  <c:v>61.4040953507212</c:v>
                </c:pt>
                <c:pt idx="11">
                  <c:v>61.100008758533122</c:v>
                </c:pt>
                <c:pt idx="12">
                  <c:v>61.356041405051144</c:v>
                </c:pt>
                <c:pt idx="13">
                  <c:v>61.151474432730559</c:v>
                </c:pt>
                <c:pt idx="14">
                  <c:v>60.516644353404381</c:v>
                </c:pt>
                <c:pt idx="15">
                  <c:v>59.897580591104102</c:v>
                </c:pt>
                <c:pt idx="16">
                  <c:v>59.362695773595661</c:v>
                </c:pt>
                <c:pt idx="17">
                  <c:v>59.237227800509572</c:v>
                </c:pt>
                <c:pt idx="18">
                  <c:v>59.781661209265934</c:v>
                </c:pt>
                <c:pt idx="19">
                  <c:v>60.683000476396799</c:v>
                </c:pt>
                <c:pt idx="20">
                  <c:v>60.370617099529511</c:v>
                </c:pt>
                <c:pt idx="21">
                  <c:v>60.11341860450348</c:v>
                </c:pt>
                <c:pt idx="22">
                  <c:v>60.22707922794681</c:v>
                </c:pt>
                <c:pt idx="23">
                  <c:v>60.79443879698335</c:v>
                </c:pt>
                <c:pt idx="24">
                  <c:v>61.411716320736318</c:v>
                </c:pt>
                <c:pt idx="25">
                  <c:v>61.344987407204755</c:v>
                </c:pt>
                <c:pt idx="26">
                  <c:v>61.362902543035489</c:v>
                </c:pt>
                <c:pt idx="27">
                  <c:v>61.209153413413276</c:v>
                </c:pt>
                <c:pt idx="28">
                  <c:v>60.622200392275026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5-4212-9FF1-4C840B097B9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[2]Hoja1!$D$5:$D$33</c:f>
              <c:numCache>
                <c:formatCode>General</c:formatCode>
                <c:ptCount val="29"/>
                <c:pt idx="0">
                  <c:v>8.6602613693489889</c:v>
                </c:pt>
                <c:pt idx="1">
                  <c:v>8.7235923536603455</c:v>
                </c:pt>
                <c:pt idx="2">
                  <c:v>8.6362845508117321</c:v>
                </c:pt>
                <c:pt idx="3">
                  <c:v>8.9691006079454869</c:v>
                </c:pt>
                <c:pt idx="4">
                  <c:v>9.1818063078147922</c:v>
                </c:pt>
                <c:pt idx="5">
                  <c:v>9.1688510295611678</c:v>
                </c:pt>
                <c:pt idx="6">
                  <c:v>9.4237272284181444</c:v>
                </c:pt>
                <c:pt idx="7">
                  <c:v>9.630953609829227</c:v>
                </c:pt>
                <c:pt idx="8">
                  <c:v>9.8431105242230874</c:v>
                </c:pt>
                <c:pt idx="9">
                  <c:v>9.916873446120638</c:v>
                </c:pt>
                <c:pt idx="10">
                  <c:v>10.411976673756337</c:v>
                </c:pt>
                <c:pt idx="11">
                  <c:v>10.612642263325711</c:v>
                </c:pt>
                <c:pt idx="12">
                  <c:v>10.596960986980726</c:v>
                </c:pt>
                <c:pt idx="13">
                  <c:v>10.90386083122068</c:v>
                </c:pt>
                <c:pt idx="14">
                  <c:v>11.13653926716375</c:v>
                </c:pt>
                <c:pt idx="15">
                  <c:v>11.485822561277338</c:v>
                </c:pt>
                <c:pt idx="16">
                  <c:v>11.74747525721102</c:v>
                </c:pt>
                <c:pt idx="17">
                  <c:v>12.067287610175418</c:v>
                </c:pt>
                <c:pt idx="18">
                  <c:v>11.970301829444484</c:v>
                </c:pt>
                <c:pt idx="19">
                  <c:v>11.89465508545357</c:v>
                </c:pt>
                <c:pt idx="20">
                  <c:v>11.751011181584024</c:v>
                </c:pt>
                <c:pt idx="21">
                  <c:v>11.797013211001461</c:v>
                </c:pt>
                <c:pt idx="22">
                  <c:v>11.435284821167645</c:v>
                </c:pt>
                <c:pt idx="23">
                  <c:v>10.984483634715779</c:v>
                </c:pt>
                <c:pt idx="24">
                  <c:v>10.846681211060609</c:v>
                </c:pt>
                <c:pt idx="25">
                  <c:v>10.78546075641847</c:v>
                </c:pt>
                <c:pt idx="26">
                  <c:v>10.709285448922884</c:v>
                </c:pt>
                <c:pt idx="27">
                  <c:v>10.708341288568704</c:v>
                </c:pt>
                <c:pt idx="28">
                  <c:v>11.068025346817723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5-4212-9FF1-4C840B097B9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[2]Hoja1!$E$5:$E$33</c:f>
              <c:numCache>
                <c:formatCode>General</c:formatCode>
                <c:ptCount val="29"/>
                <c:pt idx="0">
                  <c:v>26.769774941132031</c:v>
                </c:pt>
                <c:pt idx="1">
                  <c:v>26.854007901982207</c:v>
                </c:pt>
                <c:pt idx="2">
                  <c:v>27.203321976506729</c:v>
                </c:pt>
                <c:pt idx="3">
                  <c:v>26.769979946774487</c:v>
                </c:pt>
                <c:pt idx="4">
                  <c:v>26.662261981409362</c:v>
                </c:pt>
                <c:pt idx="5">
                  <c:v>26.366782836201551</c:v>
                </c:pt>
                <c:pt idx="6">
                  <c:v>26.501471373767789</c:v>
                </c:pt>
                <c:pt idx="7">
                  <c:v>26.482661584692302</c:v>
                </c:pt>
                <c:pt idx="8">
                  <c:v>26.597191290728833</c:v>
                </c:pt>
                <c:pt idx="9">
                  <c:v>26.603918712773666</c:v>
                </c:pt>
                <c:pt idx="10">
                  <c:v>26.780717121463439</c:v>
                </c:pt>
                <c:pt idx="11">
                  <c:v>26.868794745646646</c:v>
                </c:pt>
                <c:pt idx="12">
                  <c:v>26.616770960251866</c:v>
                </c:pt>
                <c:pt idx="13">
                  <c:v>26.505680184320802</c:v>
                </c:pt>
                <c:pt idx="14">
                  <c:v>26.946939089005252</c:v>
                </c:pt>
                <c:pt idx="15">
                  <c:v>27.291422934560885</c:v>
                </c:pt>
                <c:pt idx="16">
                  <c:v>27.6068635070136</c:v>
                </c:pt>
                <c:pt idx="17">
                  <c:v>27.426016242875313</c:v>
                </c:pt>
                <c:pt idx="18">
                  <c:v>26.903899628348405</c:v>
                </c:pt>
                <c:pt idx="19">
                  <c:v>26.080026172341842</c:v>
                </c:pt>
                <c:pt idx="20">
                  <c:v>26.533846018494334</c:v>
                </c:pt>
                <c:pt idx="21">
                  <c:v>26.732926271883713</c:v>
                </c:pt>
                <c:pt idx="22">
                  <c:v>26.946160661132819</c:v>
                </c:pt>
                <c:pt idx="23">
                  <c:v>26.851269653423682</c:v>
                </c:pt>
                <c:pt idx="24">
                  <c:v>26.372418574355518</c:v>
                </c:pt>
                <c:pt idx="25">
                  <c:v>26.544890459373683</c:v>
                </c:pt>
                <c:pt idx="26">
                  <c:v>26.624317355247339</c:v>
                </c:pt>
                <c:pt idx="27">
                  <c:v>26.822213914635313</c:v>
                </c:pt>
                <c:pt idx="28">
                  <c:v>27.068449863870743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5-4212-9FF1-4C840B097B9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[2]Hoja1!$F$5:$F$33</c:f>
              <c:numCache>
                <c:formatCode>General</c:formatCode>
                <c:ptCount val="29"/>
                <c:pt idx="0">
                  <c:v>1.2943849975267592</c:v>
                </c:pt>
                <c:pt idx="1">
                  <c:v>1.2768606326883052</c:v>
                </c:pt>
                <c:pt idx="2">
                  <c:v>1.3170565637847864</c:v>
                </c:pt>
                <c:pt idx="3">
                  <c:v>1.3519671366874459</c:v>
                </c:pt>
                <c:pt idx="4">
                  <c:v>1.3478934221434371</c:v>
                </c:pt>
                <c:pt idx="5">
                  <c:v>1.4337031123327466</c:v>
                </c:pt>
                <c:pt idx="6">
                  <c:v>1.4192381085985708</c:v>
                </c:pt>
                <c:pt idx="7">
                  <c:v>1.4282568725552758</c:v>
                </c:pt>
                <c:pt idx="8">
                  <c:v>1.4594027846726845</c:v>
                </c:pt>
                <c:pt idx="9">
                  <c:v>1.4327218055491147</c:v>
                </c:pt>
                <c:pt idx="10">
                  <c:v>1.3807878999357468</c:v>
                </c:pt>
                <c:pt idx="11">
                  <c:v>1.3760740999465311</c:v>
                </c:pt>
                <c:pt idx="12">
                  <c:v>1.4003418062537156</c:v>
                </c:pt>
                <c:pt idx="13">
                  <c:v>1.4137225870361809</c:v>
                </c:pt>
                <c:pt idx="14">
                  <c:v>1.3757211618966219</c:v>
                </c:pt>
                <c:pt idx="15">
                  <c:v>1.3016226828973716</c:v>
                </c:pt>
                <c:pt idx="16">
                  <c:v>1.2634153677893687</c:v>
                </c:pt>
                <c:pt idx="17">
                  <c:v>1.2495877150357615</c:v>
                </c:pt>
                <c:pt idx="18">
                  <c:v>1.3203759289796502</c:v>
                </c:pt>
                <c:pt idx="19">
                  <c:v>1.3164785488739079</c:v>
                </c:pt>
                <c:pt idx="20">
                  <c:v>1.3258650473856086</c:v>
                </c:pt>
                <c:pt idx="21">
                  <c:v>1.337500714455893</c:v>
                </c:pt>
                <c:pt idx="22">
                  <c:v>1.3732345598692914</c:v>
                </c:pt>
                <c:pt idx="23">
                  <c:v>1.3541035554026295</c:v>
                </c:pt>
                <c:pt idx="24">
                  <c:v>1.3484234508831703</c:v>
                </c:pt>
                <c:pt idx="25">
                  <c:v>1.3096964708587486</c:v>
                </c:pt>
                <c:pt idx="26">
                  <c:v>1.2868556610620692</c:v>
                </c:pt>
                <c:pt idx="27">
                  <c:v>1.2431064195218848</c:v>
                </c:pt>
                <c:pt idx="28">
                  <c:v>1.2242925774785918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5-4212-9FF1-4C840B097B9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[2]Hoja1!$G$5:$G$33</c:f>
              <c:numCache>
                <c:formatCode>General</c:formatCode>
                <c:ptCount val="29"/>
                <c:pt idx="0">
                  <c:v>7.3153101871318113E-2</c:v>
                </c:pt>
                <c:pt idx="1">
                  <c:v>4.9471002986929385E-2</c:v>
                </c:pt>
                <c:pt idx="2">
                  <c:v>9.4488228605568145E-2</c:v>
                </c:pt>
                <c:pt idx="3">
                  <c:v>3.401143618380887E-2</c:v>
                </c:pt>
                <c:pt idx="4">
                  <c:v>3.4601632993742366E-2</c:v>
                </c:pt>
                <c:pt idx="5">
                  <c:v>3.6449991257808498E-2</c:v>
                </c:pt>
                <c:pt idx="6">
                  <c:v>2.9196544672677339E-2</c:v>
                </c:pt>
                <c:pt idx="7">
                  <c:v>3.3346664343274227E-2</c:v>
                </c:pt>
                <c:pt idx="8">
                  <c:v>2.646480044442312E-2</c:v>
                </c:pt>
                <c:pt idx="9">
                  <c:v>2.1824880561181041E-2</c:v>
                </c:pt>
                <c:pt idx="10">
                  <c:v>2.242295412328103E-2</c:v>
                </c:pt>
                <c:pt idx="11">
                  <c:v>4.2480132547988797E-2</c:v>
                </c:pt>
                <c:pt idx="12">
                  <c:v>2.9884841462549518E-2</c:v>
                </c:pt>
                <c:pt idx="13">
                  <c:v>2.5261964691785595E-2</c:v>
                </c:pt>
                <c:pt idx="14">
                  <c:v>2.4156128530005892E-2</c:v>
                </c:pt>
                <c:pt idx="15">
                  <c:v>2.3552485891048833E-2</c:v>
                </c:pt>
                <c:pt idx="16">
                  <c:v>1.9551337955931867E-2</c:v>
                </c:pt>
                <c:pt idx="17">
                  <c:v>1.9879402307714195E-2</c:v>
                </c:pt>
                <c:pt idx="18">
                  <c:v>2.3761403961537791E-2</c:v>
                </c:pt>
                <c:pt idx="19">
                  <c:v>2.5839716933881148E-2</c:v>
                </c:pt>
                <c:pt idx="20">
                  <c:v>1.8659357487702966E-2</c:v>
                </c:pt>
                <c:pt idx="21">
                  <c:v>1.9141198155463116E-2</c:v>
                </c:pt>
                <c:pt idx="22">
                  <c:v>1.8240729883432897E-2</c:v>
                </c:pt>
                <c:pt idx="23">
                  <c:v>1.5704359474560874E-2</c:v>
                </c:pt>
                <c:pt idx="24">
                  <c:v>2.0760442964378865E-2</c:v>
                </c:pt>
                <c:pt idx="25">
                  <c:v>1.496490614435185E-2</c:v>
                </c:pt>
                <c:pt idx="26">
                  <c:v>1.6638991732223593E-2</c:v>
                </c:pt>
                <c:pt idx="27">
                  <c:v>1.7186237292757072E-2</c:v>
                </c:pt>
                <c:pt idx="28">
                  <c:v>1.7030547482363403E-2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5-4212-9FF1-4C840B097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79232"/>
        <c:axId val="16275488"/>
      </c:barChart>
      <c:catAx>
        <c:axId val="1627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275488"/>
        <c:crosses val="autoZero"/>
        <c:auto val="1"/>
        <c:lblAlgn val="ctr"/>
        <c:lblOffset val="100"/>
        <c:noMultiLvlLbl val="0"/>
      </c:catAx>
      <c:valAx>
        <c:axId val="162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27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[2]Hoja1!$A$5:$A$34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[2]Hoja1!$I$5:$I$34</c:f>
              <c:numCache>
                <c:formatCode>General</c:formatCode>
                <c:ptCount val="30"/>
                <c:pt idx="0">
                  <c:v>620.13774999999998</c:v>
                </c:pt>
                <c:pt idx="1">
                  <c:v>629.37878999999998</c:v>
                </c:pt>
                <c:pt idx="2">
                  <c:v>651.71081000000004</c:v>
                </c:pt>
                <c:pt idx="3">
                  <c:v>657.45533</c:v>
                </c:pt>
                <c:pt idx="4">
                  <c:v>662.94559000000004</c:v>
                </c:pt>
                <c:pt idx="5">
                  <c:v>675.11676</c:v>
                </c:pt>
                <c:pt idx="6">
                  <c:v>695.01374999999996</c:v>
                </c:pt>
                <c:pt idx="7">
                  <c:v>705.34790999999996</c:v>
                </c:pt>
                <c:pt idx="8">
                  <c:v>733.04917</c:v>
                </c:pt>
                <c:pt idx="9">
                  <c:v>749.96974</c:v>
                </c:pt>
                <c:pt idx="10">
                  <c:v>747.09157000000005</c:v>
                </c:pt>
                <c:pt idx="11">
                  <c:v>761.88557000000003</c:v>
                </c:pt>
                <c:pt idx="12">
                  <c:v>771.36095999999998</c:v>
                </c:pt>
                <c:pt idx="13">
                  <c:v>781.05564000000004</c:v>
                </c:pt>
                <c:pt idx="14">
                  <c:v>797.85136</c:v>
                </c:pt>
                <c:pt idx="15">
                  <c:v>796.34906000000001</c:v>
                </c:pt>
                <c:pt idx="16">
                  <c:v>804.13933999999995</c:v>
                </c:pt>
                <c:pt idx="17">
                  <c:v>813.60595000000001</c:v>
                </c:pt>
                <c:pt idx="18">
                  <c:v>795.11294999999996</c:v>
                </c:pt>
                <c:pt idx="19">
                  <c:v>775.04719</c:v>
                </c:pt>
                <c:pt idx="20">
                  <c:v>771.89152999999999</c:v>
                </c:pt>
                <c:pt idx="21">
                  <c:v>763.69304999999997</c:v>
                </c:pt>
                <c:pt idx="22">
                  <c:v>736.31921999999997</c:v>
                </c:pt>
                <c:pt idx="23">
                  <c:v>733.42692</c:v>
                </c:pt>
                <c:pt idx="24">
                  <c:v>742.03619000000003</c:v>
                </c:pt>
                <c:pt idx="25">
                  <c:v>756.03548000000001</c:v>
                </c:pt>
                <c:pt idx="26">
                  <c:v>772.82326999999998</c:v>
                </c:pt>
                <c:pt idx="27">
                  <c:v>785.27950999999996</c:v>
                </c:pt>
                <c:pt idx="28">
                  <c:v>786.11683000000005</c:v>
                </c:pt>
                <c:pt idx="29">
                  <c:v>792.75870999999995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1-4F82-90AE-B4A19FF3D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9088"/>
        <c:axId val="13297424"/>
      </c:barChart>
      <c:catAx>
        <c:axId val="132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297424"/>
        <c:crosses val="autoZero"/>
        <c:auto val="1"/>
        <c:lblAlgn val="ctr"/>
        <c:lblOffset val="100"/>
        <c:noMultiLvlLbl val="0"/>
      </c:catAx>
      <c:valAx>
        <c:axId val="132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2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Price</a:t>
            </a:r>
            <a:r>
              <a:rPr lang="es-ES" baseline="0"/>
              <a:t> total cost owenership of urban vehicle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'Vehicle cost'!$I$23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'Vehicle cost'!$G$24:$G$43</c:f>
              <c:numCache>
                <c:formatCode>General</c:formatCode>
                <c:ptCount val="20"/>
                <c:pt idx="0">
                  <c:v>0.2</c:v>
                </c:pt>
                <c:pt idx="1">
                  <c:v>0.19</c:v>
                </c:pt>
                <c:pt idx="2">
                  <c:v>0.18</c:v>
                </c:pt>
                <c:pt idx="3">
                  <c:v>0.16999999999999998</c:v>
                </c:pt>
                <c:pt idx="4">
                  <c:v>0.15999999999999998</c:v>
                </c:pt>
                <c:pt idx="5">
                  <c:v>0.14999999999999997</c:v>
                </c:pt>
                <c:pt idx="6">
                  <c:v>0.13999999999999996</c:v>
                </c:pt>
                <c:pt idx="7">
                  <c:v>0.12999999999999995</c:v>
                </c:pt>
                <c:pt idx="8">
                  <c:v>0.11999999999999995</c:v>
                </c:pt>
                <c:pt idx="9">
                  <c:v>0.10999999999999996</c:v>
                </c:pt>
                <c:pt idx="10">
                  <c:v>9.9999999999999964E-2</c:v>
                </c:pt>
                <c:pt idx="11">
                  <c:v>8.9999999999999969E-2</c:v>
                </c:pt>
                <c:pt idx="12">
                  <c:v>7.9999999999999974E-2</c:v>
                </c:pt>
                <c:pt idx="13">
                  <c:v>6.9999999999999979E-2</c:v>
                </c:pt>
                <c:pt idx="14">
                  <c:v>5.9999999999999977E-2</c:v>
                </c:pt>
                <c:pt idx="15">
                  <c:v>4.9999999999999975E-2</c:v>
                </c:pt>
                <c:pt idx="16">
                  <c:v>3.9999999999999973E-2</c:v>
                </c:pt>
                <c:pt idx="17">
                  <c:v>2.9999999999999971E-2</c:v>
                </c:pt>
                <c:pt idx="18">
                  <c:v>1.9999999999999969E-2</c:v>
                </c:pt>
                <c:pt idx="19">
                  <c:v>9.999999999999969E-3</c:v>
                </c:pt>
              </c:numCache>
            </c:numRef>
          </c:cat>
          <c:val>
            <c:numRef>
              <c:f>'Vehicle cost'!$I$24:$I$43</c:f>
              <c:numCache>
                <c:formatCode>0</c:formatCode>
                <c:ptCount val="20"/>
                <c:pt idx="0">
                  <c:v>57158.878504672903</c:v>
                </c:pt>
                <c:pt idx="1">
                  <c:v>57158.878504672903</c:v>
                </c:pt>
                <c:pt idx="2">
                  <c:v>57158.878504672903</c:v>
                </c:pt>
                <c:pt idx="3">
                  <c:v>57158.878504672903</c:v>
                </c:pt>
                <c:pt idx="4">
                  <c:v>57158.878504672903</c:v>
                </c:pt>
                <c:pt idx="5">
                  <c:v>57158.878504672903</c:v>
                </c:pt>
                <c:pt idx="6">
                  <c:v>57158.878504672903</c:v>
                </c:pt>
                <c:pt idx="7">
                  <c:v>57158.878504672903</c:v>
                </c:pt>
                <c:pt idx="8">
                  <c:v>57158.878504672903</c:v>
                </c:pt>
                <c:pt idx="9">
                  <c:v>57158.878504672903</c:v>
                </c:pt>
                <c:pt idx="10">
                  <c:v>57158.878504672903</c:v>
                </c:pt>
                <c:pt idx="11">
                  <c:v>57158.878504672903</c:v>
                </c:pt>
                <c:pt idx="12">
                  <c:v>57158.878504672903</c:v>
                </c:pt>
                <c:pt idx="13">
                  <c:v>57158.878504672903</c:v>
                </c:pt>
                <c:pt idx="14">
                  <c:v>57158.878504672903</c:v>
                </c:pt>
                <c:pt idx="15">
                  <c:v>57158.878504672903</c:v>
                </c:pt>
                <c:pt idx="16">
                  <c:v>57158.878504672903</c:v>
                </c:pt>
                <c:pt idx="17">
                  <c:v>57158.878504672903</c:v>
                </c:pt>
                <c:pt idx="18">
                  <c:v>57158.878504672903</c:v>
                </c:pt>
                <c:pt idx="19">
                  <c:v>57158.878504672903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C-4B92-81D1-8E1877E83EB6}"/>
            </c:ext>
          </c:extLst>
        </c:ser>
        <c:ser>
          <c:idx val="1"/>
          <c:order val="1"/>
          <c:tx>
            <c:strRef>
              <c:f>'Vehicle cost'!$J$23</c:f>
              <c:strCache>
                <c:ptCount val="1"/>
                <c:pt idx="0">
                  <c:v>BEV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'Vehicle cost'!$G$24:$G$43</c:f>
              <c:numCache>
                <c:formatCode>General</c:formatCode>
                <c:ptCount val="20"/>
                <c:pt idx="0">
                  <c:v>0.2</c:v>
                </c:pt>
                <c:pt idx="1">
                  <c:v>0.19</c:v>
                </c:pt>
                <c:pt idx="2">
                  <c:v>0.18</c:v>
                </c:pt>
                <c:pt idx="3">
                  <c:v>0.16999999999999998</c:v>
                </c:pt>
                <c:pt idx="4">
                  <c:v>0.15999999999999998</c:v>
                </c:pt>
                <c:pt idx="5">
                  <c:v>0.14999999999999997</c:v>
                </c:pt>
                <c:pt idx="6">
                  <c:v>0.13999999999999996</c:v>
                </c:pt>
                <c:pt idx="7">
                  <c:v>0.12999999999999995</c:v>
                </c:pt>
                <c:pt idx="8">
                  <c:v>0.11999999999999995</c:v>
                </c:pt>
                <c:pt idx="9">
                  <c:v>0.10999999999999996</c:v>
                </c:pt>
                <c:pt idx="10">
                  <c:v>9.9999999999999964E-2</c:v>
                </c:pt>
                <c:pt idx="11">
                  <c:v>8.9999999999999969E-2</c:v>
                </c:pt>
                <c:pt idx="12">
                  <c:v>7.9999999999999974E-2</c:v>
                </c:pt>
                <c:pt idx="13">
                  <c:v>6.9999999999999979E-2</c:v>
                </c:pt>
                <c:pt idx="14">
                  <c:v>5.9999999999999977E-2</c:v>
                </c:pt>
                <c:pt idx="15">
                  <c:v>4.9999999999999975E-2</c:v>
                </c:pt>
                <c:pt idx="16">
                  <c:v>3.9999999999999973E-2</c:v>
                </c:pt>
                <c:pt idx="17">
                  <c:v>2.9999999999999971E-2</c:v>
                </c:pt>
                <c:pt idx="18">
                  <c:v>1.9999999999999969E-2</c:v>
                </c:pt>
                <c:pt idx="19">
                  <c:v>9.999999999999969E-3</c:v>
                </c:pt>
              </c:numCache>
            </c:numRef>
          </c:cat>
          <c:val>
            <c:numRef>
              <c:f>'Vehicle cost'!$J$24:$J$43</c:f>
              <c:numCache>
                <c:formatCode>0</c:formatCode>
                <c:ptCount val="20"/>
                <c:pt idx="0">
                  <c:v>56760</c:v>
                </c:pt>
                <c:pt idx="1">
                  <c:v>55672</c:v>
                </c:pt>
                <c:pt idx="2">
                  <c:v>54584</c:v>
                </c:pt>
                <c:pt idx="3">
                  <c:v>53496</c:v>
                </c:pt>
                <c:pt idx="4">
                  <c:v>52408</c:v>
                </c:pt>
                <c:pt idx="5">
                  <c:v>51319.999999999993</c:v>
                </c:pt>
                <c:pt idx="6">
                  <c:v>50231.999999999993</c:v>
                </c:pt>
                <c:pt idx="7">
                  <c:v>49143.999999999993</c:v>
                </c:pt>
                <c:pt idx="8">
                  <c:v>48055.999999999993</c:v>
                </c:pt>
                <c:pt idx="9">
                  <c:v>46967.999999999993</c:v>
                </c:pt>
                <c:pt idx="10">
                  <c:v>45880</c:v>
                </c:pt>
                <c:pt idx="11">
                  <c:v>44792</c:v>
                </c:pt>
                <c:pt idx="12">
                  <c:v>43704</c:v>
                </c:pt>
                <c:pt idx="13">
                  <c:v>42616</c:v>
                </c:pt>
                <c:pt idx="14">
                  <c:v>41528</c:v>
                </c:pt>
                <c:pt idx="15">
                  <c:v>40440</c:v>
                </c:pt>
                <c:pt idx="16">
                  <c:v>39352</c:v>
                </c:pt>
                <c:pt idx="17">
                  <c:v>38264</c:v>
                </c:pt>
                <c:pt idx="18">
                  <c:v>37176</c:v>
                </c:pt>
                <c:pt idx="19">
                  <c:v>36088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C-4B92-81D1-8E1877E83EB6}"/>
            </c:ext>
          </c:extLst>
        </c:ser>
        <c:ser>
          <c:idx val="2"/>
          <c:order val="2"/>
          <c:tx>
            <c:strRef>
              <c:f>'Vehicle cost'!$K$23</c:f>
              <c:strCache>
                <c:ptCount val="1"/>
                <c:pt idx="0">
                  <c:v>FCEV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'Vehicle cost'!$G$24:$G$43</c:f>
              <c:numCache>
                <c:formatCode>General</c:formatCode>
                <c:ptCount val="20"/>
                <c:pt idx="0">
                  <c:v>0.2</c:v>
                </c:pt>
                <c:pt idx="1">
                  <c:v>0.19</c:v>
                </c:pt>
                <c:pt idx="2">
                  <c:v>0.18</c:v>
                </c:pt>
                <c:pt idx="3">
                  <c:v>0.16999999999999998</c:v>
                </c:pt>
                <c:pt idx="4">
                  <c:v>0.15999999999999998</c:v>
                </c:pt>
                <c:pt idx="5">
                  <c:v>0.14999999999999997</c:v>
                </c:pt>
                <c:pt idx="6">
                  <c:v>0.13999999999999996</c:v>
                </c:pt>
                <c:pt idx="7">
                  <c:v>0.12999999999999995</c:v>
                </c:pt>
                <c:pt idx="8">
                  <c:v>0.11999999999999995</c:v>
                </c:pt>
                <c:pt idx="9">
                  <c:v>0.10999999999999996</c:v>
                </c:pt>
                <c:pt idx="10">
                  <c:v>9.9999999999999964E-2</c:v>
                </c:pt>
                <c:pt idx="11">
                  <c:v>8.9999999999999969E-2</c:v>
                </c:pt>
                <c:pt idx="12">
                  <c:v>7.9999999999999974E-2</c:v>
                </c:pt>
                <c:pt idx="13">
                  <c:v>6.9999999999999979E-2</c:v>
                </c:pt>
                <c:pt idx="14">
                  <c:v>5.9999999999999977E-2</c:v>
                </c:pt>
                <c:pt idx="15">
                  <c:v>4.9999999999999975E-2</c:v>
                </c:pt>
                <c:pt idx="16">
                  <c:v>3.9999999999999973E-2</c:v>
                </c:pt>
                <c:pt idx="17">
                  <c:v>2.9999999999999971E-2</c:v>
                </c:pt>
                <c:pt idx="18">
                  <c:v>1.9999999999999969E-2</c:v>
                </c:pt>
                <c:pt idx="19">
                  <c:v>9.999999999999969E-3</c:v>
                </c:pt>
              </c:numCache>
            </c:numRef>
          </c:cat>
          <c:val>
            <c:numRef>
              <c:f>'Vehicle cost'!$K$24:$K$43</c:f>
              <c:numCache>
                <c:formatCode>0</c:formatCode>
                <c:ptCount val="20"/>
                <c:pt idx="0">
                  <c:v>113084.65608465609</c:v>
                </c:pt>
                <c:pt idx="1">
                  <c:v>110392.59259259258</c:v>
                </c:pt>
                <c:pt idx="2">
                  <c:v>107700.52910052909</c:v>
                </c:pt>
                <c:pt idx="3">
                  <c:v>105008.4656084656</c:v>
                </c:pt>
                <c:pt idx="4">
                  <c:v>102316.40211640211</c:v>
                </c:pt>
                <c:pt idx="5">
                  <c:v>99624.338624338619</c:v>
                </c:pt>
                <c:pt idx="6">
                  <c:v>96932.275132275128</c:v>
                </c:pt>
                <c:pt idx="7">
                  <c:v>94240.211640211623</c:v>
                </c:pt>
                <c:pt idx="8">
                  <c:v>91548.148148148131</c:v>
                </c:pt>
                <c:pt idx="9">
                  <c:v>88856.08465608464</c:v>
                </c:pt>
                <c:pt idx="10">
                  <c:v>86164.021164021149</c:v>
                </c:pt>
                <c:pt idx="11">
                  <c:v>83471.957671957658</c:v>
                </c:pt>
                <c:pt idx="12">
                  <c:v>80779.894179894181</c:v>
                </c:pt>
                <c:pt idx="13">
                  <c:v>78087.830687830676</c:v>
                </c:pt>
                <c:pt idx="14">
                  <c:v>75395.767195767199</c:v>
                </c:pt>
                <c:pt idx="15">
                  <c:v>72703.703703703693</c:v>
                </c:pt>
                <c:pt idx="16">
                  <c:v>70011.640211640202</c:v>
                </c:pt>
                <c:pt idx="17">
                  <c:v>67319.576719576711</c:v>
                </c:pt>
                <c:pt idx="18">
                  <c:v>64627.51322751322</c:v>
                </c:pt>
                <c:pt idx="19">
                  <c:v>61935.449735449729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C-4B92-81D1-8E1877E83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252399"/>
        <c:axId val="1261260719"/>
      </c:lineChart>
      <c:catAx>
        <c:axId val="126125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61260719"/>
        <c:crosses val="autoZero"/>
        <c:auto val="1"/>
        <c:lblAlgn val="ctr"/>
        <c:lblOffset val="100"/>
        <c:noMultiLvlLbl val="0"/>
      </c:catAx>
      <c:valAx>
        <c:axId val="12612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6125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Price</a:t>
            </a:r>
            <a:r>
              <a:rPr lang="es-ES" baseline="0"/>
              <a:t> total cost owenership of regional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'Vehicle cost'!$I$23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'Vehicle cost'!$G$48:$G$67</c:f>
              <c:numCache>
                <c:formatCode>General</c:formatCode>
                <c:ptCount val="20"/>
                <c:pt idx="0">
                  <c:v>0.2</c:v>
                </c:pt>
                <c:pt idx="1">
                  <c:v>0.19</c:v>
                </c:pt>
                <c:pt idx="2">
                  <c:v>0.18</c:v>
                </c:pt>
                <c:pt idx="3">
                  <c:v>0.16999999999999998</c:v>
                </c:pt>
                <c:pt idx="4">
                  <c:v>0.15999999999999998</c:v>
                </c:pt>
                <c:pt idx="5">
                  <c:v>0.14999999999999997</c:v>
                </c:pt>
                <c:pt idx="6">
                  <c:v>0.13999999999999996</c:v>
                </c:pt>
                <c:pt idx="7">
                  <c:v>0.12999999999999995</c:v>
                </c:pt>
                <c:pt idx="8">
                  <c:v>0.11999999999999995</c:v>
                </c:pt>
                <c:pt idx="9">
                  <c:v>0.10999999999999996</c:v>
                </c:pt>
                <c:pt idx="10">
                  <c:v>9.9999999999999964E-2</c:v>
                </c:pt>
                <c:pt idx="11">
                  <c:v>8.9999999999999969E-2</c:v>
                </c:pt>
                <c:pt idx="12">
                  <c:v>7.9999999999999974E-2</c:v>
                </c:pt>
                <c:pt idx="13">
                  <c:v>6.9999999999999979E-2</c:v>
                </c:pt>
                <c:pt idx="14">
                  <c:v>5.9999999999999977E-2</c:v>
                </c:pt>
                <c:pt idx="15">
                  <c:v>4.9999999999999975E-2</c:v>
                </c:pt>
                <c:pt idx="16">
                  <c:v>3.9999999999999973E-2</c:v>
                </c:pt>
                <c:pt idx="17">
                  <c:v>2.9999999999999971E-2</c:v>
                </c:pt>
                <c:pt idx="18">
                  <c:v>1.9999999999999969E-2</c:v>
                </c:pt>
                <c:pt idx="19">
                  <c:v>9.999999999999969E-3</c:v>
                </c:pt>
              </c:numCache>
            </c:numRef>
          </c:cat>
          <c:val>
            <c:numRef>
              <c:f>'Vehicle cost'!$I$48:$I$67</c:f>
              <c:numCache>
                <c:formatCode>0</c:formatCode>
                <c:ptCount val="20"/>
                <c:pt idx="0">
                  <c:v>69736.448598130839</c:v>
                </c:pt>
                <c:pt idx="1">
                  <c:v>69736.448598130839</c:v>
                </c:pt>
                <c:pt idx="2">
                  <c:v>69736.448598130839</c:v>
                </c:pt>
                <c:pt idx="3">
                  <c:v>69736.448598130839</c:v>
                </c:pt>
                <c:pt idx="4">
                  <c:v>69736.448598130839</c:v>
                </c:pt>
                <c:pt idx="5">
                  <c:v>69736.448598130839</c:v>
                </c:pt>
                <c:pt idx="6">
                  <c:v>69736.448598130839</c:v>
                </c:pt>
                <c:pt idx="7">
                  <c:v>69736.448598130839</c:v>
                </c:pt>
                <c:pt idx="8">
                  <c:v>69736.448598130839</c:v>
                </c:pt>
                <c:pt idx="9">
                  <c:v>69736.448598130839</c:v>
                </c:pt>
                <c:pt idx="10">
                  <c:v>69736.448598130839</c:v>
                </c:pt>
                <c:pt idx="11">
                  <c:v>69736.448598130839</c:v>
                </c:pt>
                <c:pt idx="12">
                  <c:v>69736.448598130839</c:v>
                </c:pt>
                <c:pt idx="13">
                  <c:v>69736.448598130839</c:v>
                </c:pt>
                <c:pt idx="14">
                  <c:v>69736.448598130839</c:v>
                </c:pt>
                <c:pt idx="15">
                  <c:v>69736.448598130839</c:v>
                </c:pt>
                <c:pt idx="16">
                  <c:v>69736.448598130839</c:v>
                </c:pt>
                <c:pt idx="17">
                  <c:v>69736.448598130839</c:v>
                </c:pt>
                <c:pt idx="18">
                  <c:v>69736.448598130839</c:v>
                </c:pt>
                <c:pt idx="19">
                  <c:v>69736.448598130839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4-4658-B878-20FD81D9F6B5}"/>
            </c:ext>
          </c:extLst>
        </c:ser>
        <c:ser>
          <c:idx val="1"/>
          <c:order val="1"/>
          <c:tx>
            <c:strRef>
              <c:f>'Vehicle cost'!$J$23</c:f>
              <c:strCache>
                <c:ptCount val="1"/>
                <c:pt idx="0">
                  <c:v>BEV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'Vehicle cost'!$G$48:$G$67</c:f>
              <c:numCache>
                <c:formatCode>General</c:formatCode>
                <c:ptCount val="20"/>
                <c:pt idx="0">
                  <c:v>0.2</c:v>
                </c:pt>
                <c:pt idx="1">
                  <c:v>0.19</c:v>
                </c:pt>
                <c:pt idx="2">
                  <c:v>0.18</c:v>
                </c:pt>
                <c:pt idx="3">
                  <c:v>0.16999999999999998</c:v>
                </c:pt>
                <c:pt idx="4">
                  <c:v>0.15999999999999998</c:v>
                </c:pt>
                <c:pt idx="5">
                  <c:v>0.14999999999999997</c:v>
                </c:pt>
                <c:pt idx="6">
                  <c:v>0.13999999999999996</c:v>
                </c:pt>
                <c:pt idx="7">
                  <c:v>0.12999999999999995</c:v>
                </c:pt>
                <c:pt idx="8">
                  <c:v>0.11999999999999995</c:v>
                </c:pt>
                <c:pt idx="9">
                  <c:v>0.10999999999999996</c:v>
                </c:pt>
                <c:pt idx="10">
                  <c:v>9.9999999999999964E-2</c:v>
                </c:pt>
                <c:pt idx="11">
                  <c:v>8.9999999999999969E-2</c:v>
                </c:pt>
                <c:pt idx="12">
                  <c:v>7.9999999999999974E-2</c:v>
                </c:pt>
                <c:pt idx="13">
                  <c:v>6.9999999999999979E-2</c:v>
                </c:pt>
                <c:pt idx="14">
                  <c:v>5.9999999999999977E-2</c:v>
                </c:pt>
                <c:pt idx="15">
                  <c:v>4.9999999999999975E-2</c:v>
                </c:pt>
                <c:pt idx="16">
                  <c:v>3.9999999999999973E-2</c:v>
                </c:pt>
                <c:pt idx="17">
                  <c:v>2.9999999999999971E-2</c:v>
                </c:pt>
                <c:pt idx="18">
                  <c:v>1.9999999999999969E-2</c:v>
                </c:pt>
                <c:pt idx="19">
                  <c:v>9.999999999999969E-3</c:v>
                </c:pt>
              </c:numCache>
            </c:numRef>
          </c:cat>
          <c:val>
            <c:numRef>
              <c:f>'Vehicle cost'!$J$48:$J$67</c:f>
              <c:numCache>
                <c:formatCode>0</c:formatCode>
                <c:ptCount val="20"/>
                <c:pt idx="0">
                  <c:v>90736</c:v>
                </c:pt>
                <c:pt idx="1">
                  <c:v>90299.199999999997</c:v>
                </c:pt>
                <c:pt idx="2">
                  <c:v>89862.399999999994</c:v>
                </c:pt>
                <c:pt idx="3">
                  <c:v>89425.600000000006</c:v>
                </c:pt>
                <c:pt idx="4">
                  <c:v>88988.800000000003</c:v>
                </c:pt>
                <c:pt idx="5">
                  <c:v>88552</c:v>
                </c:pt>
                <c:pt idx="6">
                  <c:v>88115.199999999997</c:v>
                </c:pt>
                <c:pt idx="7">
                  <c:v>87678.399999999994</c:v>
                </c:pt>
                <c:pt idx="8">
                  <c:v>87241.599999999991</c:v>
                </c:pt>
                <c:pt idx="9">
                  <c:v>86804.800000000003</c:v>
                </c:pt>
                <c:pt idx="10">
                  <c:v>86368</c:v>
                </c:pt>
                <c:pt idx="11">
                  <c:v>85931.199999999997</c:v>
                </c:pt>
                <c:pt idx="12">
                  <c:v>85494.399999999994</c:v>
                </c:pt>
                <c:pt idx="13">
                  <c:v>85057.600000000006</c:v>
                </c:pt>
                <c:pt idx="14">
                  <c:v>84620.800000000003</c:v>
                </c:pt>
                <c:pt idx="15">
                  <c:v>84184</c:v>
                </c:pt>
                <c:pt idx="16">
                  <c:v>83747.199999999997</c:v>
                </c:pt>
                <c:pt idx="17">
                  <c:v>83310.399999999994</c:v>
                </c:pt>
                <c:pt idx="18">
                  <c:v>82873.600000000006</c:v>
                </c:pt>
                <c:pt idx="19">
                  <c:v>82436.800000000003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4-4658-B878-20FD81D9F6B5}"/>
            </c:ext>
          </c:extLst>
        </c:ser>
        <c:ser>
          <c:idx val="2"/>
          <c:order val="2"/>
          <c:tx>
            <c:strRef>
              <c:f>'Vehicle cost'!$K$23</c:f>
              <c:strCache>
                <c:ptCount val="1"/>
                <c:pt idx="0">
                  <c:v>FCEV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'Vehicle cost'!$G$48:$G$67</c:f>
              <c:numCache>
                <c:formatCode>General</c:formatCode>
                <c:ptCount val="20"/>
                <c:pt idx="0">
                  <c:v>0.2</c:v>
                </c:pt>
                <c:pt idx="1">
                  <c:v>0.19</c:v>
                </c:pt>
                <c:pt idx="2">
                  <c:v>0.18</c:v>
                </c:pt>
                <c:pt idx="3">
                  <c:v>0.16999999999999998</c:v>
                </c:pt>
                <c:pt idx="4">
                  <c:v>0.15999999999999998</c:v>
                </c:pt>
                <c:pt idx="5">
                  <c:v>0.14999999999999997</c:v>
                </c:pt>
                <c:pt idx="6">
                  <c:v>0.13999999999999996</c:v>
                </c:pt>
                <c:pt idx="7">
                  <c:v>0.12999999999999995</c:v>
                </c:pt>
                <c:pt idx="8">
                  <c:v>0.11999999999999995</c:v>
                </c:pt>
                <c:pt idx="9">
                  <c:v>0.10999999999999996</c:v>
                </c:pt>
                <c:pt idx="10">
                  <c:v>9.9999999999999964E-2</c:v>
                </c:pt>
                <c:pt idx="11">
                  <c:v>8.9999999999999969E-2</c:v>
                </c:pt>
                <c:pt idx="12">
                  <c:v>7.9999999999999974E-2</c:v>
                </c:pt>
                <c:pt idx="13">
                  <c:v>6.9999999999999979E-2</c:v>
                </c:pt>
                <c:pt idx="14">
                  <c:v>5.9999999999999977E-2</c:v>
                </c:pt>
                <c:pt idx="15">
                  <c:v>4.9999999999999975E-2</c:v>
                </c:pt>
                <c:pt idx="16">
                  <c:v>3.9999999999999973E-2</c:v>
                </c:pt>
                <c:pt idx="17">
                  <c:v>2.9999999999999971E-2</c:v>
                </c:pt>
                <c:pt idx="18">
                  <c:v>1.9999999999999969E-2</c:v>
                </c:pt>
                <c:pt idx="19">
                  <c:v>9.999999999999969E-3</c:v>
                </c:pt>
              </c:numCache>
            </c:numRef>
          </c:cat>
          <c:val>
            <c:numRef>
              <c:f>'Vehicle cost'!$K$48:$K$67</c:f>
              <c:numCache>
                <c:formatCode>0</c:formatCode>
                <c:ptCount val="20"/>
                <c:pt idx="0">
                  <c:v>144612.43386243386</c:v>
                </c:pt>
                <c:pt idx="1">
                  <c:v>143527.03703703702</c:v>
                </c:pt>
                <c:pt idx="2">
                  <c:v>142441.64021164022</c:v>
                </c:pt>
                <c:pt idx="3">
                  <c:v>141356.24338624338</c:v>
                </c:pt>
                <c:pt idx="4">
                  <c:v>140270.84656084655</c:v>
                </c:pt>
                <c:pt idx="5">
                  <c:v>139185.44973544974</c:v>
                </c:pt>
                <c:pt idx="6">
                  <c:v>138100.05291005291</c:v>
                </c:pt>
                <c:pt idx="7">
                  <c:v>137014.65608465608</c:v>
                </c:pt>
                <c:pt idx="8">
                  <c:v>135929.25925925924</c:v>
                </c:pt>
                <c:pt idx="9">
                  <c:v>134843.86243386244</c:v>
                </c:pt>
                <c:pt idx="10">
                  <c:v>133758.4656084656</c:v>
                </c:pt>
                <c:pt idx="11">
                  <c:v>132673.06878306877</c:v>
                </c:pt>
                <c:pt idx="12">
                  <c:v>131587.67195767196</c:v>
                </c:pt>
                <c:pt idx="13">
                  <c:v>130502.27513227513</c:v>
                </c:pt>
                <c:pt idx="14">
                  <c:v>129416.87830687831</c:v>
                </c:pt>
                <c:pt idx="15">
                  <c:v>128331.48148148147</c:v>
                </c:pt>
                <c:pt idx="16">
                  <c:v>127246.08465608465</c:v>
                </c:pt>
                <c:pt idx="17">
                  <c:v>126160.68783068782</c:v>
                </c:pt>
                <c:pt idx="18">
                  <c:v>125075.291005291</c:v>
                </c:pt>
                <c:pt idx="19">
                  <c:v>123989.89417989418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4-4658-B878-20FD81D9F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252399"/>
        <c:axId val="1261260719"/>
      </c:lineChart>
      <c:catAx>
        <c:axId val="126125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61260719"/>
        <c:crosses val="autoZero"/>
        <c:auto val="1"/>
        <c:lblAlgn val="ctr"/>
        <c:lblOffset val="100"/>
        <c:noMultiLvlLbl val="0"/>
      </c:catAx>
      <c:valAx>
        <c:axId val="12612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6125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[1]Road!$A$37</c:f>
              <c:strCache>
                <c:ptCount val="1"/>
                <c:pt idx="0">
                  <c:v>Electricity 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[1]Road!$B$10:$AF$10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[1]Road!$B$37:$AF$37</c:f>
              <c:numCache>
                <c:formatCode>General</c:formatCode>
                <c:ptCount val="31"/>
                <c:pt idx="0">
                  <c:v>1.1045983188646493E-2</c:v>
                </c:pt>
                <c:pt idx="1">
                  <c:v>1.0417013401648195E-2</c:v>
                </c:pt>
                <c:pt idx="2">
                  <c:v>1.0247375552914448E-2</c:v>
                </c:pt>
                <c:pt idx="3">
                  <c:v>8.6815237375338066E-3</c:v>
                </c:pt>
                <c:pt idx="4">
                  <c:v>8.1614655543695985E-3</c:v>
                </c:pt>
                <c:pt idx="5">
                  <c:v>8.0464411045381885E-3</c:v>
                </c:pt>
                <c:pt idx="6">
                  <c:v>7.7669673139064447E-3</c:v>
                </c:pt>
                <c:pt idx="7">
                  <c:v>7.4545534869124037E-3</c:v>
                </c:pt>
                <c:pt idx="8">
                  <c:v>6.407023118987114E-3</c:v>
                </c:pt>
                <c:pt idx="9">
                  <c:v>6.0519257672838091E-3</c:v>
                </c:pt>
                <c:pt idx="10">
                  <c:v>8.2745711158864997E-3</c:v>
                </c:pt>
                <c:pt idx="11">
                  <c:v>8.1252079883969864E-3</c:v>
                </c:pt>
                <c:pt idx="12">
                  <c:v>8.0859162369151232E-3</c:v>
                </c:pt>
                <c:pt idx="13">
                  <c:v>8.7453612167777382E-3</c:v>
                </c:pt>
                <c:pt idx="14">
                  <c:v>1.022549789491348E-2</c:v>
                </c:pt>
                <c:pt idx="15">
                  <c:v>1.0032909795631038E-2</c:v>
                </c:pt>
                <c:pt idx="16">
                  <c:v>9.9778535597107778E-3</c:v>
                </c:pt>
                <c:pt idx="17">
                  <c:v>9.7699319253828805E-3</c:v>
                </c:pt>
                <c:pt idx="18">
                  <c:v>9.8649703540951185E-3</c:v>
                </c:pt>
                <c:pt idx="19">
                  <c:v>1.148221417931092E-2</c:v>
                </c:pt>
                <c:pt idx="20">
                  <c:v>1.3436154431893539E-2</c:v>
                </c:pt>
                <c:pt idx="21">
                  <c:v>1.6000364974989204E-2</c:v>
                </c:pt>
                <c:pt idx="22">
                  <c:v>1.6609240770852237E-2</c:v>
                </c:pt>
                <c:pt idx="23">
                  <c:v>2.1430686254669661E-2</c:v>
                </c:pt>
                <c:pt idx="24">
                  <c:v>2.4426026314406431E-2</c:v>
                </c:pt>
                <c:pt idx="25">
                  <c:v>3.1547525170292308E-2</c:v>
                </c:pt>
                <c:pt idx="26">
                  <c:v>3.3048819551981259E-2</c:v>
                </c:pt>
                <c:pt idx="27">
                  <c:v>3.9886986715944144E-2</c:v>
                </c:pt>
                <c:pt idx="28">
                  <c:v>5.1001655929909781E-2</c:v>
                </c:pt>
                <c:pt idx="29">
                  <c:v>7.5780640972833907E-2</c:v>
                </c:pt>
                <c:pt idx="30">
                  <c:v>0.11851563702649402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E-40CE-91F6-281DDDEB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877680"/>
        <c:axId val="1036867280"/>
      </c:lineChart>
      <c:catAx>
        <c:axId val="10368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67280"/>
        <c:crosses val="autoZero"/>
        <c:auto val="1"/>
        <c:lblAlgn val="ctr"/>
        <c:lblOffset val="100"/>
        <c:noMultiLvlLbl val="0"/>
      </c:catAx>
      <c:valAx>
        <c:axId val="10368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7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Price</a:t>
            </a:r>
            <a:r>
              <a:rPr lang="es-ES" baseline="0"/>
              <a:t> total cost owenership of long haul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'Vehicle cost'!$I$23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'Vehicle cost'!$G$72:$G$91</c:f>
              <c:numCache>
                <c:formatCode>General</c:formatCode>
                <c:ptCount val="20"/>
                <c:pt idx="0">
                  <c:v>0.2</c:v>
                </c:pt>
                <c:pt idx="1">
                  <c:v>0.15000000000000002</c:v>
                </c:pt>
                <c:pt idx="2">
                  <c:v>0.10000000000000002</c:v>
                </c:pt>
                <c:pt idx="3">
                  <c:v>5.0000000000000017E-2</c:v>
                </c:pt>
                <c:pt idx="4">
                  <c:v>0</c:v>
                </c:pt>
                <c:pt idx="5">
                  <c:v>-0.05</c:v>
                </c:pt>
                <c:pt idx="6">
                  <c:v>-0.1</c:v>
                </c:pt>
                <c:pt idx="7">
                  <c:v>-0.15000000000000002</c:v>
                </c:pt>
                <c:pt idx="8">
                  <c:v>-0.2</c:v>
                </c:pt>
                <c:pt idx="9">
                  <c:v>-0.25</c:v>
                </c:pt>
                <c:pt idx="10">
                  <c:v>-0.3</c:v>
                </c:pt>
                <c:pt idx="11">
                  <c:v>-0.35</c:v>
                </c:pt>
                <c:pt idx="12">
                  <c:v>-0.39999999999999997</c:v>
                </c:pt>
                <c:pt idx="13">
                  <c:v>-0.44999999999999996</c:v>
                </c:pt>
                <c:pt idx="14">
                  <c:v>-0.49999999999999994</c:v>
                </c:pt>
                <c:pt idx="15">
                  <c:v>-0.54999999999999993</c:v>
                </c:pt>
                <c:pt idx="16">
                  <c:v>-0.6</c:v>
                </c:pt>
                <c:pt idx="17">
                  <c:v>-0.65</c:v>
                </c:pt>
                <c:pt idx="18">
                  <c:v>-0.70000000000000007</c:v>
                </c:pt>
                <c:pt idx="19">
                  <c:v>-0.75000000000000011</c:v>
                </c:pt>
              </c:numCache>
            </c:numRef>
          </c:cat>
          <c:val>
            <c:numRef>
              <c:f>'Vehicle cost'!$I$72:$I$91</c:f>
              <c:numCache>
                <c:formatCode>0</c:formatCode>
                <c:ptCount val="20"/>
                <c:pt idx="0">
                  <c:v>878971.96261682257</c:v>
                </c:pt>
                <c:pt idx="1">
                  <c:v>878971.96261682257</c:v>
                </c:pt>
                <c:pt idx="2">
                  <c:v>878971.96261682257</c:v>
                </c:pt>
                <c:pt idx="3">
                  <c:v>878971.96261682257</c:v>
                </c:pt>
                <c:pt idx="4">
                  <c:v>878971.96261682257</c:v>
                </c:pt>
                <c:pt idx="5">
                  <c:v>878971.96261682257</c:v>
                </c:pt>
                <c:pt idx="6">
                  <c:v>878971.96261682257</c:v>
                </c:pt>
                <c:pt idx="7">
                  <c:v>878971.96261682257</c:v>
                </c:pt>
                <c:pt idx="8">
                  <c:v>878971.96261682257</c:v>
                </c:pt>
                <c:pt idx="9">
                  <c:v>878971.96261682257</c:v>
                </c:pt>
                <c:pt idx="10">
                  <c:v>878971.96261682257</c:v>
                </c:pt>
                <c:pt idx="11">
                  <c:v>878971.96261682257</c:v>
                </c:pt>
                <c:pt idx="12">
                  <c:v>878971.96261682257</c:v>
                </c:pt>
                <c:pt idx="13">
                  <c:v>878971.96261682257</c:v>
                </c:pt>
                <c:pt idx="14">
                  <c:v>878971.96261682257</c:v>
                </c:pt>
                <c:pt idx="15">
                  <c:v>878971.96261682257</c:v>
                </c:pt>
                <c:pt idx="16">
                  <c:v>878971.96261682257</c:v>
                </c:pt>
                <c:pt idx="17">
                  <c:v>878971.96261682257</c:v>
                </c:pt>
                <c:pt idx="18">
                  <c:v>878971.96261682257</c:v>
                </c:pt>
                <c:pt idx="19">
                  <c:v>878971.96261682257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A-483C-B5E6-4AC1208C0C09}"/>
            </c:ext>
          </c:extLst>
        </c:ser>
        <c:ser>
          <c:idx val="1"/>
          <c:order val="1"/>
          <c:tx>
            <c:strRef>
              <c:f>'Vehicle cost'!$J$23</c:f>
              <c:strCache>
                <c:ptCount val="1"/>
                <c:pt idx="0">
                  <c:v>BEV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'Vehicle cost'!$G$72:$G$91</c:f>
              <c:numCache>
                <c:formatCode>General</c:formatCode>
                <c:ptCount val="20"/>
                <c:pt idx="0">
                  <c:v>0.2</c:v>
                </c:pt>
                <c:pt idx="1">
                  <c:v>0.15000000000000002</c:v>
                </c:pt>
                <c:pt idx="2">
                  <c:v>0.10000000000000002</c:v>
                </c:pt>
                <c:pt idx="3">
                  <c:v>5.0000000000000017E-2</c:v>
                </c:pt>
                <c:pt idx="4">
                  <c:v>0</c:v>
                </c:pt>
                <c:pt idx="5">
                  <c:v>-0.05</c:v>
                </c:pt>
                <c:pt idx="6">
                  <c:v>-0.1</c:v>
                </c:pt>
                <c:pt idx="7">
                  <c:v>-0.15000000000000002</c:v>
                </c:pt>
                <c:pt idx="8">
                  <c:v>-0.2</c:v>
                </c:pt>
                <c:pt idx="9">
                  <c:v>-0.25</c:v>
                </c:pt>
                <c:pt idx="10">
                  <c:v>-0.3</c:v>
                </c:pt>
                <c:pt idx="11">
                  <c:v>-0.35</c:v>
                </c:pt>
                <c:pt idx="12">
                  <c:v>-0.39999999999999997</c:v>
                </c:pt>
                <c:pt idx="13">
                  <c:v>-0.44999999999999996</c:v>
                </c:pt>
                <c:pt idx="14">
                  <c:v>-0.49999999999999994</c:v>
                </c:pt>
                <c:pt idx="15">
                  <c:v>-0.54999999999999993</c:v>
                </c:pt>
                <c:pt idx="16">
                  <c:v>-0.6</c:v>
                </c:pt>
                <c:pt idx="17">
                  <c:v>-0.65</c:v>
                </c:pt>
                <c:pt idx="18">
                  <c:v>-0.70000000000000007</c:v>
                </c:pt>
                <c:pt idx="19">
                  <c:v>-0.75000000000000011</c:v>
                </c:pt>
              </c:numCache>
            </c:numRef>
          </c:cat>
          <c:val>
            <c:numRef>
              <c:f>'Vehicle cost'!$J$72:$J$91</c:f>
              <c:numCache>
                <c:formatCode>0</c:formatCode>
                <c:ptCount val="20"/>
                <c:pt idx="0">
                  <c:v>931600</c:v>
                </c:pt>
                <c:pt idx="1">
                  <c:v>796200.00000000012</c:v>
                </c:pt>
                <c:pt idx="2">
                  <c:v>660800</c:v>
                </c:pt>
                <c:pt idx="3">
                  <c:v>525400</c:v>
                </c:pt>
                <c:pt idx="4">
                  <c:v>390000</c:v>
                </c:pt>
                <c:pt idx="5">
                  <c:v>254600</c:v>
                </c:pt>
                <c:pt idx="6">
                  <c:v>119200</c:v>
                </c:pt>
                <c:pt idx="7">
                  <c:v>-16200.000000000116</c:v>
                </c:pt>
                <c:pt idx="8">
                  <c:v>-151600</c:v>
                </c:pt>
                <c:pt idx="9">
                  <c:v>-287000</c:v>
                </c:pt>
                <c:pt idx="10">
                  <c:v>-422400</c:v>
                </c:pt>
                <c:pt idx="11">
                  <c:v>-557800.00000000012</c:v>
                </c:pt>
                <c:pt idx="12">
                  <c:v>-693200</c:v>
                </c:pt>
                <c:pt idx="13">
                  <c:v>-828600</c:v>
                </c:pt>
                <c:pt idx="14">
                  <c:v>-963999.99999999977</c:v>
                </c:pt>
                <c:pt idx="15">
                  <c:v>-1099399.9999999998</c:v>
                </c:pt>
                <c:pt idx="16">
                  <c:v>-1234800</c:v>
                </c:pt>
                <c:pt idx="17">
                  <c:v>-1370200.0000000002</c:v>
                </c:pt>
                <c:pt idx="18">
                  <c:v>-1505600.0000000005</c:v>
                </c:pt>
                <c:pt idx="19">
                  <c:v>-1641000.0000000005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A-483C-B5E6-4AC1208C0C09}"/>
            </c:ext>
          </c:extLst>
        </c:ser>
        <c:ser>
          <c:idx val="2"/>
          <c:order val="2"/>
          <c:tx>
            <c:strRef>
              <c:f>'Vehicle cost'!$K$23</c:f>
              <c:strCache>
                <c:ptCount val="1"/>
                <c:pt idx="0">
                  <c:v>FCEV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'Vehicle cost'!$G$72:$G$91</c:f>
              <c:numCache>
                <c:formatCode>General</c:formatCode>
                <c:ptCount val="20"/>
                <c:pt idx="0">
                  <c:v>0.2</c:v>
                </c:pt>
                <c:pt idx="1">
                  <c:v>0.15000000000000002</c:v>
                </c:pt>
                <c:pt idx="2">
                  <c:v>0.10000000000000002</c:v>
                </c:pt>
                <c:pt idx="3">
                  <c:v>5.0000000000000017E-2</c:v>
                </c:pt>
                <c:pt idx="4">
                  <c:v>0</c:v>
                </c:pt>
                <c:pt idx="5">
                  <c:v>-0.05</c:v>
                </c:pt>
                <c:pt idx="6">
                  <c:v>-0.1</c:v>
                </c:pt>
                <c:pt idx="7">
                  <c:v>-0.15000000000000002</c:v>
                </c:pt>
                <c:pt idx="8">
                  <c:v>-0.2</c:v>
                </c:pt>
                <c:pt idx="9">
                  <c:v>-0.25</c:v>
                </c:pt>
                <c:pt idx="10">
                  <c:v>-0.3</c:v>
                </c:pt>
                <c:pt idx="11">
                  <c:v>-0.35</c:v>
                </c:pt>
                <c:pt idx="12">
                  <c:v>-0.39999999999999997</c:v>
                </c:pt>
                <c:pt idx="13">
                  <c:v>-0.44999999999999996</c:v>
                </c:pt>
                <c:pt idx="14">
                  <c:v>-0.49999999999999994</c:v>
                </c:pt>
                <c:pt idx="15">
                  <c:v>-0.54999999999999993</c:v>
                </c:pt>
                <c:pt idx="16">
                  <c:v>-0.6</c:v>
                </c:pt>
                <c:pt idx="17">
                  <c:v>-0.65</c:v>
                </c:pt>
                <c:pt idx="18">
                  <c:v>-0.70000000000000007</c:v>
                </c:pt>
                <c:pt idx="19">
                  <c:v>-0.75000000000000011</c:v>
                </c:pt>
              </c:numCache>
            </c:numRef>
          </c:cat>
          <c:val>
            <c:numRef>
              <c:f>'Vehicle cost'!$K$72:$K$91</c:f>
              <c:numCache>
                <c:formatCode>0</c:formatCode>
                <c:ptCount val="20"/>
                <c:pt idx="0">
                  <c:v>1724470.8994708997</c:v>
                </c:pt>
                <c:pt idx="1">
                  <c:v>1388597.8835978836</c:v>
                </c:pt>
                <c:pt idx="2">
                  <c:v>1052724.8677248678</c:v>
                </c:pt>
                <c:pt idx="3">
                  <c:v>716851.85185185191</c:v>
                </c:pt>
                <c:pt idx="4">
                  <c:v>380978.835978836</c:v>
                </c:pt>
                <c:pt idx="5">
                  <c:v>45105.820105820021</c:v>
                </c:pt>
                <c:pt idx="6">
                  <c:v>-290767.19576719578</c:v>
                </c:pt>
                <c:pt idx="7">
                  <c:v>-626640.21164021199</c:v>
                </c:pt>
                <c:pt idx="8">
                  <c:v>-962513.22751322761</c:v>
                </c:pt>
                <c:pt idx="9">
                  <c:v>-1298386.2433862437</c:v>
                </c:pt>
                <c:pt idx="10">
                  <c:v>-1634259.2592592591</c:v>
                </c:pt>
                <c:pt idx="11">
                  <c:v>-1970132.2751322747</c:v>
                </c:pt>
                <c:pt idx="12">
                  <c:v>-2306005.291005291</c:v>
                </c:pt>
                <c:pt idx="13">
                  <c:v>-2641878.3068783064</c:v>
                </c:pt>
                <c:pt idx="14">
                  <c:v>-2977751.3227513218</c:v>
                </c:pt>
                <c:pt idx="15">
                  <c:v>-3313624.3386243386</c:v>
                </c:pt>
                <c:pt idx="16">
                  <c:v>-3649497.3544973545</c:v>
                </c:pt>
                <c:pt idx="17">
                  <c:v>-3985370.3703703713</c:v>
                </c:pt>
                <c:pt idx="18">
                  <c:v>-4321243.3862433871</c:v>
                </c:pt>
                <c:pt idx="19">
                  <c:v>-4657116.402116403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A-483C-B5E6-4AC1208C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252399"/>
        <c:axId val="1261260719"/>
      </c:lineChart>
      <c:catAx>
        <c:axId val="126125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61260719"/>
        <c:crosses val="autoZero"/>
        <c:auto val="1"/>
        <c:lblAlgn val="ctr"/>
        <c:lblOffset val="100"/>
        <c:noMultiLvlLbl val="0"/>
      </c:catAx>
      <c:valAx>
        <c:axId val="12612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6125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'S-shaped curve'!$D$5:$D$6</c:f>
              <c:strCache>
                <c:ptCount val="2"/>
                <c:pt idx="0">
                  <c:v>0.002838732</c:v>
                </c:pt>
                <c:pt idx="1">
                  <c:v>0.003106286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'S-shaped curve'!$D$5:$D$35</c:f>
              <c:numCache>
                <c:formatCode>General</c:formatCode>
                <c:ptCount val="31"/>
                <c:pt idx="0">
                  <c:v>2.8387323823146691E-3</c:v>
                </c:pt>
                <c:pt idx="1">
                  <c:v>3.1062861898334166E-3</c:v>
                </c:pt>
                <c:pt idx="2">
                  <c:v>1.0440156857140991E-2</c:v>
                </c:pt>
                <c:pt idx="3">
                  <c:v>2.442633518792512E-2</c:v>
                </c:pt>
                <c:pt idx="4">
                  <c:v>6.4845724346720937E-2</c:v>
                </c:pt>
                <c:pt idx="5">
                  <c:v>9.9575891968822536E-2</c:v>
                </c:pt>
                <c:pt idx="6">
                  <c:v>0.1417613100202022</c:v>
                </c:pt>
                <c:pt idx="7">
                  <c:v>0.1900387061462977</c:v>
                </c:pt>
                <c:pt idx="8">
                  <c:v>0.17250395738108454</c:v>
                </c:pt>
                <c:pt idx="9">
                  <c:v>0.18804975518925077</c:v>
                </c:pt>
                <c:pt idx="10">
                  <c:v>0.29250209310668995</c:v>
                </c:pt>
                <c:pt idx="11">
                  <c:v>0.33838956484565963</c:v>
                </c:pt>
                <c:pt idx="12">
                  <c:v>0.44292226797185663</c:v>
                </c:pt>
                <c:pt idx="13">
                  <c:v>0.54334542816902598</c:v>
                </c:pt>
                <c:pt idx="14">
                  <c:v>0.72282734166985985</c:v>
                </c:pt>
                <c:pt idx="15">
                  <c:v>1.2024963649503719</c:v>
                </c:pt>
                <c:pt idx="16">
                  <c:v>1.9466677274927582</c:v>
                </c:pt>
                <c:pt idx="17">
                  <c:v>2.6778269298566646</c:v>
                </c:pt>
                <c:pt idx="18">
                  <c:v>3.3468759970900019</c:v>
                </c:pt>
                <c:pt idx="19">
                  <c:v>4.0419886523809776</c:v>
                </c:pt>
                <c:pt idx="20">
                  <c:v>4.5976293512192425</c:v>
                </c:pt>
                <c:pt idx="21">
                  <c:v>4.8787216238790965</c:v>
                </c:pt>
                <c:pt idx="22">
                  <c:v>5.3740580503461661</c:v>
                </c:pt>
                <c:pt idx="23">
                  <c:v>4.8424949953973018</c:v>
                </c:pt>
                <c:pt idx="24">
                  <c:v>5.136742826190047</c:v>
                </c:pt>
                <c:pt idx="25">
                  <c:v>5.0774564812953304</c:v>
                </c:pt>
                <c:pt idx="26">
                  <c:v>4.8396513277490403</c:v>
                </c:pt>
                <c:pt idx="27">
                  <c:v>5.1797766065714175</c:v>
                </c:pt>
                <c:pt idx="28">
                  <c:v>5.6914055186085006</c:v>
                </c:pt>
                <c:pt idx="29">
                  <c:v>5.8424460960148963</c:v>
                </c:pt>
                <c:pt idx="30">
                  <c:v>6.6930009642973936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2-4A6E-9237-9EF52F69890C}"/>
            </c:ext>
          </c:extLst>
        </c:ser>
        <c:ser>
          <c:idx val="1"/>
          <c:order val="1"/>
          <c:tx>
            <c:strRef>
              <c:f>'S-shaped curve'!$E$4</c:f>
              <c:strCache>
                <c:ptCount val="1"/>
                <c:pt idx="0">
                  <c:v>FORMULA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'S-shaped curve'!$E$5:$E$35</c:f>
              <c:numCache>
                <c:formatCode>General</c:formatCode>
                <c:ptCount val="31"/>
                <c:pt idx="0">
                  <c:v>2.8390093508528897E-3</c:v>
                </c:pt>
                <c:pt idx="1">
                  <c:v>2.8394852608056124E-3</c:v>
                </c:pt>
                <c:pt idx="2">
                  <c:v>2.8407789178399056E-3</c:v>
                </c:pt>
                <c:pt idx="3">
                  <c:v>2.8442954397201264E-3</c:v>
                </c:pt>
                <c:pt idx="4">
                  <c:v>2.8538543185643835E-3</c:v>
                </c:pt>
                <c:pt idx="5">
                  <c:v>2.8798379071846977E-3</c:v>
                </c:pt>
                <c:pt idx="6">
                  <c:v>2.950467603982077E-3</c:v>
                </c:pt>
                <c:pt idx="7">
                  <c:v>3.1424514889171352E-3</c:v>
                </c:pt>
                <c:pt idx="8">
                  <c:v>3.6642621142009319E-3</c:v>
                </c:pt>
                <c:pt idx="9">
                  <c:v>5.0822791596292953E-3</c:v>
                </c:pt>
                <c:pt idx="10">
                  <c:v>8.9338126744349898E-3</c:v>
                </c:pt>
                <c:pt idx="11">
                  <c:v>1.9380982438591279E-2</c:v>
                </c:pt>
                <c:pt idx="12">
                  <c:v>4.7614990859803141E-2</c:v>
                </c:pt>
                <c:pt idx="13">
                  <c:v>0.12316939496599436</c:v>
                </c:pt>
                <c:pt idx="14">
                  <c:v>0.32012551793046634</c:v>
                </c:pt>
                <c:pt idx="15">
                  <c:v>0.80032561922860379</c:v>
                </c:pt>
                <c:pt idx="16">
                  <c:v>1.8021004722294149</c:v>
                </c:pt>
                <c:pt idx="17">
                  <c:v>3.347919848339854</c:v>
                </c:pt>
                <c:pt idx="18">
                  <c:v>4.8937392244502931</c:v>
                </c:pt>
                <c:pt idx="19">
                  <c:v>5.8955140774511037</c:v>
                </c:pt>
                <c:pt idx="20">
                  <c:v>6.3757141787492433</c:v>
                </c:pt>
                <c:pt idx="21">
                  <c:v>6.572670301713714</c:v>
                </c:pt>
                <c:pt idx="22">
                  <c:v>6.6482247058199055</c:v>
                </c:pt>
                <c:pt idx="23">
                  <c:v>6.676458714241118</c:v>
                </c:pt>
                <c:pt idx="24">
                  <c:v>6.6869058840052737</c:v>
                </c:pt>
                <c:pt idx="25">
                  <c:v>6.6907574175200795</c:v>
                </c:pt>
                <c:pt idx="26">
                  <c:v>6.6921754345655069</c:v>
                </c:pt>
                <c:pt idx="27">
                  <c:v>6.6926972451907911</c:v>
                </c:pt>
                <c:pt idx="28">
                  <c:v>6.6928892290757274</c:v>
                </c:pt>
                <c:pt idx="29">
                  <c:v>6.6929598587725234</c:v>
                </c:pt>
                <c:pt idx="30">
                  <c:v>6.6929858423611437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2-4A6E-9237-9EF52F69890C}"/>
            </c:ext>
          </c:extLst>
        </c:ser>
        <c:ser>
          <c:idx val="2"/>
          <c:order val="2"/>
          <c:tx>
            <c:strRef>
              <c:f>'S-shaped curve'!$F$4</c:f>
              <c:strCache>
                <c:ptCount val="1"/>
                <c:pt idx="0">
                  <c:v>OPTIMIZED SOLVER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'S-shaped curve'!$F$5:$F$30</c:f>
              <c:numCache>
                <c:formatCode>General</c:formatCode>
                <c:ptCount val="26"/>
                <c:pt idx="9">
                  <c:v>0.22902394126378733</c:v>
                </c:pt>
                <c:pt idx="10">
                  <c:v>0.25948673965581315</c:v>
                </c:pt>
                <c:pt idx="11">
                  <c:v>0.31239480218948984</c:v>
                </c:pt>
                <c:pt idx="12">
                  <c:v>0.40376408019859422</c:v>
                </c:pt>
                <c:pt idx="13">
                  <c:v>0.55972775239269534</c:v>
                </c:pt>
                <c:pt idx="14">
                  <c:v>0.81979450643107077</c:v>
                </c:pt>
                <c:pt idx="15">
                  <c:v>1.2341448952932996</c:v>
                </c:pt>
                <c:pt idx="16">
                  <c:v>1.8414585156655419</c:v>
                </c:pt>
                <c:pt idx="17">
                  <c:v>2.6170236100032862</c:v>
                </c:pt>
                <c:pt idx="18">
                  <c:v>3.4325227315741307</c:v>
                </c:pt>
                <c:pt idx="19">
                  <c:v>4.1184079386930375</c:v>
                </c:pt>
                <c:pt idx="20">
                  <c:v>4.5885513797419826</c:v>
                </c:pt>
                <c:pt idx="21">
                  <c:v>4.8655134717487467</c:v>
                </c:pt>
                <c:pt idx="22">
                  <c:v>5.0139407558092115</c:v>
                </c:pt>
                <c:pt idx="23">
                  <c:v>5.0894051636378261</c:v>
                </c:pt>
                <c:pt idx="24">
                  <c:v>5.1267385268785688</c:v>
                </c:pt>
                <c:pt idx="25">
                  <c:v>5.1449570336117203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9-4A27-B74B-857F5323E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904175"/>
        <c:axId val="1714903759"/>
      </c:lineChart>
      <c:catAx>
        <c:axId val="17149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3759"/>
        <c:crosses val="autoZero"/>
        <c:auto val="1"/>
        <c:lblAlgn val="ctr"/>
        <c:lblOffset val="100"/>
        <c:noMultiLvlLbl val="0"/>
      </c:catAx>
      <c:valAx>
        <c:axId val="17149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'S-shaped curve'!$I$4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'S-shaped curve'!$B$5:$B$35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'S-shaped curve'!$I$5:$I$35</c:f>
              <c:numCache>
                <c:formatCode>General</c:formatCode>
                <c:ptCount val="31"/>
                <c:pt idx="0">
                  <c:v>0</c:v>
                </c:pt>
                <c:pt idx="1">
                  <c:v>3.999212548873562E-5</c:v>
                </c:pt>
                <c:pt idx="2">
                  <c:v>1.1362092893000579E-3</c:v>
                </c:pt>
                <c:pt idx="3">
                  <c:v>3.2267682093907808E-3</c:v>
                </c:pt>
                <c:pt idx="4">
                  <c:v>9.2683839068363784E-3</c:v>
                </c:pt>
                <c:pt idx="5">
                  <c:v>1.4459613419391859E-2</c:v>
                </c:pt>
                <c:pt idx="6">
                  <c:v>2.0765203117969911E-2</c:v>
                </c:pt>
                <c:pt idx="7">
                  <c:v>2.7981380312566275E-2</c:v>
                </c:pt>
                <c:pt idx="8">
                  <c:v>2.5360405191579741E-2</c:v>
                </c:pt>
                <c:pt idx="9">
                  <c:v>2.7684085435685898E-2</c:v>
                </c:pt>
                <c:pt idx="10">
                  <c:v>4.3296911297987802E-2</c:v>
                </c:pt>
                <c:pt idx="11">
                  <c:v>5.0155858831437111E-2</c:v>
                </c:pt>
                <c:pt idx="12">
                  <c:v>6.5780697139173366E-2</c:v>
                </c:pt>
                <c:pt idx="13">
                  <c:v>8.0791268888555728E-2</c:v>
                </c:pt>
                <c:pt idx="14">
                  <c:v>0.10761900598656279</c:v>
                </c:pt>
                <c:pt idx="15">
                  <c:v>0.17931667289698169</c:v>
                </c:pt>
                <c:pt idx="16">
                  <c:v>0.29055035255161765</c:v>
                </c:pt>
                <c:pt idx="17">
                  <c:v>0.39983906290245919</c:v>
                </c:pt>
                <c:pt idx="18">
                  <c:v>0.4998439722067019</c:v>
                </c:pt>
                <c:pt idx="19">
                  <c:v>0.60374468958766103</c:v>
                </c:pt>
                <c:pt idx="20">
                  <c:v>0.68679808643768203</c:v>
                </c:pt>
                <c:pt idx="21">
                  <c:v>0.72881384972050911</c:v>
                </c:pt>
                <c:pt idx="22">
                  <c:v>0.80285337362085518</c:v>
                </c:pt>
                <c:pt idx="23">
                  <c:v>0.72339893940503464</c:v>
                </c:pt>
                <c:pt idx="24">
                  <c:v>0.76738110614369015</c:v>
                </c:pt>
                <c:pt idx="25">
                  <c:v>0.75851938607778591</c:v>
                </c:pt>
                <c:pt idx="26">
                  <c:v>0.72297388728377276</c:v>
                </c:pt>
                <c:pt idx="27">
                  <c:v>0.77381350327990317</c:v>
                </c:pt>
                <c:pt idx="28">
                  <c:v>0.85028831723828269</c:v>
                </c:pt>
                <c:pt idx="29">
                  <c:v>0.87286483663655146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9-4F1E-8C8A-393BA22F94D1}"/>
            </c:ext>
          </c:extLst>
        </c:ser>
        <c:ser>
          <c:idx val="1"/>
          <c:order val="1"/>
          <c:tx>
            <c:strRef>
              <c:f>'S-shaped curve'!$J$4</c:f>
              <c:strCache>
                <c:ptCount val="1"/>
                <c:pt idx="0">
                  <c:v>FORMULA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'S-shaped curve'!$B$5:$B$35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'S-shaped curve'!$J$5:$J$35</c:f>
              <c:numCache>
                <c:formatCode>General</c:formatCode>
                <c:ptCount val="31"/>
                <c:pt idx="0">
                  <c:v>0</c:v>
                </c:pt>
                <c:pt idx="1">
                  <c:v>7.1135950316447988E-8</c:v>
                </c:pt>
                <c:pt idx="2">
                  <c:v>2.6450346026556317E-7</c:v>
                </c:pt>
                <c:pt idx="3">
                  <c:v>7.901304708521836E-7</c:v>
                </c:pt>
                <c:pt idx="4">
                  <c:v>2.218930029793409E-6</c:v>
                </c:pt>
                <c:pt idx="5">
                  <c:v>6.1027892736753044E-6</c:v>
                </c:pt>
                <c:pt idx="6">
                  <c:v>1.6660060819477672E-5</c:v>
                </c:pt>
                <c:pt idx="7">
                  <c:v>4.5356573725259931E-5</c:v>
                </c:pt>
                <c:pt idx="8">
                  <c:v>1.2335346053633811E-4</c:v>
                </c:pt>
                <c:pt idx="9">
                  <c:v>3.3530950288082492E-4</c:v>
                </c:pt>
                <c:pt idx="10">
                  <c:v>9.110118919228099E-4</c:v>
                </c:pt>
                <c:pt idx="11">
                  <c:v>2.4725874484723656E-3</c:v>
                </c:pt>
                <c:pt idx="12">
                  <c:v>6.6928249299429655E-3</c:v>
                </c:pt>
                <c:pt idx="13">
                  <c:v>1.798620996200135E-2</c:v>
                </c:pt>
                <c:pt idx="14">
                  <c:v>4.7425940939602305E-2</c:v>
                </c:pt>
                <c:pt idx="15">
                  <c:v>0.11920315499546588</c:v>
                </c:pt>
                <c:pt idx="16">
                  <c:v>0.26894199900078553</c:v>
                </c:pt>
                <c:pt idx="17">
                  <c:v>0.50000110946501497</c:v>
                </c:pt>
                <c:pt idx="18">
                  <c:v>0.7310602199292443</c:v>
                </c:pt>
                <c:pt idx="19">
                  <c:v>0.88079906393456386</c:v>
                </c:pt>
                <c:pt idx="20">
                  <c:v>0.95257627799042777</c:v>
                </c:pt>
                <c:pt idx="21">
                  <c:v>0.98201600896802854</c:v>
                </c:pt>
                <c:pt idx="22">
                  <c:v>0.99330939400008689</c:v>
                </c:pt>
                <c:pt idx="23">
                  <c:v>0.9975296314815576</c:v>
                </c:pt>
                <c:pt idx="24">
                  <c:v>0.99909120703810705</c:v>
                </c:pt>
                <c:pt idx="25">
                  <c:v>0.99966690942714909</c:v>
                </c:pt>
                <c:pt idx="26">
                  <c:v>0.99987886546949345</c:v>
                </c:pt>
                <c:pt idx="27">
                  <c:v>0.99995686235630454</c:v>
                </c:pt>
                <c:pt idx="28">
                  <c:v>0.99998555886921048</c:v>
                </c:pt>
                <c:pt idx="29">
                  <c:v>0.99999611614075612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9-4F1E-8C8A-393BA22F94D1}"/>
            </c:ext>
          </c:extLst>
        </c:ser>
        <c:ser>
          <c:idx val="2"/>
          <c:order val="2"/>
          <c:tx>
            <c:strRef>
              <c:f>'S-shaped curve'!$K$4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'S-shaped curve'!$B$5:$B$35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'S-shaped curve'!$K$5:$K$35</c:f>
              <c:numCache>
                <c:formatCode>General</c:formatCode>
                <c:ptCount val="31"/>
                <c:pt idx="9">
                  <c:v>0</c:v>
                </c:pt>
                <c:pt idx="10">
                  <c:v>6.1967479662088454E-3</c:v>
                </c:pt>
                <c:pt idx="11">
                  <c:v>1.6959315629310807E-2</c:v>
                </c:pt>
                <c:pt idx="12">
                  <c:v>3.5545670710369258E-2</c:v>
                </c:pt>
                <c:pt idx="13">
                  <c:v>6.7271829155623894E-2</c:v>
                </c:pt>
                <c:pt idx="14">
                  <c:v>0.12017465536438403</c:v>
                </c:pt>
                <c:pt idx="15">
                  <c:v>0.20446188651226122</c:v>
                </c:pt>
                <c:pt idx="16">
                  <c:v>0.32800173316265141</c:v>
                </c:pt>
                <c:pt idx="17">
                  <c:v>0.48576732512015336</c:v>
                </c:pt>
                <c:pt idx="18">
                  <c:v>0.65165630413010722</c:v>
                </c:pt>
                <c:pt idx="19">
                  <c:v>0.79117919718708263</c:v>
                </c:pt>
                <c:pt idx="20">
                  <c:v>0.88681586111580113</c:v>
                </c:pt>
                <c:pt idx="21">
                  <c:v>0.9431555400341084</c:v>
                </c:pt>
                <c:pt idx="22">
                  <c:v>0.97334864504025764</c:v>
                </c:pt>
                <c:pt idx="23">
                  <c:v>0.98869962854857296</c:v>
                </c:pt>
                <c:pt idx="24">
                  <c:v>0.99629398806067759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9-4F1E-8C8A-393BA22F9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904175"/>
        <c:axId val="1714903759"/>
      </c:lineChart>
      <c:catAx>
        <c:axId val="17149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3759"/>
        <c:crosses val="autoZero"/>
        <c:auto val="1"/>
        <c:lblAlgn val="ctr"/>
        <c:lblOffset val="100"/>
        <c:noMultiLvlLbl val="0"/>
      </c:catAx>
      <c:valAx>
        <c:axId val="17149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'S-shaped curve'!$L$5:$L$37</c:f>
              <c:numCache>
                <c:formatCode>General</c:formatCode>
                <c:ptCount val="3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'S-shaped curve'!$O$5:$O$37</c:f>
              <c:numCache>
                <c:formatCode>0.00</c:formatCode>
                <c:ptCount val="33"/>
                <c:pt idx="0">
                  <c:v>0</c:v>
                </c:pt>
                <c:pt idx="1">
                  <c:v>3.0983739831044227E-3</c:v>
                </c:pt>
                <c:pt idx="2">
                  <c:v>6.1967479662088454E-3</c:v>
                </c:pt>
                <c:pt idx="3">
                  <c:v>1.1578031797759826E-2</c:v>
                </c:pt>
                <c:pt idx="4">
                  <c:v>1.6959315629310807E-2</c:v>
                </c:pt>
                <c:pt idx="5">
                  <c:v>2.6252493169840033E-2</c:v>
                </c:pt>
                <c:pt idx="6">
                  <c:v>3.5545670710369258E-2</c:v>
                </c:pt>
                <c:pt idx="7">
                  <c:v>5.1408749932996572E-2</c:v>
                </c:pt>
                <c:pt idx="8">
                  <c:v>6.7271829155623894E-2</c:v>
                </c:pt>
                <c:pt idx="9">
                  <c:v>9.3723242260003961E-2</c:v>
                </c:pt>
                <c:pt idx="10">
                  <c:v>0.12017465536438403</c:v>
                </c:pt>
                <c:pt idx="11">
                  <c:v>0.16231827093832263</c:v>
                </c:pt>
                <c:pt idx="12">
                  <c:v>0.20446188651226122</c:v>
                </c:pt>
                <c:pt idx="13">
                  <c:v>0.26623180983745631</c:v>
                </c:pt>
                <c:pt idx="14">
                  <c:v>0.32800173316265141</c:v>
                </c:pt>
                <c:pt idx="15">
                  <c:v>0.40688452914140238</c:v>
                </c:pt>
                <c:pt idx="16">
                  <c:v>0.48576732512015336</c:v>
                </c:pt>
                <c:pt idx="17">
                  <c:v>0.56871181462513032</c:v>
                </c:pt>
                <c:pt idx="18">
                  <c:v>0.65165630413010722</c:v>
                </c:pt>
                <c:pt idx="19">
                  <c:v>0.72141775065859493</c:v>
                </c:pt>
                <c:pt idx="20">
                  <c:v>0.79117919718708263</c:v>
                </c:pt>
                <c:pt idx="21">
                  <c:v>0.83899752915144188</c:v>
                </c:pt>
                <c:pt idx="22">
                  <c:v>0.88681586111580113</c:v>
                </c:pt>
                <c:pt idx="23">
                  <c:v>0.91498570057495476</c:v>
                </c:pt>
                <c:pt idx="24">
                  <c:v>0.9431555400341084</c:v>
                </c:pt>
                <c:pt idx="25">
                  <c:v>0.95825209253718302</c:v>
                </c:pt>
                <c:pt idx="26">
                  <c:v>0.97334864504025764</c:v>
                </c:pt>
                <c:pt idx="27">
                  <c:v>0.98102413679441525</c:v>
                </c:pt>
                <c:pt idx="28">
                  <c:v>0.98869962854857296</c:v>
                </c:pt>
                <c:pt idx="29">
                  <c:v>0.99249680830462528</c:v>
                </c:pt>
                <c:pt idx="30" formatCode="General">
                  <c:v>0.99629398806067759</c:v>
                </c:pt>
                <c:pt idx="31" formatCode="General">
                  <c:v>0.9981469940303388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0-4EB9-B6CA-E33863FF3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089055"/>
        <c:axId val="2062089887"/>
      </c:lineChart>
      <c:catAx>
        <c:axId val="206208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62089887"/>
        <c:crosses val="autoZero"/>
        <c:auto val="1"/>
        <c:lblAlgn val="ctr"/>
        <c:lblOffset val="100"/>
        <c:noMultiLvlLbl val="0"/>
      </c:catAx>
      <c:valAx>
        <c:axId val="206208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6208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[1]Road!$A$38</c:f>
              <c:strCache>
                <c:ptCount val="1"/>
                <c:pt idx="0">
                  <c:v>Bioenergy share (includ elec prod)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[1]Road!$B$10:$AF$10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[1]Road!$B$38:$AF$38</c:f>
              <c:numCache>
                <c:formatCode>General</c:formatCode>
                <c:ptCount val="31"/>
                <c:pt idx="0">
                  <c:v>2.8574551105765059E-3</c:v>
                </c:pt>
                <c:pt idx="1">
                  <c:v>3.125734081788914E-3</c:v>
                </c:pt>
                <c:pt idx="2">
                  <c:v>1.046175391557721E-2</c:v>
                </c:pt>
                <c:pt idx="3">
                  <c:v>2.4449755112426374E-2</c:v>
                </c:pt>
                <c:pt idx="4">
                  <c:v>6.4866248032159138E-2</c:v>
                </c:pt>
                <c:pt idx="5">
                  <c:v>9.9604527832753365E-2</c:v>
                </c:pt>
                <c:pt idx="6">
                  <c:v>0.14178801614426675</c:v>
                </c:pt>
                <c:pt idx="7">
                  <c:v>0.19006547477018251</c:v>
                </c:pt>
                <c:pt idx="8">
                  <c:v>0.17253143156496764</c:v>
                </c:pt>
                <c:pt idx="9">
                  <c:v>0.18807113158201938</c:v>
                </c:pt>
                <c:pt idx="10">
                  <c:v>0.29253936403812647</c:v>
                </c:pt>
                <c:pt idx="11">
                  <c:v>0.33842984365449097</c:v>
                </c:pt>
                <c:pt idx="12">
                  <c:v>0.44296636362523334</c:v>
                </c:pt>
                <c:pt idx="13">
                  <c:v>0.54340688297478579</c:v>
                </c:pt>
                <c:pt idx="14">
                  <c:v>0.72290514149364937</c:v>
                </c:pt>
                <c:pt idx="15">
                  <c:v>1.2025872874827388</c:v>
                </c:pt>
                <c:pt idx="16">
                  <c:v>1.9467754113553768</c:v>
                </c:pt>
                <c:pt idx="17">
                  <c:v>2.6779507479994553</c:v>
                </c:pt>
                <c:pt idx="18">
                  <c:v>3.3470257353473829</c:v>
                </c:pt>
                <c:pt idx="19">
                  <c:v>4.0422025917565341</c:v>
                </c:pt>
                <c:pt idx="20">
                  <c:v>4.5979727411656315</c:v>
                </c:pt>
                <c:pt idx="21">
                  <c:v>4.8791559238080486</c:v>
                </c:pt>
                <c:pt idx="22">
                  <c:v>5.3747077827546335</c:v>
                </c:pt>
                <c:pt idx="23">
                  <c:v>4.8434691111952999</c:v>
                </c:pt>
                <c:pt idx="24">
                  <c:v>5.138007855067948</c:v>
                </c:pt>
                <c:pt idx="25">
                  <c:v>5.0790882399783159</c:v>
                </c:pt>
                <c:pt idx="26">
                  <c:v>4.8415182912656816</c:v>
                </c:pt>
                <c:pt idx="27">
                  <c:v>5.1821995871497668</c:v>
                </c:pt>
                <c:pt idx="28">
                  <c:v>5.6948306020637212</c:v>
                </c:pt>
                <c:pt idx="29">
                  <c:v>5.848002224338865</c:v>
                </c:pt>
                <c:pt idx="30">
                  <c:v>6.7029737910291054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A-41D0-8B9A-1E08FE724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877680"/>
        <c:axId val="1036867280"/>
      </c:lineChart>
      <c:catAx>
        <c:axId val="10368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67280"/>
        <c:crosses val="autoZero"/>
        <c:auto val="1"/>
        <c:lblAlgn val="ctr"/>
        <c:lblOffset val="100"/>
        <c:noMultiLvlLbl val="0"/>
      </c:catAx>
      <c:valAx>
        <c:axId val="10368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7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[1]Road!$A$39</c:f>
              <c:strCache>
                <c:ptCount val="1"/>
                <c:pt idx="0">
                  <c:v>Fossil energy share (includ elec prod)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[1]Road!$B$10:$AF$10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[1]Road!$B$39:$AF$39</c:f>
              <c:numCache>
                <c:formatCode>General</c:formatCode>
                <c:ptCount val="31"/>
                <c:pt idx="0">
                  <c:v>99.990836781189145</c:v>
                </c:pt>
                <c:pt idx="1">
                  <c:v>99.991439567212666</c:v>
                </c:pt>
                <c:pt idx="2">
                  <c:v>99.982886923652828</c:v>
                </c:pt>
                <c:pt idx="3">
                  <c:v>99.969531445428288</c:v>
                </c:pt>
                <c:pt idx="4">
                  <c:v>99.929712138408689</c:v>
                </c:pt>
                <c:pt idx="5">
                  <c:v>99.894892376988508</c:v>
                </c:pt>
                <c:pt idx="6">
                  <c:v>99.853452745938441</c:v>
                </c:pt>
                <c:pt idx="7">
                  <c:v>99.805263080343209</c:v>
                </c:pt>
                <c:pt idx="8">
                  <c:v>99.823312618500921</c:v>
                </c:pt>
                <c:pt idx="9">
                  <c:v>99.808271346380437</c:v>
                </c:pt>
                <c:pt idx="10">
                  <c:v>99.703431379526847</c:v>
                </c:pt>
                <c:pt idx="11">
                  <c:v>99.657593005927623</c:v>
                </c:pt>
                <c:pt idx="12">
                  <c:v>99.552982215454151</c:v>
                </c:pt>
                <c:pt idx="13">
                  <c:v>99.452390903167057</c:v>
                </c:pt>
                <c:pt idx="14">
                  <c:v>99.271859866875317</c:v>
                </c:pt>
                <c:pt idx="15">
                  <c:v>98.792258882299279</c:v>
                </c:pt>
                <c:pt idx="16">
                  <c:v>98.048372642072351</c:v>
                </c:pt>
                <c:pt idx="17">
                  <c:v>97.317497615670845</c:v>
                </c:pt>
                <c:pt idx="18">
                  <c:v>96.648257686769213</c:v>
                </c:pt>
                <c:pt idx="19">
                  <c:v>95.952597585220943</c:v>
                </c:pt>
                <c:pt idx="20">
                  <c:v>95.397331513493313</c:v>
                </c:pt>
                <c:pt idx="21">
                  <c:v>95.114719502703238</c:v>
                </c:pt>
                <c:pt idx="22">
                  <c:v>94.618343770415109</c:v>
                </c:pt>
                <c:pt idx="23">
                  <c:v>95.14678504974286</c:v>
                </c:pt>
                <c:pt idx="24">
                  <c:v>94.850709516682969</c:v>
                </c:pt>
                <c:pt idx="25">
                  <c:v>94.908737437415226</c:v>
                </c:pt>
                <c:pt idx="26">
                  <c:v>95.144126358906163</c:v>
                </c:pt>
                <c:pt idx="27">
                  <c:v>94.800098388882418</c:v>
                </c:pt>
                <c:pt idx="28">
                  <c:v>94.282099505103133</c:v>
                </c:pt>
                <c:pt idx="29">
                  <c:v>94.112846869715199</c:v>
                </c:pt>
                <c:pt idx="30">
                  <c:v>93.230182660571984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B-489F-8296-0838DF82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877680"/>
        <c:axId val="1036867280"/>
      </c:lineChart>
      <c:catAx>
        <c:axId val="10368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67280"/>
        <c:crosses val="autoZero"/>
        <c:auto val="1"/>
        <c:lblAlgn val="ctr"/>
        <c:lblOffset val="100"/>
        <c:noMultiLvlLbl val="0"/>
      </c:catAx>
      <c:valAx>
        <c:axId val="10368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7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[1]Road!$A$13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[1]Road!$B$10:$AF$10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[1]Road!$B$13:$AF$13</c:f>
              <c:numCache>
                <c:formatCode>General</c:formatCode>
                <c:ptCount val="31"/>
                <c:pt idx="0">
                  <c:v>2512.25</c:v>
                </c:pt>
                <c:pt idx="1">
                  <c:v>2529</c:v>
                </c:pt>
                <c:pt idx="2">
                  <c:v>2543.5</c:v>
                </c:pt>
                <c:pt idx="3">
                  <c:v>2585.5</c:v>
                </c:pt>
                <c:pt idx="4">
                  <c:v>2716.25</c:v>
                </c:pt>
                <c:pt idx="5">
                  <c:v>2876</c:v>
                </c:pt>
                <c:pt idx="6">
                  <c:v>3124.5</c:v>
                </c:pt>
                <c:pt idx="7">
                  <c:v>3357</c:v>
                </c:pt>
                <c:pt idx="8">
                  <c:v>3438.25</c:v>
                </c:pt>
                <c:pt idx="9">
                  <c:v>3476</c:v>
                </c:pt>
                <c:pt idx="10">
                  <c:v>4332.2489999999998</c:v>
                </c:pt>
                <c:pt idx="11">
                  <c:v>5917.2489999999998</c:v>
                </c:pt>
                <c:pt idx="12">
                  <c:v>5579.5</c:v>
                </c:pt>
                <c:pt idx="13">
                  <c:v>5625.2539999999999</c:v>
                </c:pt>
                <c:pt idx="14">
                  <c:v>5810.8540000000003</c:v>
                </c:pt>
                <c:pt idx="15">
                  <c:v>6565.9319999999998</c:v>
                </c:pt>
                <c:pt idx="16">
                  <c:v>7914.116</c:v>
                </c:pt>
                <c:pt idx="17">
                  <c:v>8754.8520000000008</c:v>
                </c:pt>
                <c:pt idx="18">
                  <c:v>9499.277</c:v>
                </c:pt>
                <c:pt idx="19">
                  <c:v>11016.989</c:v>
                </c:pt>
                <c:pt idx="20">
                  <c:v>12602.612999999999</c:v>
                </c:pt>
                <c:pt idx="21">
                  <c:v>13935.632</c:v>
                </c:pt>
                <c:pt idx="22">
                  <c:v>14827.184999999999</c:v>
                </c:pt>
                <c:pt idx="23">
                  <c:v>15847.361000000001</c:v>
                </c:pt>
                <c:pt idx="24">
                  <c:v>16926.032999999999</c:v>
                </c:pt>
                <c:pt idx="25">
                  <c:v>18018.852999999999</c:v>
                </c:pt>
                <c:pt idx="26">
                  <c:v>18391.616999999998</c:v>
                </c:pt>
                <c:pt idx="27">
                  <c:v>17782.188999999998</c:v>
                </c:pt>
                <c:pt idx="28">
                  <c:v>18636.948</c:v>
                </c:pt>
                <c:pt idx="29">
                  <c:v>21446.128000000001</c:v>
                </c:pt>
                <c:pt idx="30">
                  <c:v>20706.423999999999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4-4412-8A9A-18C286956B24}"/>
            </c:ext>
          </c:extLst>
        </c:ser>
        <c:ser>
          <c:idx val="1"/>
          <c:order val="1"/>
          <c:tx>
            <c:strRef>
              <c:f>[1]Road!$A$14</c:f>
              <c:strCache>
                <c:ptCount val="1"/>
                <c:pt idx="0">
                  <c:v>Oil and petroleum products (excluding biofuel portion)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[1]Road!$B$10:$AF$10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[1]Road!$B$14:$AF$14</c:f>
              <c:numCache>
                <c:formatCode>General</c:formatCode>
                <c:ptCount val="31"/>
                <c:pt idx="0">
                  <c:v>2341905.9350000001</c:v>
                </c:pt>
                <c:pt idx="1">
                  <c:v>2377869.8020000001</c:v>
                </c:pt>
                <c:pt idx="2">
                  <c:v>2446357.4210000001</c:v>
                </c:pt>
                <c:pt idx="3">
                  <c:v>2473118.358</c:v>
                </c:pt>
                <c:pt idx="4">
                  <c:v>2495009.9730000002</c:v>
                </c:pt>
                <c:pt idx="5">
                  <c:v>2529677.807</c:v>
                </c:pt>
                <c:pt idx="6">
                  <c:v>2606600.1129999999</c:v>
                </c:pt>
                <c:pt idx="7">
                  <c:v>2647492.09</c:v>
                </c:pt>
                <c:pt idx="8">
                  <c:v>2754212.602</c:v>
                </c:pt>
                <c:pt idx="9">
                  <c:v>2816586.452</c:v>
                </c:pt>
                <c:pt idx="10">
                  <c:v>2815103.0920000002</c:v>
                </c:pt>
                <c:pt idx="11">
                  <c:v>2864029.6570000001</c:v>
                </c:pt>
                <c:pt idx="12">
                  <c:v>2899912.145</c:v>
                </c:pt>
                <c:pt idx="13">
                  <c:v>2928222.7519999999</c:v>
                </c:pt>
                <c:pt idx="14">
                  <c:v>2993895.0759999999</c:v>
                </c:pt>
                <c:pt idx="15">
                  <c:v>2982399.7850000001</c:v>
                </c:pt>
                <c:pt idx="16">
                  <c:v>3025785.1719999998</c:v>
                </c:pt>
                <c:pt idx="17">
                  <c:v>3051656.8859999999</c:v>
                </c:pt>
                <c:pt idx="18">
                  <c:v>2989742.4180000001</c:v>
                </c:pt>
                <c:pt idx="19">
                  <c:v>2903624.09</c:v>
                </c:pt>
                <c:pt idx="20">
                  <c:v>2878594.5249999999</c:v>
                </c:pt>
                <c:pt idx="21">
                  <c:v>2855866.051</c:v>
                </c:pt>
                <c:pt idx="22">
                  <c:v>2733759.3730000001</c:v>
                </c:pt>
                <c:pt idx="23">
                  <c:v>2727828.2250000001</c:v>
                </c:pt>
                <c:pt idx="24">
                  <c:v>2764524.6850000001</c:v>
                </c:pt>
                <c:pt idx="25">
                  <c:v>2802672.5929999999</c:v>
                </c:pt>
                <c:pt idx="26">
                  <c:v>2871201.1630000002</c:v>
                </c:pt>
                <c:pt idx="27">
                  <c:v>2916833.0070000002</c:v>
                </c:pt>
                <c:pt idx="28">
                  <c:v>2913294.4410000001</c:v>
                </c:pt>
                <c:pt idx="29">
                  <c:v>2933290.0019999999</c:v>
                </c:pt>
                <c:pt idx="30">
                  <c:v>2561060.2850000001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4-4412-8A9A-18C286956B24}"/>
            </c:ext>
          </c:extLst>
        </c:ser>
        <c:ser>
          <c:idx val="2"/>
          <c:order val="2"/>
          <c:tx>
            <c:strRef>
              <c:f>[1]Road!$A$23</c:f>
              <c:strCache>
                <c:ptCount val="1"/>
                <c:pt idx="0">
                  <c:v>Renewables and biofuels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[1]Road!$B$10:$AF$10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[1]Road!$B$23:$AF$23</c:f>
              <c:numCache>
                <c:formatCode>General</c:formatCode>
                <c:ptCount val="31"/>
                <c:pt idx="0">
                  <c:v>66.561000000000007</c:v>
                </c:pt>
                <c:pt idx="1">
                  <c:v>73.951999999999998</c:v>
                </c:pt>
                <c:pt idx="2">
                  <c:v>255.72200000000001</c:v>
                </c:pt>
                <c:pt idx="3">
                  <c:v>604.92399999999998</c:v>
                </c:pt>
                <c:pt idx="4">
                  <c:v>1620.8520000000001</c:v>
                </c:pt>
                <c:pt idx="5">
                  <c:v>2524.5300000000002</c:v>
                </c:pt>
                <c:pt idx="6">
                  <c:v>3705.12</c:v>
                </c:pt>
                <c:pt idx="7">
                  <c:v>5047.6080000000002</c:v>
                </c:pt>
                <c:pt idx="8">
                  <c:v>4765.5829999999996</c:v>
                </c:pt>
                <c:pt idx="9">
                  <c:v>5313.4340000000002</c:v>
                </c:pt>
                <c:pt idx="10">
                  <c:v>8271.7870000000003</c:v>
                </c:pt>
                <c:pt idx="11">
                  <c:v>9745.3700000000008</c:v>
                </c:pt>
                <c:pt idx="12">
                  <c:v>12927.373</c:v>
                </c:pt>
                <c:pt idx="13">
                  <c:v>16029.425999999999</c:v>
                </c:pt>
                <c:pt idx="14">
                  <c:v>21842.813999999998</c:v>
                </c:pt>
                <c:pt idx="15">
                  <c:v>36383.362999999998</c:v>
                </c:pt>
                <c:pt idx="16">
                  <c:v>60234.623</c:v>
                </c:pt>
                <c:pt idx="17">
                  <c:v>84215.914000000004</c:v>
                </c:pt>
                <c:pt idx="18">
                  <c:v>103867.462</c:v>
                </c:pt>
                <c:pt idx="19">
                  <c:v>122786.58</c:v>
                </c:pt>
                <c:pt idx="20">
                  <c:v>139352.147</c:v>
                </c:pt>
                <c:pt idx="21">
                  <c:v>147215.421</c:v>
                </c:pt>
                <c:pt idx="22">
                  <c:v>156126.92000000001</c:v>
                </c:pt>
                <c:pt idx="23">
                  <c:v>139655.07199999999</c:v>
                </c:pt>
                <c:pt idx="24">
                  <c:v>150651.34</c:v>
                </c:pt>
                <c:pt idx="25">
                  <c:v>150930.42199999999</c:v>
                </c:pt>
                <c:pt idx="26">
                  <c:v>147009.54999999999</c:v>
                </c:pt>
                <c:pt idx="27">
                  <c:v>160377.68700000001</c:v>
                </c:pt>
                <c:pt idx="28">
                  <c:v>177034.125</c:v>
                </c:pt>
                <c:pt idx="29">
                  <c:v>183488.10800000001</c:v>
                </c:pt>
                <c:pt idx="30">
                  <c:v>185428.139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4-4412-8A9A-18C286956B24}"/>
            </c:ext>
          </c:extLst>
        </c:ser>
        <c:ser>
          <c:idx val="3"/>
          <c:order val="3"/>
          <c:tx>
            <c:strRef>
              <c:f>[1]Road!$A$30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[1]Road!$B$10:$AF$10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[1]Road!$B$30:$AF$30</c:f>
              <c:numCache>
                <c:formatCode>General</c:formatCode>
                <c:ptCount val="31"/>
                <c:pt idx="0">
                  <c:v>259</c:v>
                </c:pt>
                <c:pt idx="1">
                  <c:v>248</c:v>
                </c:pt>
                <c:pt idx="2">
                  <c:v>251</c:v>
                </c:pt>
                <c:pt idx="3">
                  <c:v>215</c:v>
                </c:pt>
                <c:pt idx="4">
                  <c:v>204</c:v>
                </c:pt>
                <c:pt idx="5">
                  <c:v>204</c:v>
                </c:pt>
                <c:pt idx="6">
                  <c:v>203</c:v>
                </c:pt>
                <c:pt idx="7">
                  <c:v>198</c:v>
                </c:pt>
                <c:pt idx="8">
                  <c:v>177</c:v>
                </c:pt>
                <c:pt idx="9">
                  <c:v>171</c:v>
                </c:pt>
                <c:pt idx="10">
                  <c:v>234</c:v>
                </c:pt>
                <c:pt idx="11">
                  <c:v>234</c:v>
                </c:pt>
                <c:pt idx="12">
                  <c:v>236</c:v>
                </c:pt>
                <c:pt idx="13">
                  <c:v>258</c:v>
                </c:pt>
                <c:pt idx="14">
                  <c:v>309</c:v>
                </c:pt>
                <c:pt idx="15">
                  <c:v>303.56099999999998</c:v>
                </c:pt>
                <c:pt idx="16">
                  <c:v>308.73899999999998</c:v>
                </c:pt>
                <c:pt idx="17">
                  <c:v>307.25799999999998</c:v>
                </c:pt>
                <c:pt idx="18">
                  <c:v>306.15100000000001</c:v>
                </c:pt>
                <c:pt idx="19">
                  <c:v>348.80399999999997</c:v>
                </c:pt>
                <c:pt idx="20">
                  <c:v>407.24400000000003</c:v>
                </c:pt>
                <c:pt idx="21">
                  <c:v>482.81099999999998</c:v>
                </c:pt>
                <c:pt idx="22">
                  <c:v>482.53100000000001</c:v>
                </c:pt>
                <c:pt idx="23">
                  <c:v>618.04999999999995</c:v>
                </c:pt>
                <c:pt idx="24">
                  <c:v>716.37099999999998</c:v>
                </c:pt>
                <c:pt idx="25">
                  <c:v>937.76900000000001</c:v>
                </c:pt>
                <c:pt idx="26">
                  <c:v>1003.893</c:v>
                </c:pt>
                <c:pt idx="27">
                  <c:v>1234.992</c:v>
                </c:pt>
                <c:pt idx="28">
                  <c:v>1586.433</c:v>
                </c:pt>
                <c:pt idx="29">
                  <c:v>2379.9699999999998</c:v>
                </c:pt>
                <c:pt idx="30">
                  <c:v>3283.45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F4-4412-8A9A-18C286956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5905120"/>
        <c:axId val="1155909280"/>
      </c:barChart>
      <c:catAx>
        <c:axId val="11559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55909280"/>
        <c:crosses val="autoZero"/>
        <c:auto val="1"/>
        <c:lblAlgn val="ctr"/>
        <c:lblOffset val="100"/>
        <c:noMultiLvlLbl val="0"/>
      </c:catAx>
      <c:valAx>
        <c:axId val="11559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559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[1]Road!$R$43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[1]Road!$R$44:$R$74</c:f>
              <c:numCache>
                <c:formatCode>General</c:formatCode>
                <c:ptCount val="31"/>
                <c:pt idx="0">
                  <c:v>2.8387323823146691E-3</c:v>
                </c:pt>
                <c:pt idx="1">
                  <c:v>3.1062861898334166E-3</c:v>
                </c:pt>
                <c:pt idx="2">
                  <c:v>1.0440156857140991E-2</c:v>
                </c:pt>
                <c:pt idx="3">
                  <c:v>2.442633518792512E-2</c:v>
                </c:pt>
                <c:pt idx="4">
                  <c:v>6.4845724346720937E-2</c:v>
                </c:pt>
                <c:pt idx="5">
                  <c:v>9.9575891968822536E-2</c:v>
                </c:pt>
                <c:pt idx="6">
                  <c:v>0.1417613100202022</c:v>
                </c:pt>
                <c:pt idx="7">
                  <c:v>0.1900387061462977</c:v>
                </c:pt>
                <c:pt idx="8">
                  <c:v>0.17250395738108454</c:v>
                </c:pt>
                <c:pt idx="9">
                  <c:v>0.18804975518925077</c:v>
                </c:pt>
                <c:pt idx="10">
                  <c:v>0.29250209310668995</c:v>
                </c:pt>
                <c:pt idx="11">
                  <c:v>0.33838956484565963</c:v>
                </c:pt>
                <c:pt idx="12">
                  <c:v>0.44292226797185663</c:v>
                </c:pt>
                <c:pt idx="13">
                  <c:v>0.54334542816902598</c:v>
                </c:pt>
                <c:pt idx="14">
                  <c:v>0.72282734166985985</c:v>
                </c:pt>
                <c:pt idx="15">
                  <c:v>1.2024963649503719</c:v>
                </c:pt>
                <c:pt idx="16">
                  <c:v>1.9466677274927582</c:v>
                </c:pt>
                <c:pt idx="17">
                  <c:v>2.6778269298566646</c:v>
                </c:pt>
                <c:pt idx="18">
                  <c:v>3.3468759970900019</c:v>
                </c:pt>
                <c:pt idx="19">
                  <c:v>4.0419886523809776</c:v>
                </c:pt>
                <c:pt idx="20">
                  <c:v>4.5976293512192425</c:v>
                </c:pt>
                <c:pt idx="21">
                  <c:v>4.8787216238790965</c:v>
                </c:pt>
                <c:pt idx="22">
                  <c:v>5.3740580503461661</c:v>
                </c:pt>
                <c:pt idx="23">
                  <c:v>4.8424949953973018</c:v>
                </c:pt>
                <c:pt idx="24">
                  <c:v>5.136742826190047</c:v>
                </c:pt>
                <c:pt idx="25">
                  <c:v>5.0774564812953304</c:v>
                </c:pt>
                <c:pt idx="26">
                  <c:v>4.8396513277490403</c:v>
                </c:pt>
                <c:pt idx="27">
                  <c:v>5.1797766065714175</c:v>
                </c:pt>
                <c:pt idx="28">
                  <c:v>5.6914055186085006</c:v>
                </c:pt>
                <c:pt idx="29">
                  <c:v>5.8424460960148963</c:v>
                </c:pt>
                <c:pt idx="30">
                  <c:v>6.6930009642973936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A-4141-99F8-65B0F7DE7C78}"/>
            </c:ext>
          </c:extLst>
        </c:ser>
        <c:ser>
          <c:idx val="1"/>
          <c:order val="1"/>
          <c:tx>
            <c:strRef>
              <c:f>[1]Road!$S$43</c:f>
              <c:strCache>
                <c:ptCount val="1"/>
                <c:pt idx="0">
                  <c:v>RICHARD 6,69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[1]Road!$S$44:$S$74</c:f>
              <c:numCache>
                <c:formatCode>General</c:formatCode>
                <c:ptCount val="31"/>
                <c:pt idx="0">
                  <c:v>2.8388342733483983E-3</c:v>
                </c:pt>
                <c:pt idx="1">
                  <c:v>2.8390093508528897E-3</c:v>
                </c:pt>
                <c:pt idx="2">
                  <c:v>2.8394852608056124E-3</c:v>
                </c:pt>
                <c:pt idx="3">
                  <c:v>2.8407789178399056E-3</c:v>
                </c:pt>
                <c:pt idx="4">
                  <c:v>2.8442954397201264E-3</c:v>
                </c:pt>
                <c:pt idx="5">
                  <c:v>2.8538543185643835E-3</c:v>
                </c:pt>
                <c:pt idx="6">
                  <c:v>2.8798379071846977E-3</c:v>
                </c:pt>
                <c:pt idx="7">
                  <c:v>2.950467603982077E-3</c:v>
                </c:pt>
                <c:pt idx="8">
                  <c:v>3.1424514889171352E-3</c:v>
                </c:pt>
                <c:pt idx="9">
                  <c:v>3.6642621142009319E-3</c:v>
                </c:pt>
                <c:pt idx="10">
                  <c:v>5.0822791596292953E-3</c:v>
                </c:pt>
                <c:pt idx="11">
                  <c:v>8.9338126744349898E-3</c:v>
                </c:pt>
                <c:pt idx="12">
                  <c:v>1.9380982438591279E-2</c:v>
                </c:pt>
                <c:pt idx="13">
                  <c:v>4.7614990859803141E-2</c:v>
                </c:pt>
                <c:pt idx="14">
                  <c:v>0.12316939496599436</c:v>
                </c:pt>
                <c:pt idx="15">
                  <c:v>0.32012551793046634</c:v>
                </c:pt>
                <c:pt idx="16">
                  <c:v>0.80032561922860379</c:v>
                </c:pt>
                <c:pt idx="17">
                  <c:v>1.8021004722294149</c:v>
                </c:pt>
                <c:pt idx="18">
                  <c:v>3.347919848339854</c:v>
                </c:pt>
                <c:pt idx="19">
                  <c:v>4.8937392244502931</c:v>
                </c:pt>
                <c:pt idx="20">
                  <c:v>5.8955140774511037</c:v>
                </c:pt>
                <c:pt idx="21">
                  <c:v>6.3757141787492433</c:v>
                </c:pt>
                <c:pt idx="22">
                  <c:v>6.572670301713714</c:v>
                </c:pt>
                <c:pt idx="23">
                  <c:v>6.6482247058199055</c:v>
                </c:pt>
                <c:pt idx="24">
                  <c:v>6.676458714241118</c:v>
                </c:pt>
                <c:pt idx="25">
                  <c:v>6.6869058840052737</c:v>
                </c:pt>
                <c:pt idx="26">
                  <c:v>6.6907574175200795</c:v>
                </c:pt>
                <c:pt idx="27">
                  <c:v>6.6921754345655069</c:v>
                </c:pt>
                <c:pt idx="28">
                  <c:v>6.6926972451907911</c:v>
                </c:pt>
                <c:pt idx="29">
                  <c:v>6.6928892290757274</c:v>
                </c:pt>
                <c:pt idx="30">
                  <c:v>6.6929598587725234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A-4141-99F8-65B0F7DE7C78}"/>
            </c:ext>
          </c:extLst>
        </c:ser>
        <c:ser>
          <c:idx val="2"/>
          <c:order val="2"/>
          <c:tx>
            <c:strRef>
              <c:f>[1]Road!$T$43</c:f>
              <c:strCache>
                <c:ptCount val="1"/>
                <c:pt idx="0">
                  <c:v>RICHARD k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[1]Road!$T$44:$T$74</c:f>
              <c:numCache>
                <c:formatCode>General</c:formatCode>
                <c:ptCount val="31"/>
                <c:pt idx="0">
                  <c:v>2.9209778602347688E-3</c:v>
                </c:pt>
                <c:pt idx="1">
                  <c:v>2.9962746618037465E-3</c:v>
                </c:pt>
                <c:pt idx="2">
                  <c:v>3.1405026432502364E-3</c:v>
                </c:pt>
                <c:pt idx="3">
                  <c:v>3.4167547901995895E-3</c:v>
                </c:pt>
                <c:pt idx="4">
                  <c:v>3.945844732144807E-3</c:v>
                </c:pt>
                <c:pt idx="5">
                  <c:v>4.9590361507552087E-3</c:v>
                </c:pt>
                <c:pt idx="6">
                  <c:v>6.8987384180365235E-3</c:v>
                </c:pt>
                <c:pt idx="7">
                  <c:v>1.0610259663277071E-2</c:v>
                </c:pt>
                <c:pt idx="8">
                  <c:v>1.7704978119085734E-2</c:v>
                </c:pt>
                <c:pt idx="9">
                  <c:v>3.1240960944001459E-2</c:v>
                </c:pt>
                <c:pt idx="10">
                  <c:v>5.6972450913600557E-2</c:v>
                </c:pt>
                <c:pt idx="11">
                  <c:v>0.10555076257255172</c:v>
                </c:pt>
                <c:pt idx="12">
                  <c:v>0.19607770919972833</c:v>
                </c:pt>
                <c:pt idx="13">
                  <c:v>0.36076403921939321</c:v>
                </c:pt>
                <c:pt idx="14">
                  <c:v>0.64764372974019202</c:v>
                </c:pt>
                <c:pt idx="15">
                  <c:v>1.1115577199956446</c:v>
                </c:pt>
                <c:pt idx="16">
                  <c:v>1.7784742586184756</c:v>
                </c:pt>
                <c:pt idx="17">
                  <c:v>2.591307669476866</c:v>
                </c:pt>
                <c:pt idx="18">
                  <c:v>3.4041410803352563</c:v>
                </c:pt>
                <c:pt idx="19">
                  <c:v>4.071057618958088</c:v>
                </c:pt>
                <c:pt idx="20">
                  <c:v>4.5349716092135397</c:v>
                </c:pt>
                <c:pt idx="21">
                  <c:v>4.8218512997343392</c:v>
                </c:pt>
                <c:pt idx="22">
                  <c:v>4.9865376297540038</c:v>
                </c:pt>
                <c:pt idx="23">
                  <c:v>5.077064576381181</c:v>
                </c:pt>
                <c:pt idx="24">
                  <c:v>5.1256428880401312</c:v>
                </c:pt>
                <c:pt idx="25">
                  <c:v>5.1513743780097299</c:v>
                </c:pt>
                <c:pt idx="26">
                  <c:v>5.1649103608346456</c:v>
                </c:pt>
                <c:pt idx="27">
                  <c:v>5.1720050792904546</c:v>
                </c:pt>
                <c:pt idx="28">
                  <c:v>5.1757166005356963</c:v>
                </c:pt>
                <c:pt idx="29">
                  <c:v>5.1776563028029772</c:v>
                </c:pt>
                <c:pt idx="30">
                  <c:v>5.1786694942215874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A-4141-99F8-65B0F7DE7C78}"/>
            </c:ext>
          </c:extLst>
        </c:ser>
        <c:ser>
          <c:idx val="3"/>
          <c:order val="3"/>
          <c:tx>
            <c:strRef>
              <c:f>[1]Road!$U$43</c:f>
              <c:strCache>
                <c:ptCount val="1"/>
                <c:pt idx="0">
                  <c:v>RICHARD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[1]Road!$U$44:$U$74</c:f>
              <c:numCache>
                <c:formatCode>General</c:formatCode>
                <c:ptCount val="31"/>
                <c:pt idx="0">
                  <c:v>2.9542840979442757E-3</c:v>
                </c:pt>
                <c:pt idx="1">
                  <c:v>3.0556921618873022E-3</c:v>
                </c:pt>
                <c:pt idx="2">
                  <c:v>3.2460932775422052E-3</c:v>
                </c:pt>
                <c:pt idx="3">
                  <c:v>3.6035782936188576E-3</c:v>
                </c:pt>
                <c:pt idx="4">
                  <c:v>4.2747425093629561E-3</c:v>
                </c:pt>
                <c:pt idx="5">
                  <c:v>5.5347255495519741E-3</c:v>
                </c:pt>
                <c:pt idx="6">
                  <c:v>7.8997195882712333E-3</c:v>
                </c:pt>
                <c:pt idx="7">
                  <c:v>1.2337373011200779E-2</c:v>
                </c:pt>
                <c:pt idx="8">
                  <c:v>2.0658668866421995E-2</c:v>
                </c:pt>
                <c:pt idx="9">
                  <c:v>3.6241777846752005E-2</c:v>
                </c:pt>
                <c:pt idx="10">
                  <c:v>6.5346568186217632E-2</c:v>
                </c:pt>
                <c:pt idx="11">
                  <c:v>0.1194182024875451</c:v>
                </c:pt>
                <c:pt idx="12">
                  <c:v>0.21882042334605711</c:v>
                </c:pt>
                <c:pt idx="13">
                  <c:v>0.39782044743386463</c:v>
                </c:pt>
                <c:pt idx="14">
                  <c:v>0.70770031415073398</c:v>
                </c:pt>
                <c:pt idx="15">
                  <c:v>1.2070659747328321</c:v>
                </c:pt>
                <c:pt idx="16">
                  <c:v>1.920960178309417</c:v>
                </c:pt>
                <c:pt idx="17">
                  <c:v>2.7770910477597801</c:v>
                </c:pt>
                <c:pt idx="18">
                  <c:v>3.6043238515688611</c:v>
                </c:pt>
                <c:pt idx="19">
                  <c:v>4.2482473282355881</c:v>
                </c:pt>
                <c:pt idx="20">
                  <c:v>4.6685774112106717</c:v>
                </c:pt>
                <c:pt idx="21">
                  <c:v>4.9119071582461444</c:v>
                </c:pt>
                <c:pt idx="22">
                  <c:v>5.04300142101342</c:v>
                </c:pt>
                <c:pt idx="23">
                  <c:v>5.1108896600241884</c:v>
                </c:pt>
                <c:pt idx="24">
                  <c:v>5.1453248487781362</c:v>
                </c:pt>
                <c:pt idx="25">
                  <c:v>5.1626076671844645</c:v>
                </c:pt>
                <c:pt idx="26">
                  <c:v>5.1712357134406686</c:v>
                </c:pt>
                <c:pt idx="27">
                  <c:v>5.1755316032545817</c:v>
                </c:pt>
                <c:pt idx="28">
                  <c:v>5.1776676814200817</c:v>
                </c:pt>
                <c:pt idx="29">
                  <c:v>5.1787291185886195</c:v>
                </c:pt>
                <c:pt idx="30">
                  <c:v>5.1792563834999861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A-4141-99F8-65B0F7DE7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904175"/>
        <c:axId val="1714903759"/>
      </c:lineChart>
      <c:catAx>
        <c:axId val="17149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3759"/>
        <c:crosses val="autoZero"/>
        <c:auto val="1"/>
        <c:lblAlgn val="ctr"/>
        <c:lblOffset val="100"/>
        <c:noMultiLvlLbl val="0"/>
      </c:catAx>
      <c:valAx>
        <c:axId val="17149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[1]Road!$AA$43</c:f>
              <c:strCache>
                <c:ptCount val="1"/>
                <c:pt idx="0">
                  <c:v>RICHARD 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[1]Road!$AA$44:$AA$74</c:f>
              <c:numCache>
                <c:formatCode>General</c:formatCode>
                <c:ptCount val="31"/>
                <c:pt idx="0">
                  <c:v>0</c:v>
                </c:pt>
                <c:pt idx="1">
                  <c:v>1.9590831832388808E-5</c:v>
                </c:pt>
                <c:pt idx="2">
                  <c:v>5.6374062795067316E-5</c:v>
                </c:pt>
                <c:pt idx="3">
                  <c:v>1.2543591606633379E-4</c:v>
                </c:pt>
                <c:pt idx="4">
                  <c:v>2.5509685989371018E-4</c:v>
                </c:pt>
                <c:pt idx="5">
                  <c:v>4.9851059734434486E-4</c:v>
                </c:pt>
                <c:pt idx="6">
                  <c:v>9.5539931699470295E-4</c:v>
                </c:pt>
                <c:pt idx="7">
                  <c:v>1.8127011779974012E-3</c:v>
                </c:pt>
                <c:pt idx="8">
                  <c:v>3.4202765658756474E-3</c:v>
                </c:pt>
                <c:pt idx="9">
                  <c:v>6.4307478793892347E-3</c:v>
                </c:pt>
                <c:pt idx="10">
                  <c:v>1.2053447208091045E-2</c:v>
                </c:pt>
                <c:pt idx="11">
                  <c:v>2.2499443841010467E-2</c:v>
                </c:pt>
                <c:pt idx="12">
                  <c:v>4.1702770646452295E-2</c:v>
                </c:pt>
                <c:pt idx="13">
                  <c:v>7.6283446320015727E-2</c:v>
                </c:pt>
                <c:pt idx="14">
                  <c:v>0.13614855093836212</c:v>
                </c:pt>
                <c:pt idx="15">
                  <c:v>0.2326200572362237</c:v>
                </c:pt>
                <c:pt idx="16">
                  <c:v>0.37053592649336248</c:v>
                </c:pt>
                <c:pt idx="17">
                  <c:v>0.53593022787103162</c:v>
                </c:pt>
                <c:pt idx="18">
                  <c:v>0.69574176667295784</c:v>
                </c:pt>
                <c:pt idx="19">
                  <c:v>0.82014012370492317</c:v>
                </c:pt>
                <c:pt idx="20">
                  <c:v>0.90134289643792098</c:v>
                </c:pt>
                <c:pt idx="21">
                  <c:v>0.94835130946381097</c:v>
                </c:pt>
                <c:pt idx="22">
                  <c:v>0.97367716182903896</c:v>
                </c:pt>
                <c:pt idx="23">
                  <c:v>0.98679236216068311</c:v>
                </c:pt>
                <c:pt idx="24">
                  <c:v>0.99344483106467651</c:v>
                </c:pt>
                <c:pt idx="25">
                  <c:v>0.99678366602338675</c:v>
                </c:pt>
                <c:pt idx="26">
                  <c:v>0.99845050194032459</c:v>
                </c:pt>
                <c:pt idx="27">
                  <c:v>0.99928041675816515</c:v>
                </c:pt>
                <c:pt idx="28">
                  <c:v>0.99969308165377602</c:v>
                </c:pt>
                <c:pt idx="29">
                  <c:v>0.99989813869027711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5-4EE6-8637-2470DA8A00C1}"/>
            </c:ext>
          </c:extLst>
        </c:ser>
        <c:ser>
          <c:idx val="1"/>
          <c:order val="1"/>
          <c:tx>
            <c:strRef>
              <c:f>[1]Road!$AB$43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[1]Road!$AB$44:$AB$74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5-4EE6-8637-2470DA8A00C1}"/>
            </c:ext>
          </c:extLst>
        </c:ser>
        <c:ser>
          <c:idx val="2"/>
          <c:order val="2"/>
          <c:tx>
            <c:strRef>
              <c:f>[1]Road!$AC$43</c:f>
              <c:strCache>
                <c:ptCount val="1"/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[1]Road!$AC$44:$AC$74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5-4EE6-8637-2470DA8A00C1}"/>
            </c:ext>
          </c:extLst>
        </c:ser>
        <c:ser>
          <c:idx val="3"/>
          <c:order val="3"/>
          <c:tx>
            <c:strRef>
              <c:f>[1]Road!$AD$43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[1]Road!$AD$44:$AD$74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B5-4EE6-8637-2470DA8A0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904175"/>
        <c:axId val="1714903759"/>
      </c:lineChart>
      <c:catAx>
        <c:axId val="17149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3759"/>
        <c:crosses val="autoZero"/>
        <c:auto val="1"/>
        <c:lblAlgn val="ctr"/>
        <c:lblOffset val="100"/>
        <c:noMultiLvlLbl val="0"/>
      </c:catAx>
      <c:valAx>
        <c:axId val="17149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[1]Road!$AA$43</c:f>
              <c:strCache>
                <c:ptCount val="1"/>
                <c:pt idx="0">
                  <c:v>RICHARD 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[1]Road!$Y$80:$Y$125</c:f>
              <c:numCache>
                <c:formatCode>General</c:formatCode>
                <c:ptCount val="4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</c:numCache>
            </c:numRef>
          </c:cat>
          <c:val>
            <c:numRef>
              <c:f>[1]Road!$AA$80:$AA$125</c:f>
              <c:numCache>
                <c:formatCode>General</c:formatCode>
                <c:ptCount val="46"/>
                <c:pt idx="0">
                  <c:v>259</c:v>
                </c:pt>
                <c:pt idx="1">
                  <c:v>248</c:v>
                </c:pt>
                <c:pt idx="2">
                  <c:v>251</c:v>
                </c:pt>
                <c:pt idx="3">
                  <c:v>215</c:v>
                </c:pt>
                <c:pt idx="4">
                  <c:v>204</c:v>
                </c:pt>
                <c:pt idx="5">
                  <c:v>204</c:v>
                </c:pt>
                <c:pt idx="6">
                  <c:v>203</c:v>
                </c:pt>
                <c:pt idx="7">
                  <c:v>198</c:v>
                </c:pt>
                <c:pt idx="8">
                  <c:v>177</c:v>
                </c:pt>
                <c:pt idx="9">
                  <c:v>171</c:v>
                </c:pt>
                <c:pt idx="10">
                  <c:v>234</c:v>
                </c:pt>
                <c:pt idx="11">
                  <c:v>234</c:v>
                </c:pt>
                <c:pt idx="12">
                  <c:v>236</c:v>
                </c:pt>
                <c:pt idx="13">
                  <c:v>258</c:v>
                </c:pt>
                <c:pt idx="14">
                  <c:v>309</c:v>
                </c:pt>
                <c:pt idx="15">
                  <c:v>303.56099999999998</c:v>
                </c:pt>
                <c:pt idx="16">
                  <c:v>308.73899999999998</c:v>
                </c:pt>
                <c:pt idx="17">
                  <c:v>307.25799999999998</c:v>
                </c:pt>
                <c:pt idx="18">
                  <c:v>306.15100000000001</c:v>
                </c:pt>
                <c:pt idx="19">
                  <c:v>348.80399999999997</c:v>
                </c:pt>
                <c:pt idx="20">
                  <c:v>407.24400000000003</c:v>
                </c:pt>
                <c:pt idx="21">
                  <c:v>482.81099999999998</c:v>
                </c:pt>
                <c:pt idx="22">
                  <c:v>482.53100000000001</c:v>
                </c:pt>
                <c:pt idx="23">
                  <c:v>618.04999999999995</c:v>
                </c:pt>
                <c:pt idx="24">
                  <c:v>716.37099999999998</c:v>
                </c:pt>
                <c:pt idx="25">
                  <c:v>937.76900000000001</c:v>
                </c:pt>
                <c:pt idx="26">
                  <c:v>1003.893</c:v>
                </c:pt>
                <c:pt idx="27">
                  <c:v>1234.992</c:v>
                </c:pt>
                <c:pt idx="28">
                  <c:v>1586.433</c:v>
                </c:pt>
                <c:pt idx="29">
                  <c:v>2379.9699999999998</c:v>
                </c:pt>
                <c:pt idx="30">
                  <c:v>3283.45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0-4006-A6CA-275C405795D9}"/>
            </c:ext>
          </c:extLst>
        </c:ser>
        <c:ser>
          <c:idx val="1"/>
          <c:order val="1"/>
          <c:tx>
            <c:strRef>
              <c:f>[1]Road!$AB$43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[1]Road!$Y$80:$Y$125</c:f>
              <c:numCache>
                <c:formatCode>General</c:formatCode>
                <c:ptCount val="4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</c:numCache>
            </c:numRef>
          </c:cat>
          <c:val>
            <c:numRef>
              <c:f>[1]Road!$AC$80:$AC$125</c:f>
              <c:numCache>
                <c:formatCode>General</c:formatCode>
                <c:ptCount val="46"/>
                <c:pt idx="0">
                  <c:v>259.00000001128535</c:v>
                </c:pt>
                <c:pt idx="1">
                  <c:v>259.00000003067669</c:v>
                </c:pt>
                <c:pt idx="2">
                  <c:v>259.00000008338793</c:v>
                </c:pt>
                <c:pt idx="3">
                  <c:v>259.00000022667189</c:v>
                </c:pt>
                <c:pt idx="4">
                  <c:v>259.00000061615805</c:v>
                </c:pt>
                <c:pt idx="5">
                  <c:v>259.00000167489122</c:v>
                </c:pt>
                <c:pt idx="6">
                  <c:v>259.00000455282634</c:v>
                </c:pt>
                <c:pt idx="7">
                  <c:v>259.00001237586508</c:v>
                </c:pt>
                <c:pt idx="8">
                  <c:v>259.00003364108898</c:v>
                </c:pt>
                <c:pt idx="9">
                  <c:v>259.00009144595998</c:v>
                </c:pt>
                <c:pt idx="10">
                  <c:v>259.00024857588471</c:v>
                </c:pt>
                <c:pt idx="11">
                  <c:v>259.00067569926239</c:v>
                </c:pt>
                <c:pt idx="12">
                  <c:v>259.00183674067131</c:v>
                </c:pt>
                <c:pt idx="13">
                  <c:v>259.00499277616609</c:v>
                </c:pt>
                <c:pt idx="14">
                  <c:v>259.01357175333453</c:v>
                </c:pt>
                <c:pt idx="15">
                  <c:v>259.0368917071869</c:v>
                </c:pt>
                <c:pt idx="16">
                  <c:v>259.10028099855799</c:v>
                </c:pt>
                <c:pt idx="17">
                  <c:v>259.2725841935669</c:v>
                </c:pt>
                <c:pt idx="18">
                  <c:v>259.74090286498262</c:v>
                </c:pt>
                <c:pt idx="19">
                  <c:v>261.01355586701499</c:v>
                </c:pt>
                <c:pt idx="20">
                  <c:v>264.47026021753635</c:v>
                </c:pt>
                <c:pt idx="21">
                  <c:v>273.84646765168526</c:v>
                </c:pt>
                <c:pt idx="22">
                  <c:v>299.18614582586963</c:v>
                </c:pt>
                <c:pt idx="23">
                  <c:v>366.99530193757488</c:v>
                </c:pt>
                <c:pt idx="24">
                  <c:v>543.76101992911822</c:v>
                </c:pt>
                <c:pt idx="25">
                  <c:v>974.73475361135922</c:v>
                </c:pt>
                <c:pt idx="26">
                  <c:v>1873.815465047295</c:v>
                </c:pt>
                <c:pt idx="27">
                  <c:v>3261.1695</c:v>
                </c:pt>
                <c:pt idx="28">
                  <c:v>4648.5235349527047</c:v>
                </c:pt>
                <c:pt idx="29">
                  <c:v>5547.6042463886397</c:v>
                </c:pt>
                <c:pt idx="30">
                  <c:v>5978.5779800708824</c:v>
                </c:pt>
                <c:pt idx="31">
                  <c:v>6155.3436980624256</c:v>
                </c:pt>
                <c:pt idx="32">
                  <c:v>6223.1528541741309</c:v>
                </c:pt>
                <c:pt idx="33">
                  <c:v>6248.4925323483158</c:v>
                </c:pt>
                <c:pt idx="34">
                  <c:v>6257.8687397824642</c:v>
                </c:pt>
                <c:pt idx="35">
                  <c:v>6261.3254441329855</c:v>
                </c:pt>
                <c:pt idx="36">
                  <c:v>6262.5980971350173</c:v>
                </c:pt>
                <c:pt idx="37">
                  <c:v>6263.0664158064337</c:v>
                </c:pt>
                <c:pt idx="38">
                  <c:v>6263.2387190014424</c:v>
                </c:pt>
                <c:pt idx="39">
                  <c:v>6263.3021082928135</c:v>
                </c:pt>
                <c:pt idx="40">
                  <c:v>6263.3254282466651</c:v>
                </c:pt>
                <c:pt idx="41">
                  <c:v>6263.3340072238334</c:v>
                </c:pt>
                <c:pt idx="42">
                  <c:v>6263.337163259328</c:v>
                </c:pt>
                <c:pt idx="43">
                  <c:v>6263.3383243007374</c:v>
                </c:pt>
                <c:pt idx="44">
                  <c:v>6263.3387514241149</c:v>
                </c:pt>
                <c:pt idx="45">
                  <c:v>6263.3389085540402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0-4006-A6CA-275C405795D9}"/>
            </c:ext>
          </c:extLst>
        </c:ser>
        <c:ser>
          <c:idx val="2"/>
          <c:order val="2"/>
          <c:tx>
            <c:strRef>
              <c:f>[1]Road!$AC$43</c:f>
              <c:strCache>
                <c:ptCount val="1"/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[1]Road!$Y$80:$Y$125</c:f>
              <c:numCache>
                <c:formatCode>General</c:formatCode>
                <c:ptCount val="4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</c:numCache>
            </c:numRef>
          </c:cat>
          <c:val>
            <c:numRef>
              <c:f>[1]Road!$AD$80:$AD$110</c:f>
              <c:numCache>
                <c:formatCode>General</c:formatCode>
                <c:ptCount val="31"/>
                <c:pt idx="0">
                  <c:v>259.00015293225465</c:v>
                </c:pt>
                <c:pt idx="1">
                  <c:v>259.00027866072475</c:v>
                </c:pt>
                <c:pt idx="2">
                  <c:v>259.00050775290708</c:v>
                </c:pt>
                <c:pt idx="3">
                  <c:v>259.00092518599024</c:v>
                </c:pt>
                <c:pt idx="4">
                  <c:v>259.0016857983627</c:v>
                </c:pt>
                <c:pt idx="5">
                  <c:v>259.00307172348272</c:v>
                </c:pt>
                <c:pt idx="6">
                  <c:v>259.00559704043411</c:v>
                </c:pt>
                <c:pt idx="7">
                  <c:v>259.01019845708555</c:v>
                </c:pt>
                <c:pt idx="8">
                  <c:v>259.01858274887564</c:v>
                </c:pt>
                <c:pt idx="9">
                  <c:v>259.03385980505522</c:v>
                </c:pt>
                <c:pt idx="10">
                  <c:v>259.06169601952377</c:v>
                </c:pt>
                <c:pt idx="11">
                  <c:v>259.11241559182082</c:v>
                </c:pt>
                <c:pt idx="12">
                  <c:v>259.20482830431752</c:v>
                </c:pt>
                <c:pt idx="13">
                  <c:v>259.37320072534158</c:v>
                </c:pt>
                <c:pt idx="14">
                  <c:v>259.67994708073206</c:v>
                </c:pt>
                <c:pt idx="15">
                  <c:v>260.23871541214208</c:v>
                </c:pt>
                <c:pt idx="16">
                  <c:v>261.25632690649741</c:v>
                </c:pt>
                <c:pt idx="17">
                  <c:v>263.10877566407487</c:v>
                </c:pt>
                <c:pt idx="18">
                  <c:v>266.47832510608407</c:v>
                </c:pt>
                <c:pt idx="19">
                  <c:v>272.59875336160854</c:v>
                </c:pt>
                <c:pt idx="20">
                  <c:v>283.68728832417446</c:v>
                </c:pt>
                <c:pt idx="21">
                  <c:v>303.68332015471969</c:v>
                </c:pt>
                <c:pt idx="22">
                  <c:v>339.44127722355194</c:v>
                </c:pt>
                <c:pt idx="23">
                  <c:v>402.43718213189186</c:v>
                </c:pt>
                <c:pt idx="24">
                  <c:v>510.55166191104354</c:v>
                </c:pt>
                <c:pt idx="25">
                  <c:v>688.0214532382804</c:v>
                </c:pt>
                <c:pt idx="26">
                  <c:v>959.08521854639616</c:v>
                </c:pt>
                <c:pt idx="27">
                  <c:v>1330.6947846353928</c:v>
                </c:pt>
                <c:pt idx="28">
                  <c:v>1771.2249999999999</c:v>
                </c:pt>
                <c:pt idx="29">
                  <c:v>2211.7552153646066</c:v>
                </c:pt>
                <c:pt idx="30">
                  <c:v>2583.3647814536034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80-4006-A6CA-275C405795D9}"/>
            </c:ext>
          </c:extLst>
        </c:ser>
        <c:ser>
          <c:idx val="3"/>
          <c:order val="3"/>
          <c:tx>
            <c:strRef>
              <c:f>[1]Road!$AD$43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[1]Road!$Y$80:$Y$125</c:f>
              <c:numCache>
                <c:formatCode>General</c:formatCode>
                <c:ptCount val="4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</c:numCache>
            </c:numRef>
          </c:cat>
          <c:val>
            <c:numRef>
              <c:f>[1]Road!$AE$80:$AE$110</c:f>
              <c:numCache>
                <c:formatCode>General</c:formatCode>
                <c:ptCount val="31"/>
                <c:pt idx="0">
                  <c:v>259.00017591397392</c:v>
                </c:pt>
                <c:pt idx="1">
                  <c:v>259.00031893747757</c:v>
                </c:pt>
                <c:pt idx="2">
                  <c:v>259.00057824351325</c:v>
                </c:pt>
                <c:pt idx="3">
                  <c:v>259.00104837337193</c:v>
                </c:pt>
                <c:pt idx="4">
                  <c:v>259.00190073332408</c:v>
                </c:pt>
                <c:pt idx="5">
                  <c:v>259.00344608818455</c:v>
                </c:pt>
                <c:pt idx="6">
                  <c:v>259.00624786396941</c:v>
                </c:pt>
                <c:pt idx="7">
                  <c:v>259.01132756871499</c:v>
                </c:pt>
                <c:pt idx="8">
                  <c:v>259.020537225304</c:v>
                </c:pt>
                <c:pt idx="9">
                  <c:v>259.03723459832042</c:v>
                </c:pt>
                <c:pt idx="10">
                  <c:v>259.06750738157228</c:v>
                </c:pt>
                <c:pt idx="11">
                  <c:v>259.12239261617731</c:v>
                </c:pt>
                <c:pt idx="12">
                  <c:v>259.22190030218553</c:v>
                </c:pt>
                <c:pt idx="13">
                  <c:v>259.40230737427441</c:v>
                </c:pt>
                <c:pt idx="14">
                  <c:v>259.72937841285631</c:v>
                </c:pt>
                <c:pt idx="15">
                  <c:v>260.32232245354993</c:v>
                </c:pt>
                <c:pt idx="16">
                  <c:v>261.39718089537928</c:v>
                </c:pt>
                <c:pt idx="17">
                  <c:v>263.3453213726483</c:v>
                </c:pt>
                <c:pt idx="18">
                  <c:v>266.87513076195461</c:v>
                </c:pt>
                <c:pt idx="19">
                  <c:v>273.26665659620903</c:v>
                </c:pt>
                <c:pt idx="20">
                  <c:v>284.82510675647308</c:v>
                </c:pt>
                <c:pt idx="21">
                  <c:v>305.67358582950919</c:v>
                </c:pt>
                <c:pt idx="22">
                  <c:v>343.08539749649407</c:v>
                </c:pt>
                <c:pt idx="23">
                  <c:v>409.53516030924072</c:v>
                </c:pt>
                <c:pt idx="24">
                  <c:v>525.21563370529293</c:v>
                </c:pt>
                <c:pt idx="25">
                  <c:v>719.03056873613957</c:v>
                </c:pt>
                <c:pt idx="26">
                  <c:v>1021.9021179852421</c:v>
                </c:pt>
                <c:pt idx="27">
                  <c:v>1443.145142142125</c:v>
                </c:pt>
                <c:pt idx="28">
                  <c:v>1936.918694897797</c:v>
                </c:pt>
                <c:pt idx="29">
                  <c:v>2405.8917860279157</c:v>
                </c:pt>
                <c:pt idx="30">
                  <c:v>2766.7212151020681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80-4006-A6CA-275C405795D9}"/>
            </c:ext>
          </c:extLst>
        </c:ser>
        <c:ser>
          <c:idx val="4"/>
          <c:order val="4"/>
          <c:tx>
            <c:strRef>
              <c:f>[1]Road!$AB$79</c:f>
              <c:strCache>
                <c:ptCount val="1"/>
                <c:pt idx="0">
                  <c:v>Projection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[1]Road!$Y$80:$Y$125</c:f>
              <c:numCache>
                <c:formatCode>General</c:formatCode>
                <c:ptCount val="4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</c:numCache>
            </c:numRef>
          </c:cat>
          <c:val>
            <c:numRef>
              <c:f>[1]Road!$AB$80:$AB$125</c:f>
              <c:numCache>
                <c:formatCode>General</c:formatCode>
                <c:ptCount val="46"/>
                <c:pt idx="30">
                  <c:v>3283.45</c:v>
                </c:pt>
                <c:pt idx="31">
                  <c:v>4186.93</c:v>
                </c:pt>
                <c:pt idx="32">
                  <c:v>4980.4669999999996</c:v>
                </c:pt>
                <c:pt idx="33">
                  <c:v>5331.9079999999994</c:v>
                </c:pt>
                <c:pt idx="34">
                  <c:v>5563.0069999999996</c:v>
                </c:pt>
                <c:pt idx="35">
                  <c:v>5629.1309999999994</c:v>
                </c:pt>
                <c:pt idx="36">
                  <c:v>5850.5289999999995</c:v>
                </c:pt>
                <c:pt idx="37">
                  <c:v>5948.8499999999995</c:v>
                </c:pt>
                <c:pt idx="38">
                  <c:v>6084.3689999999997</c:v>
                </c:pt>
                <c:pt idx="39">
                  <c:v>6084.0889999999999</c:v>
                </c:pt>
                <c:pt idx="40">
                  <c:v>6159.6559999999999</c:v>
                </c:pt>
                <c:pt idx="41">
                  <c:v>6218.0959999999995</c:v>
                </c:pt>
                <c:pt idx="42">
                  <c:v>6260.7489999999998</c:v>
                </c:pt>
                <c:pt idx="43">
                  <c:v>6259.6419999999998</c:v>
                </c:pt>
                <c:pt idx="44">
                  <c:v>6258.1610000000001</c:v>
                </c:pt>
                <c:pt idx="45">
                  <c:v>6263.3389999999999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80-4006-A6CA-275C40579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904175"/>
        <c:axId val="1714903759"/>
      </c:lineChart>
      <c:catAx>
        <c:axId val="17149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3759"/>
        <c:crosses val="autoZero"/>
        <c:auto val="1"/>
        <c:lblAlgn val="ctr"/>
        <c:lblOffset val="100"/>
        <c:noMultiLvlLbl val="0"/>
      </c:catAx>
      <c:valAx>
        <c:axId val="17149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[1]Road!$P$10:$AE$10</c:f>
              <c:strCach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strCache>
            </c:strRef>
          </c:cat>
          <c:val>
            <c:numRef>
              <c:f>[1]Road!$P$12:$AE$12</c:f>
              <c:numCache>
                <c:formatCode>General</c:formatCode>
                <c:ptCount val="16"/>
                <c:pt idx="0">
                  <c:v>3021857.7439999999</c:v>
                </c:pt>
                <c:pt idx="1">
                  <c:v>3025652.639</c:v>
                </c:pt>
                <c:pt idx="2">
                  <c:v>3094242.6460000002</c:v>
                </c:pt>
                <c:pt idx="3">
                  <c:v>3144934.912</c:v>
                </c:pt>
                <c:pt idx="4">
                  <c:v>3103415.307</c:v>
                </c:pt>
                <c:pt idx="5">
                  <c:v>3037776.4649999999</c:v>
                </c:pt>
                <c:pt idx="6">
                  <c:v>3030956.5290000001</c:v>
                </c:pt>
                <c:pt idx="7">
                  <c:v>3017499.9180000001</c:v>
                </c:pt>
                <c:pt idx="8">
                  <c:v>2905196.0090000001</c:v>
                </c:pt>
                <c:pt idx="9">
                  <c:v>2883948.7110000001</c:v>
                </c:pt>
                <c:pt idx="10">
                  <c:v>2932818.4240000001</c:v>
                </c:pt>
                <c:pt idx="11">
                  <c:v>2972559.6379999998</c:v>
                </c:pt>
                <c:pt idx="12">
                  <c:v>3037606.2250000001</c:v>
                </c:pt>
                <c:pt idx="13">
                  <c:v>3096227.872</c:v>
                </c:pt>
                <c:pt idx="14">
                  <c:v>3110551.9440000001</c:v>
                </c:pt>
                <c:pt idx="15">
                  <c:v>3140604.2089999998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7-4B1F-A56D-66E7CFDC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577967"/>
        <c:axId val="759578799"/>
      </c:barChart>
      <c:catAx>
        <c:axId val="75957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9578799"/>
        <c:crosses val="autoZero"/>
        <c:auto val="1"/>
        <c:lblAlgn val="ctr"/>
        <c:lblOffset val="100"/>
        <c:noMultiLvlLbl val="0"/>
      </c:catAx>
      <c:valAx>
        <c:axId val="75957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957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1496332</xdr:colOff>
      <xdr:row>41</xdr:row>
      <xdr:rowOff>113847</xdr:rowOff>
    </xdr:from>
    <xdr:to>
      <xdr:col>6</xdr:col>
      <xdr:colOff>486682</xdr:colOff>
      <xdr:row>56</xdr:row>
      <xdr:rowOff>94797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AD8374-0282-4FB6-B2B7-11A712560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13</xdr:col>
      <xdr:colOff>381000</xdr:colOff>
      <xdr:row>55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DBA2CF1-4FD1-46F8-896D-A793CDCCC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1416050</xdr:colOff>
      <xdr:row>56</xdr:row>
      <xdr:rowOff>139700</xdr:rowOff>
    </xdr:from>
    <xdr:to>
      <xdr:col>6</xdr:col>
      <xdr:colOff>406400</xdr:colOff>
      <xdr:row>71</xdr:row>
      <xdr:rowOff>120650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65D5DAD-3ADB-4A1D-8D84-3752B912B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57</xdr:row>
      <xdr:rowOff>0</xdr:rowOff>
    </xdr:from>
    <xdr:to>
      <xdr:col>13</xdr:col>
      <xdr:colOff>381000</xdr:colOff>
      <xdr:row>71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21E5F9-131A-405C-A6C1-2BFAB74FB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537007</xdr:colOff>
      <xdr:row>29</xdr:row>
      <xdr:rowOff>145947</xdr:rowOff>
    </xdr:from>
    <xdr:to>
      <xdr:col>14</xdr:col>
      <xdr:colOff>229816</xdr:colOff>
      <xdr:row>46</xdr:row>
      <xdr:rowOff>51716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D8FD786-C23F-4CB4-A494-ECB57C1D3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29482</xdr:colOff>
      <xdr:row>51</xdr:row>
      <xdr:rowOff>107496</xdr:rowOff>
    </xdr:from>
    <xdr:to>
      <xdr:col>23</xdr:col>
      <xdr:colOff>410482</xdr:colOff>
      <xdr:row>66</xdr:row>
      <xdr:rowOff>88446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8E76BE-5060-4224-A9DD-CF5EE159B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618732</xdr:colOff>
      <xdr:row>52</xdr:row>
      <xdr:rowOff>44781</xdr:rowOff>
    </xdr:from>
    <xdr:to>
      <xdr:col>33</xdr:col>
      <xdr:colOff>401700</xdr:colOff>
      <xdr:row>67</xdr:row>
      <xdr:rowOff>25732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FCBAA11-C7FC-4F0E-994E-FB05ADFC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157076</xdr:colOff>
      <xdr:row>86</xdr:row>
      <xdr:rowOff>180538</xdr:rowOff>
    </xdr:from>
    <xdr:to>
      <xdr:col>36</xdr:col>
      <xdr:colOff>210710</xdr:colOff>
      <xdr:row>101</xdr:row>
      <xdr:rowOff>161490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A9DA0FF-9EA5-4CFD-94A4-02D4B4446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89113</xdr:colOff>
      <xdr:row>10</xdr:row>
      <xdr:rowOff>70756</xdr:rowOff>
    </xdr:from>
    <xdr:to>
      <xdr:col>20</xdr:col>
      <xdr:colOff>443966</xdr:colOff>
      <xdr:row>25</xdr:row>
      <xdr:rowOff>12486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EE23317-976F-45BA-A206-A949F4988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576035</xdr:colOff>
      <xdr:row>14</xdr:row>
      <xdr:rowOff>52614</xdr:rowOff>
    </xdr:from>
    <xdr:to>
      <xdr:col>24</xdr:col>
      <xdr:colOff>258535</xdr:colOff>
      <xdr:row>29</xdr:row>
      <xdr:rowOff>74385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CA8372E-4DF6-AABD-9B4E-5A0F73F38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75507</xdr:colOff>
      <xdr:row>15</xdr:row>
      <xdr:rowOff>60084</xdr:rowOff>
    </xdr:from>
    <xdr:to>
      <xdr:col>44</xdr:col>
      <xdr:colOff>75507</xdr:colOff>
      <xdr:row>30</xdr:row>
      <xdr:rowOff>81854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320630-2812-A6A1-6E5F-5BECEA696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857784</xdr:colOff>
      <xdr:row>12</xdr:row>
      <xdr:rowOff>164672</xdr:rowOff>
    </xdr:from>
    <xdr:to>
      <xdr:col>19</xdr:col>
      <xdr:colOff>331376</xdr:colOff>
      <xdr:row>33</xdr:row>
      <xdr:rowOff>84843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FF3550D-7D1B-EA21-9C95-206F7B230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717433</xdr:colOff>
      <xdr:row>5</xdr:row>
      <xdr:rowOff>20272</xdr:rowOff>
    </xdr:from>
    <xdr:to>
      <xdr:col>13</xdr:col>
      <xdr:colOff>717433</xdr:colOff>
      <xdr:row>20</xdr:row>
      <xdr:rowOff>30212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984071-9FD8-CA2D-30B1-D664164A8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136071</xdr:colOff>
      <xdr:row>20</xdr:row>
      <xdr:rowOff>108857</xdr:rowOff>
    </xdr:from>
    <xdr:to>
      <xdr:col>10</xdr:col>
      <xdr:colOff>353785</xdr:colOff>
      <xdr:row>34</xdr:row>
      <xdr:rowOff>55296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300537-5CA6-44D3-90D5-CAFF37AA7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453572</xdr:colOff>
      <xdr:row>20</xdr:row>
      <xdr:rowOff>108856</xdr:rowOff>
    </xdr:from>
    <xdr:to>
      <xdr:col>16</xdr:col>
      <xdr:colOff>127000</xdr:colOff>
      <xdr:row>34</xdr:row>
      <xdr:rowOff>55295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96417F-518F-49CD-932D-04EE36A2B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11</xdr:row>
      <xdr:rowOff>0</xdr:rowOff>
    </xdr:from>
    <xdr:to>
      <xdr:col>5</xdr:col>
      <xdr:colOff>495300</xdr:colOff>
      <xdr:row>23</xdr:row>
      <xdr:rowOff>117474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4B9ACF-51C5-4EA0-8EF1-D6EE7F423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400049</xdr:colOff>
      <xdr:row>11</xdr:row>
      <xdr:rowOff>50799</xdr:rowOff>
    </xdr:from>
    <xdr:to>
      <xdr:col>14</xdr:col>
      <xdr:colOff>41274</xdr:colOff>
      <xdr:row>23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E73A67-CB5D-4107-BA50-D222844DC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371928</xdr:colOff>
      <xdr:row>26</xdr:row>
      <xdr:rowOff>152400</xdr:rowOff>
    </xdr:from>
    <xdr:to>
      <xdr:col>5</xdr:col>
      <xdr:colOff>984249</xdr:colOff>
      <xdr:row>44</xdr:row>
      <xdr:rowOff>27215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BB9818-0F06-D542-42BD-EF14026E9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580571</xdr:colOff>
      <xdr:row>48</xdr:row>
      <xdr:rowOff>136073</xdr:rowOff>
    </xdr:from>
    <xdr:to>
      <xdr:col>7</xdr:col>
      <xdr:colOff>90713</xdr:colOff>
      <xdr:row>66</xdr:row>
      <xdr:rowOff>18145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4B0F40C-9214-4EEF-B5FB-3683445C3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616858</xdr:colOff>
      <xdr:row>78</xdr:row>
      <xdr:rowOff>45361</xdr:rowOff>
    </xdr:from>
    <xdr:to>
      <xdr:col>7</xdr:col>
      <xdr:colOff>244931</xdr:colOff>
      <xdr:row>95</xdr:row>
      <xdr:rowOff>45361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E3A00A5-7D90-4328-B9E0-F320A329C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99784</xdr:colOff>
      <xdr:row>3</xdr:row>
      <xdr:rowOff>1</xdr:rowOff>
    </xdr:from>
    <xdr:to>
      <xdr:col>18</xdr:col>
      <xdr:colOff>54427</xdr:colOff>
      <xdr:row>24</xdr:row>
      <xdr:rowOff>125521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488AC24-E18A-4D6B-B999-03DB0CDD6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82284" y="553358"/>
          <a:ext cx="4526643" cy="39808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537882</xdr:colOff>
      <xdr:row>28</xdr:row>
      <xdr:rowOff>74705</xdr:rowOff>
    </xdr:from>
    <xdr:to>
      <xdr:col>6</xdr:col>
      <xdr:colOff>642470</xdr:colOff>
      <xdr:row>44</xdr:row>
      <xdr:rowOff>89647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A770526-5DD5-4B03-9CC4-F761F754C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672351</xdr:colOff>
      <xdr:row>45</xdr:row>
      <xdr:rowOff>29882</xdr:rowOff>
    </xdr:from>
    <xdr:to>
      <xdr:col>14</xdr:col>
      <xdr:colOff>37353</xdr:colOff>
      <xdr:row>61</xdr:row>
      <xdr:rowOff>82176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AB2C378-C95E-4BE4-9386-80CAE1CF0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8697</xdr:colOff>
      <xdr:row>1</xdr:row>
      <xdr:rowOff>174076</xdr:rowOff>
    </xdr:from>
    <xdr:to>
      <xdr:col>24</xdr:col>
      <xdr:colOff>371687</xdr:colOff>
      <xdr:row>5</xdr:row>
      <xdr:rowOff>5098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11D740-872F-7276-2223-89DCCA9DF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82226" y="360841"/>
          <a:ext cx="2813343" cy="578081"/>
        </a:xfrm>
        <a:prstGeom prst="rect">
          <a:avLst/>
        </a:prstGeom>
      </xdr:spPr>
    </xdr:pic>
    <xdr:clientData/>
  </xdr:twoCellAnchor>
  <xdr:twoCellAnchor>
    <xdr:from>
      <xdr:col>16</xdr:col>
      <xdr:colOff>283883</xdr:colOff>
      <xdr:row>13</xdr:row>
      <xdr:rowOff>144929</xdr:rowOff>
    </xdr:from>
    <xdr:to>
      <xdr:col>25</xdr:col>
      <xdr:colOff>381000</xdr:colOff>
      <xdr:row>32</xdr:row>
      <xdr:rowOff>67235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05D6F5-ED33-2588-F5AD-AAE40D29D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me/UNI/Thesis/Papers/Transport/Energy%20consumption%20(1990-2020)%20bue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me/UNI/Thesis/Papers/Transport/GreenhouseGasEmiss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tructure"/>
      <sheetName val="Sheet 1"/>
      <sheetName val="Sheet 2"/>
      <sheetName val="Sheet 3"/>
      <sheetName val="Sheet 4"/>
      <sheetName val="Sheet 5"/>
      <sheetName val="Sheet 6"/>
      <sheetName val="Sheet 7"/>
      <sheetName val="Total"/>
      <sheetName val="Road"/>
      <sheetName val="Rail"/>
      <sheetName val="Aviation"/>
      <sheetName val="Navigation"/>
      <sheetName val="FORECA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B10" t="str">
            <v>1990</v>
          </cell>
          <cell r="C10" t="str">
            <v>1991</v>
          </cell>
          <cell r="D10" t="str">
            <v>1992</v>
          </cell>
          <cell r="E10" t="str">
            <v>1993</v>
          </cell>
          <cell r="F10" t="str">
            <v>1994</v>
          </cell>
          <cell r="G10" t="str">
            <v>1995</v>
          </cell>
          <cell r="H10" t="str">
            <v>1996</v>
          </cell>
          <cell r="I10" t="str">
            <v>1997</v>
          </cell>
          <cell r="J10" t="str">
            <v>1998</v>
          </cell>
          <cell r="K10" t="str">
            <v>1999</v>
          </cell>
          <cell r="L10" t="str">
            <v>2000</v>
          </cell>
          <cell r="M10" t="str">
            <v>2001</v>
          </cell>
          <cell r="N10" t="str">
            <v>2002</v>
          </cell>
          <cell r="O10" t="str">
            <v>2003</v>
          </cell>
          <cell r="P10" t="str">
            <v>2004</v>
          </cell>
          <cell r="Q10" t="str">
            <v>2005</v>
          </cell>
          <cell r="R10" t="str">
            <v>2006</v>
          </cell>
          <cell r="S10" t="str">
            <v>2007</v>
          </cell>
          <cell r="T10" t="str">
            <v>2008</v>
          </cell>
          <cell r="U10" t="str">
            <v>2009</v>
          </cell>
          <cell r="V10" t="str">
            <v>2010</v>
          </cell>
          <cell r="W10" t="str">
            <v>2011</v>
          </cell>
          <cell r="X10" t="str">
            <v>2012</v>
          </cell>
          <cell r="Y10" t="str">
            <v>2013</v>
          </cell>
          <cell r="Z10" t="str">
            <v>2014</v>
          </cell>
          <cell r="AA10" t="str">
            <v>2015</v>
          </cell>
          <cell r="AB10" t="str">
            <v>2016</v>
          </cell>
          <cell r="AC10" t="str">
            <v>2017</v>
          </cell>
          <cell r="AD10" t="str">
            <v>2018</v>
          </cell>
          <cell r="AE10" t="str">
            <v>2019</v>
          </cell>
          <cell r="AF10" t="str">
            <v>2020</v>
          </cell>
        </row>
        <row r="12">
          <cell r="P12">
            <v>3021857.7439999999</v>
          </cell>
          <cell r="Q12">
            <v>3025652.639</v>
          </cell>
          <cell r="R12">
            <v>3094242.6460000002</v>
          </cell>
          <cell r="S12">
            <v>3144934.912</v>
          </cell>
          <cell r="T12">
            <v>3103415.307</v>
          </cell>
          <cell r="U12">
            <v>3037776.4649999999</v>
          </cell>
          <cell r="V12">
            <v>3030956.5290000001</v>
          </cell>
          <cell r="W12">
            <v>3017499.9180000001</v>
          </cell>
          <cell r="X12">
            <v>2905196.0090000001</v>
          </cell>
          <cell r="Y12">
            <v>2883948.7110000001</v>
          </cell>
          <cell r="Z12">
            <v>2932818.4240000001</v>
          </cell>
          <cell r="AA12">
            <v>2972559.6379999998</v>
          </cell>
          <cell r="AB12">
            <v>3037606.2250000001</v>
          </cell>
          <cell r="AC12">
            <v>3096227.872</v>
          </cell>
          <cell r="AD12">
            <v>3110551.9440000001</v>
          </cell>
          <cell r="AE12">
            <v>3140604.2089999998</v>
          </cell>
        </row>
        <row r="13">
          <cell r="A13" t="str">
            <v>Natural gas</v>
          </cell>
          <cell r="B13">
            <v>2512.25</v>
          </cell>
          <cell r="C13">
            <v>2529</v>
          </cell>
          <cell r="D13">
            <v>2543.5</v>
          </cell>
          <cell r="E13">
            <v>2585.5</v>
          </cell>
          <cell r="F13">
            <v>2716.25</v>
          </cell>
          <cell r="G13">
            <v>2876</v>
          </cell>
          <cell r="H13">
            <v>3124.5</v>
          </cell>
          <cell r="I13">
            <v>3357</v>
          </cell>
          <cell r="J13">
            <v>3438.25</v>
          </cell>
          <cell r="K13">
            <v>3476</v>
          </cell>
          <cell r="L13">
            <v>4332.2489999999998</v>
          </cell>
          <cell r="M13">
            <v>5917.2489999999998</v>
          </cell>
          <cell r="N13">
            <v>5579.5</v>
          </cell>
          <cell r="O13">
            <v>5625.2539999999999</v>
          </cell>
          <cell r="P13">
            <v>5810.8540000000003</v>
          </cell>
          <cell r="Q13">
            <v>6565.9319999999998</v>
          </cell>
          <cell r="R13">
            <v>7914.116</v>
          </cell>
          <cell r="S13">
            <v>8754.8520000000008</v>
          </cell>
          <cell r="T13">
            <v>9499.277</v>
          </cell>
          <cell r="U13">
            <v>11016.989</v>
          </cell>
          <cell r="V13">
            <v>12602.612999999999</v>
          </cell>
          <cell r="W13">
            <v>13935.632</v>
          </cell>
          <cell r="X13">
            <v>14827.184999999999</v>
          </cell>
          <cell r="Y13">
            <v>15847.361000000001</v>
          </cell>
          <cell r="Z13">
            <v>16926.032999999999</v>
          </cell>
          <cell r="AA13">
            <v>18018.852999999999</v>
          </cell>
          <cell r="AB13">
            <v>18391.616999999998</v>
          </cell>
          <cell r="AC13">
            <v>17782.188999999998</v>
          </cell>
          <cell r="AD13">
            <v>18636.948</v>
          </cell>
          <cell r="AE13">
            <v>21446.128000000001</v>
          </cell>
          <cell r="AF13">
            <v>20706.423999999999</v>
          </cell>
        </row>
        <row r="14">
          <cell r="A14" t="str">
            <v>Oil and petroleum products (excluding biofuel portion)</v>
          </cell>
          <cell r="B14">
            <v>2341905.9350000001</v>
          </cell>
          <cell r="C14">
            <v>2377869.8020000001</v>
          </cell>
          <cell r="D14">
            <v>2446357.4210000001</v>
          </cell>
          <cell r="E14">
            <v>2473118.358</v>
          </cell>
          <cell r="F14">
            <v>2495009.9730000002</v>
          </cell>
          <cell r="G14">
            <v>2529677.807</v>
          </cell>
          <cell r="H14">
            <v>2606600.1129999999</v>
          </cell>
          <cell r="I14">
            <v>2647492.09</v>
          </cell>
          <cell r="J14">
            <v>2754212.602</v>
          </cell>
          <cell r="K14">
            <v>2816586.452</v>
          </cell>
          <cell r="L14">
            <v>2815103.0920000002</v>
          </cell>
          <cell r="M14">
            <v>2864029.6570000001</v>
          </cell>
          <cell r="N14">
            <v>2899912.145</v>
          </cell>
          <cell r="O14">
            <v>2928222.7519999999</v>
          </cell>
          <cell r="P14">
            <v>2993895.0759999999</v>
          </cell>
          <cell r="Q14">
            <v>2982399.7850000001</v>
          </cell>
          <cell r="R14">
            <v>3025785.1719999998</v>
          </cell>
          <cell r="S14">
            <v>3051656.8859999999</v>
          </cell>
          <cell r="T14">
            <v>2989742.4180000001</v>
          </cell>
          <cell r="U14">
            <v>2903624.09</v>
          </cell>
          <cell r="V14">
            <v>2878594.5249999999</v>
          </cell>
          <cell r="W14">
            <v>2855866.051</v>
          </cell>
          <cell r="X14">
            <v>2733759.3730000001</v>
          </cell>
          <cell r="Y14">
            <v>2727828.2250000001</v>
          </cell>
          <cell r="Z14">
            <v>2764524.6850000001</v>
          </cell>
          <cell r="AA14">
            <v>2802672.5929999999</v>
          </cell>
          <cell r="AB14">
            <v>2871201.1630000002</v>
          </cell>
          <cell r="AC14">
            <v>2916833.0070000002</v>
          </cell>
          <cell r="AD14">
            <v>2913294.4410000001</v>
          </cell>
          <cell r="AE14">
            <v>2933290.0019999999</v>
          </cell>
          <cell r="AF14">
            <v>2561060.2850000001</v>
          </cell>
        </row>
        <row r="23">
          <cell r="A23" t="str">
            <v>Renewables and biofuels</v>
          </cell>
          <cell r="B23">
            <v>66.561000000000007</v>
          </cell>
          <cell r="C23">
            <v>73.951999999999998</v>
          </cell>
          <cell r="D23">
            <v>255.72200000000001</v>
          </cell>
          <cell r="E23">
            <v>604.92399999999998</v>
          </cell>
          <cell r="F23">
            <v>1620.8520000000001</v>
          </cell>
          <cell r="G23">
            <v>2524.5300000000002</v>
          </cell>
          <cell r="H23">
            <v>3705.12</v>
          </cell>
          <cell r="I23">
            <v>5047.6080000000002</v>
          </cell>
          <cell r="J23">
            <v>4765.5829999999996</v>
          </cell>
          <cell r="K23">
            <v>5313.4340000000002</v>
          </cell>
          <cell r="L23">
            <v>8271.7870000000003</v>
          </cell>
          <cell r="M23">
            <v>9745.3700000000008</v>
          </cell>
          <cell r="N23">
            <v>12927.373</v>
          </cell>
          <cell r="O23">
            <v>16029.425999999999</v>
          </cell>
          <cell r="P23">
            <v>21842.813999999998</v>
          </cell>
          <cell r="Q23">
            <v>36383.362999999998</v>
          </cell>
          <cell r="R23">
            <v>60234.623</v>
          </cell>
          <cell r="S23">
            <v>84215.914000000004</v>
          </cell>
          <cell r="T23">
            <v>103867.462</v>
          </cell>
          <cell r="U23">
            <v>122786.58</v>
          </cell>
          <cell r="V23">
            <v>139352.147</v>
          </cell>
          <cell r="W23">
            <v>147215.421</v>
          </cell>
          <cell r="X23">
            <v>156126.92000000001</v>
          </cell>
          <cell r="Y23">
            <v>139655.07199999999</v>
          </cell>
          <cell r="Z23">
            <v>150651.34</v>
          </cell>
          <cell r="AA23">
            <v>150930.42199999999</v>
          </cell>
          <cell r="AB23">
            <v>147009.54999999999</v>
          </cell>
          <cell r="AC23">
            <v>160377.68700000001</v>
          </cell>
          <cell r="AD23">
            <v>177034.125</v>
          </cell>
          <cell r="AE23">
            <v>183488.10800000001</v>
          </cell>
          <cell r="AF23">
            <v>185428.139</v>
          </cell>
        </row>
        <row r="30">
          <cell r="A30" t="str">
            <v>Electricity</v>
          </cell>
          <cell r="B30">
            <v>259</v>
          </cell>
          <cell r="C30">
            <v>248</v>
          </cell>
          <cell r="D30">
            <v>251</v>
          </cell>
          <cell r="E30">
            <v>215</v>
          </cell>
          <cell r="F30">
            <v>204</v>
          </cell>
          <cell r="G30">
            <v>204</v>
          </cell>
          <cell r="H30">
            <v>203</v>
          </cell>
          <cell r="I30">
            <v>198</v>
          </cell>
          <cell r="J30">
            <v>177</v>
          </cell>
          <cell r="K30">
            <v>171</v>
          </cell>
          <cell r="L30">
            <v>234</v>
          </cell>
          <cell r="M30">
            <v>234</v>
          </cell>
          <cell r="N30">
            <v>236</v>
          </cell>
          <cell r="O30">
            <v>258</v>
          </cell>
          <cell r="P30">
            <v>309</v>
          </cell>
          <cell r="Q30">
            <v>303.56099999999998</v>
          </cell>
          <cell r="R30">
            <v>308.73899999999998</v>
          </cell>
          <cell r="S30">
            <v>307.25799999999998</v>
          </cell>
          <cell r="T30">
            <v>306.15100000000001</v>
          </cell>
          <cell r="U30">
            <v>348.80399999999997</v>
          </cell>
          <cell r="V30">
            <v>407.24400000000003</v>
          </cell>
          <cell r="W30">
            <v>482.81099999999998</v>
          </cell>
          <cell r="X30">
            <v>482.53100000000001</v>
          </cell>
          <cell r="Y30">
            <v>618.04999999999995</v>
          </cell>
          <cell r="Z30">
            <v>716.37099999999998</v>
          </cell>
          <cell r="AA30">
            <v>937.76900000000001</v>
          </cell>
          <cell r="AB30">
            <v>1003.893</v>
          </cell>
          <cell r="AC30">
            <v>1234.992</v>
          </cell>
          <cell r="AD30">
            <v>1586.433</v>
          </cell>
          <cell r="AE30">
            <v>2379.9699999999998</v>
          </cell>
          <cell r="AF30">
            <v>3283.45</v>
          </cell>
        </row>
        <row r="36">
          <cell r="A36" t="str">
            <v>Bioenergy share</v>
          </cell>
          <cell r="B36">
            <v>2.8387323823146691E-3</v>
          </cell>
          <cell r="C36">
            <v>3.1062861898334166E-3</v>
          </cell>
          <cell r="D36">
            <v>1.0440156857140991E-2</v>
          </cell>
          <cell r="E36">
            <v>2.442633518792512E-2</v>
          </cell>
          <cell r="F36">
            <v>6.4845724346720937E-2</v>
          </cell>
          <cell r="G36">
            <v>9.9575891968822536E-2</v>
          </cell>
          <cell r="H36">
            <v>0.1417613100202022</v>
          </cell>
          <cell r="I36">
            <v>0.1900387061462977</v>
          </cell>
          <cell r="J36">
            <v>0.17250395738108454</v>
          </cell>
          <cell r="K36">
            <v>0.18804975518925077</v>
          </cell>
          <cell r="L36">
            <v>0.29250209310668995</v>
          </cell>
          <cell r="M36">
            <v>0.33838956484565963</v>
          </cell>
          <cell r="N36">
            <v>0.44292226797185663</v>
          </cell>
          <cell r="O36">
            <v>0.54334542816902598</v>
          </cell>
          <cell r="P36">
            <v>0.72282734166985985</v>
          </cell>
          <cell r="Q36">
            <v>1.2024963649503719</v>
          </cell>
          <cell r="R36">
            <v>1.9466677274927582</v>
          </cell>
          <cell r="S36">
            <v>2.6778269298566646</v>
          </cell>
          <cell r="T36">
            <v>3.3468759970900019</v>
          </cell>
          <cell r="U36">
            <v>4.0419886523809776</v>
          </cell>
          <cell r="V36">
            <v>4.5976293512192425</v>
          </cell>
          <cell r="W36">
            <v>4.8787216238790965</v>
          </cell>
          <cell r="X36">
            <v>5.3740580503461661</v>
          </cell>
          <cell r="Y36">
            <v>4.8424949953973018</v>
          </cell>
          <cell r="Z36">
            <v>5.136742826190047</v>
          </cell>
          <cell r="AA36">
            <v>5.0774564812953304</v>
          </cell>
          <cell r="AB36">
            <v>4.8396513277490403</v>
          </cell>
          <cell r="AC36">
            <v>5.1797766065714175</v>
          </cell>
          <cell r="AD36">
            <v>5.6914055186085006</v>
          </cell>
          <cell r="AE36">
            <v>5.8424460960148963</v>
          </cell>
          <cell r="AF36">
            <v>6.6930009642973936</v>
          </cell>
        </row>
        <row r="37">
          <cell r="A37" t="str">
            <v>Electricity share</v>
          </cell>
          <cell r="B37">
            <v>1.1045983188646493E-2</v>
          </cell>
          <cell r="C37">
            <v>1.0417013401648195E-2</v>
          </cell>
          <cell r="D37">
            <v>1.0247375552914448E-2</v>
          </cell>
          <cell r="E37">
            <v>8.6815237375338066E-3</v>
          </cell>
          <cell r="F37">
            <v>8.1614655543695985E-3</v>
          </cell>
          <cell r="G37">
            <v>8.0464411045381885E-3</v>
          </cell>
          <cell r="H37">
            <v>7.7669673139064447E-3</v>
          </cell>
          <cell r="I37">
            <v>7.4545534869124037E-3</v>
          </cell>
          <cell r="J37">
            <v>6.407023118987114E-3</v>
          </cell>
          <cell r="K37">
            <v>6.0519257672838091E-3</v>
          </cell>
          <cell r="L37">
            <v>8.2745711158864997E-3</v>
          </cell>
          <cell r="M37">
            <v>8.1252079883969864E-3</v>
          </cell>
          <cell r="N37">
            <v>8.0859162369151232E-3</v>
          </cell>
          <cell r="O37">
            <v>8.7453612167777382E-3</v>
          </cell>
          <cell r="P37">
            <v>1.022549789491348E-2</v>
          </cell>
          <cell r="Q37">
            <v>1.0032909795631038E-2</v>
          </cell>
          <cell r="R37">
            <v>9.9778535597107778E-3</v>
          </cell>
          <cell r="S37">
            <v>9.7699319253828805E-3</v>
          </cell>
          <cell r="T37">
            <v>9.8649703540951185E-3</v>
          </cell>
          <cell r="U37">
            <v>1.148221417931092E-2</v>
          </cell>
          <cell r="V37">
            <v>1.3436154431893539E-2</v>
          </cell>
          <cell r="W37">
            <v>1.6000364974989204E-2</v>
          </cell>
          <cell r="X37">
            <v>1.6609240770852237E-2</v>
          </cell>
          <cell r="Y37">
            <v>2.1430686254669661E-2</v>
          </cell>
          <cell r="Z37">
            <v>2.4426026314406431E-2</v>
          </cell>
          <cell r="AA37">
            <v>3.1547525170292308E-2</v>
          </cell>
          <cell r="AB37">
            <v>3.3048819551981259E-2</v>
          </cell>
          <cell r="AC37">
            <v>3.9886986715944144E-2</v>
          </cell>
          <cell r="AD37">
            <v>5.1001655929909781E-2</v>
          </cell>
          <cell r="AE37">
            <v>7.5780640972833907E-2</v>
          </cell>
          <cell r="AF37">
            <v>0.11851563702649402</v>
          </cell>
        </row>
        <row r="38">
          <cell r="A38" t="str">
            <v>Bioenergy share (includ elec prod)</v>
          </cell>
          <cell r="B38">
            <v>2.8574551105765059E-3</v>
          </cell>
          <cell r="C38">
            <v>3.125734081788914E-3</v>
          </cell>
          <cell r="D38">
            <v>1.046175391557721E-2</v>
          </cell>
          <cell r="E38">
            <v>2.4449755112426374E-2</v>
          </cell>
          <cell r="F38">
            <v>6.4866248032159138E-2</v>
          </cell>
          <cell r="G38">
            <v>9.9604527832753365E-2</v>
          </cell>
          <cell r="H38">
            <v>0.14178801614426675</v>
          </cell>
          <cell r="I38">
            <v>0.19006547477018251</v>
          </cell>
          <cell r="J38">
            <v>0.17253143156496764</v>
          </cell>
          <cell r="K38">
            <v>0.18807113158201938</v>
          </cell>
          <cell r="L38">
            <v>0.29253936403812647</v>
          </cell>
          <cell r="M38">
            <v>0.33842984365449097</v>
          </cell>
          <cell r="N38">
            <v>0.44296636362523334</v>
          </cell>
          <cell r="O38">
            <v>0.54340688297478579</v>
          </cell>
          <cell r="P38">
            <v>0.72290514149364937</v>
          </cell>
          <cell r="Q38">
            <v>1.2025872874827388</v>
          </cell>
          <cell r="R38">
            <v>1.9467754113553768</v>
          </cell>
          <cell r="S38">
            <v>2.6779507479994553</v>
          </cell>
          <cell r="T38">
            <v>3.3470257353473829</v>
          </cell>
          <cell r="U38">
            <v>4.0422025917565341</v>
          </cell>
          <cell r="V38">
            <v>4.5979727411656315</v>
          </cell>
          <cell r="W38">
            <v>4.8791559238080486</v>
          </cell>
          <cell r="X38">
            <v>5.3747077827546335</v>
          </cell>
          <cell r="Y38">
            <v>4.8434691111952999</v>
          </cell>
          <cell r="Z38">
            <v>5.138007855067948</v>
          </cell>
          <cell r="AA38">
            <v>5.0790882399783159</v>
          </cell>
          <cell r="AB38">
            <v>4.8415182912656816</v>
          </cell>
          <cell r="AC38">
            <v>5.1821995871497668</v>
          </cell>
          <cell r="AD38">
            <v>5.6948306020637212</v>
          </cell>
          <cell r="AE38">
            <v>5.848002224338865</v>
          </cell>
          <cell r="AF38">
            <v>6.7029737910291054</v>
          </cell>
        </row>
        <row r="39">
          <cell r="A39" t="str">
            <v>Fossil energy share (includ elec prod)</v>
          </cell>
          <cell r="B39">
            <v>99.990836781189145</v>
          </cell>
          <cell r="C39">
            <v>99.991439567212666</v>
          </cell>
          <cell r="D39">
            <v>99.982886923652828</v>
          </cell>
          <cell r="E39">
            <v>99.969531445428288</v>
          </cell>
          <cell r="F39">
            <v>99.929712138408689</v>
          </cell>
          <cell r="G39">
            <v>99.894892376988508</v>
          </cell>
          <cell r="H39">
            <v>99.853452745938441</v>
          </cell>
          <cell r="I39">
            <v>99.805263080343209</v>
          </cell>
          <cell r="J39">
            <v>99.823312618500921</v>
          </cell>
          <cell r="K39">
            <v>99.808271346380437</v>
          </cell>
          <cell r="L39">
            <v>99.703431379526847</v>
          </cell>
          <cell r="M39">
            <v>99.657593005927623</v>
          </cell>
          <cell r="N39">
            <v>99.552982215454151</v>
          </cell>
          <cell r="O39">
            <v>99.452390903167057</v>
          </cell>
          <cell r="P39">
            <v>99.271859866875317</v>
          </cell>
          <cell r="Q39">
            <v>98.792258882299279</v>
          </cell>
          <cell r="R39">
            <v>98.048372642072351</v>
          </cell>
          <cell r="S39">
            <v>97.317497615670845</v>
          </cell>
          <cell r="T39">
            <v>96.648257686769213</v>
          </cell>
          <cell r="U39">
            <v>95.952597585220943</v>
          </cell>
          <cell r="V39">
            <v>95.397331513493313</v>
          </cell>
          <cell r="W39">
            <v>95.114719502703238</v>
          </cell>
          <cell r="X39">
            <v>94.618343770415109</v>
          </cell>
          <cell r="Y39">
            <v>95.14678504974286</v>
          </cell>
          <cell r="Z39">
            <v>94.850709516682969</v>
          </cell>
          <cell r="AA39">
            <v>94.908737437415226</v>
          </cell>
          <cell r="AB39">
            <v>95.144126358906163</v>
          </cell>
          <cell r="AC39">
            <v>94.800098388882418</v>
          </cell>
          <cell r="AD39">
            <v>94.282099505103133</v>
          </cell>
          <cell r="AE39">
            <v>94.112846869715199</v>
          </cell>
          <cell r="AF39">
            <v>93.230182660571984</v>
          </cell>
        </row>
        <row r="43">
          <cell r="R43" t="str">
            <v>ORIGINAL</v>
          </cell>
          <cell r="S43" t="str">
            <v>RICHARD 6,69</v>
          </cell>
          <cell r="T43" t="str">
            <v>RICHARD k</v>
          </cell>
          <cell r="U43" t="str">
            <v>RICHARD a</v>
          </cell>
          <cell r="AA43" t="str">
            <v>RICHARD a</v>
          </cell>
        </row>
        <row r="44">
          <cell r="P44">
            <v>1990</v>
          </cell>
          <cell r="R44">
            <v>2.8387323823146691E-3</v>
          </cell>
          <cell r="S44">
            <v>2.8388342733483983E-3</v>
          </cell>
          <cell r="T44">
            <v>2.9209778602347688E-3</v>
          </cell>
          <cell r="U44">
            <v>2.9542840979442757E-3</v>
          </cell>
          <cell r="AA44">
            <v>0</v>
          </cell>
          <cell r="AD44">
            <v>1990</v>
          </cell>
        </row>
        <row r="45">
          <cell r="P45">
            <v>1991</v>
          </cell>
          <cell r="R45">
            <v>3.1062861898334166E-3</v>
          </cell>
          <cell r="S45">
            <v>2.8390093508528897E-3</v>
          </cell>
          <cell r="T45">
            <v>2.9962746618037465E-3</v>
          </cell>
          <cell r="U45">
            <v>3.0556921618873022E-3</v>
          </cell>
          <cell r="AA45">
            <v>1.9590831832388808E-5</v>
          </cell>
          <cell r="AD45">
            <v>1991</v>
          </cell>
        </row>
        <row r="46">
          <cell r="P46">
            <v>1992</v>
          </cell>
          <cell r="R46">
            <v>1.0440156857140991E-2</v>
          </cell>
          <cell r="S46">
            <v>2.8394852608056124E-3</v>
          </cell>
          <cell r="T46">
            <v>3.1405026432502364E-3</v>
          </cell>
          <cell r="U46">
            <v>3.2460932775422052E-3</v>
          </cell>
          <cell r="AA46">
            <v>5.6374062795067316E-5</v>
          </cell>
          <cell r="AD46">
            <v>1992</v>
          </cell>
        </row>
        <row r="47">
          <cell r="P47">
            <v>1993</v>
          </cell>
          <cell r="R47">
            <v>2.442633518792512E-2</v>
          </cell>
          <cell r="S47">
            <v>2.8407789178399056E-3</v>
          </cell>
          <cell r="T47">
            <v>3.4167547901995895E-3</v>
          </cell>
          <cell r="U47">
            <v>3.6035782936188576E-3</v>
          </cell>
          <cell r="AA47">
            <v>1.2543591606633379E-4</v>
          </cell>
          <cell r="AD47">
            <v>1993</v>
          </cell>
        </row>
        <row r="48">
          <cell r="P48">
            <v>1994</v>
          </cell>
          <cell r="R48">
            <v>6.4845724346720937E-2</v>
          </cell>
          <cell r="S48">
            <v>2.8442954397201264E-3</v>
          </cell>
          <cell r="T48">
            <v>3.945844732144807E-3</v>
          </cell>
          <cell r="U48">
            <v>4.2747425093629561E-3</v>
          </cell>
          <cell r="AA48">
            <v>2.5509685989371018E-4</v>
          </cell>
          <cell r="AD48">
            <v>1994</v>
          </cell>
        </row>
        <row r="49">
          <cell r="P49">
            <v>1995</v>
          </cell>
          <cell r="R49">
            <v>9.9575891968822536E-2</v>
          </cell>
          <cell r="S49">
            <v>2.8538543185643835E-3</v>
          </cell>
          <cell r="T49">
            <v>4.9590361507552087E-3</v>
          </cell>
          <cell r="U49">
            <v>5.5347255495519741E-3</v>
          </cell>
          <cell r="AA49">
            <v>4.9851059734434486E-4</v>
          </cell>
          <cell r="AD49">
            <v>1995</v>
          </cell>
        </row>
        <row r="50">
          <cell r="P50">
            <v>1996</v>
          </cell>
          <cell r="R50">
            <v>0.1417613100202022</v>
          </cell>
          <cell r="S50">
            <v>2.8798379071846977E-3</v>
          </cell>
          <cell r="T50">
            <v>6.8987384180365235E-3</v>
          </cell>
          <cell r="U50">
            <v>7.8997195882712333E-3</v>
          </cell>
          <cell r="AA50">
            <v>9.5539931699470295E-4</v>
          </cell>
          <cell r="AD50">
            <v>1996</v>
          </cell>
        </row>
        <row r="51">
          <cell r="P51">
            <v>1997</v>
          </cell>
          <cell r="R51">
            <v>0.1900387061462977</v>
          </cell>
          <cell r="S51">
            <v>2.950467603982077E-3</v>
          </cell>
          <cell r="T51">
            <v>1.0610259663277071E-2</v>
          </cell>
          <cell r="U51">
            <v>1.2337373011200779E-2</v>
          </cell>
          <cell r="AA51">
            <v>1.8127011779974012E-3</v>
          </cell>
          <cell r="AD51">
            <v>1997</v>
          </cell>
        </row>
        <row r="52">
          <cell r="P52">
            <v>1998</v>
          </cell>
          <cell r="R52">
            <v>0.17250395738108454</v>
          </cell>
          <cell r="S52">
            <v>3.1424514889171352E-3</v>
          </cell>
          <cell r="T52">
            <v>1.7704978119085734E-2</v>
          </cell>
          <cell r="U52">
            <v>2.0658668866421995E-2</v>
          </cell>
          <cell r="AA52">
            <v>3.4202765658756474E-3</v>
          </cell>
          <cell r="AD52">
            <v>1998</v>
          </cell>
        </row>
        <row r="53">
          <cell r="P53">
            <v>1999</v>
          </cell>
          <cell r="R53">
            <v>0.18804975518925077</v>
          </cell>
          <cell r="S53">
            <v>3.6642621142009319E-3</v>
          </cell>
          <cell r="T53">
            <v>3.1240960944001459E-2</v>
          </cell>
          <cell r="U53">
            <v>3.6241777846752005E-2</v>
          </cell>
          <cell r="AA53">
            <v>6.4307478793892347E-3</v>
          </cell>
          <cell r="AD53">
            <v>1999</v>
          </cell>
        </row>
        <row r="54">
          <cell r="P54">
            <v>2000</v>
          </cell>
          <cell r="R54">
            <v>0.29250209310668995</v>
          </cell>
          <cell r="S54">
            <v>5.0822791596292953E-3</v>
          </cell>
          <cell r="T54">
            <v>5.6972450913600557E-2</v>
          </cell>
          <cell r="U54">
            <v>6.5346568186217632E-2</v>
          </cell>
          <cell r="AA54">
            <v>1.2053447208091045E-2</v>
          </cell>
          <cell r="AD54">
            <v>2000</v>
          </cell>
        </row>
        <row r="55">
          <cell r="P55">
            <v>2001</v>
          </cell>
          <cell r="R55">
            <v>0.33838956484565963</v>
          </cell>
          <cell r="S55">
            <v>8.9338126744349898E-3</v>
          </cell>
          <cell r="T55">
            <v>0.10555076257255172</v>
          </cell>
          <cell r="U55">
            <v>0.1194182024875451</v>
          </cell>
          <cell r="AA55">
            <v>2.2499443841010467E-2</v>
          </cell>
          <cell r="AD55">
            <v>2001</v>
          </cell>
        </row>
        <row r="56">
          <cell r="P56">
            <v>2002</v>
          </cell>
          <cell r="R56">
            <v>0.44292226797185663</v>
          </cell>
          <cell r="S56">
            <v>1.9380982438591279E-2</v>
          </cell>
          <cell r="T56">
            <v>0.19607770919972833</v>
          </cell>
          <cell r="U56">
            <v>0.21882042334605711</v>
          </cell>
          <cell r="AA56">
            <v>4.1702770646452295E-2</v>
          </cell>
          <cell r="AD56">
            <v>2002</v>
          </cell>
        </row>
        <row r="57">
          <cell r="P57">
            <v>2003</v>
          </cell>
          <cell r="R57">
            <v>0.54334542816902598</v>
          </cell>
          <cell r="S57">
            <v>4.7614990859803141E-2</v>
          </cell>
          <cell r="T57">
            <v>0.36076403921939321</v>
          </cell>
          <cell r="U57">
            <v>0.39782044743386463</v>
          </cell>
          <cell r="AA57">
            <v>7.6283446320015727E-2</v>
          </cell>
          <cell r="AD57">
            <v>2003</v>
          </cell>
        </row>
        <row r="58">
          <cell r="P58">
            <v>2004</v>
          </cell>
          <cell r="R58">
            <v>0.72282734166985985</v>
          </cell>
          <cell r="S58">
            <v>0.12316939496599436</v>
          </cell>
          <cell r="T58">
            <v>0.64764372974019202</v>
          </cell>
          <cell r="U58">
            <v>0.70770031415073398</v>
          </cell>
          <cell r="AA58">
            <v>0.13614855093836212</v>
          </cell>
          <cell r="AD58">
            <v>2004</v>
          </cell>
        </row>
        <row r="59">
          <cell r="P59">
            <v>2005</v>
          </cell>
          <cell r="R59">
            <v>1.2024963649503719</v>
          </cell>
          <cell r="S59">
            <v>0.32012551793046634</v>
          </cell>
          <cell r="T59">
            <v>1.1115577199956446</v>
          </cell>
          <cell r="U59">
            <v>1.2070659747328321</v>
          </cell>
          <cell r="AA59">
            <v>0.2326200572362237</v>
          </cell>
          <cell r="AD59">
            <v>2005</v>
          </cell>
        </row>
        <row r="60">
          <cell r="P60">
            <v>2006</v>
          </cell>
          <cell r="R60">
            <v>1.9466677274927582</v>
          </cell>
          <cell r="S60">
            <v>0.80032561922860379</v>
          </cell>
          <cell r="T60">
            <v>1.7784742586184756</v>
          </cell>
          <cell r="U60">
            <v>1.920960178309417</v>
          </cell>
          <cell r="AA60">
            <v>0.37053592649336248</v>
          </cell>
          <cell r="AD60">
            <v>2006</v>
          </cell>
        </row>
        <row r="61">
          <cell r="P61">
            <v>2007</v>
          </cell>
          <cell r="R61">
            <v>2.6778269298566646</v>
          </cell>
          <cell r="S61">
            <v>1.8021004722294149</v>
          </cell>
          <cell r="T61">
            <v>2.591307669476866</v>
          </cell>
          <cell r="U61">
            <v>2.7770910477597801</v>
          </cell>
          <cell r="AA61">
            <v>0.53593022787103162</v>
          </cell>
          <cell r="AD61">
            <v>2007</v>
          </cell>
        </row>
        <row r="62">
          <cell r="P62">
            <v>2008</v>
          </cell>
          <cell r="R62">
            <v>3.3468759970900019</v>
          </cell>
          <cell r="S62">
            <v>3.347919848339854</v>
          </cell>
          <cell r="T62">
            <v>3.4041410803352563</v>
          </cell>
          <cell r="U62">
            <v>3.6043238515688611</v>
          </cell>
          <cell r="AA62">
            <v>0.69574176667295784</v>
          </cell>
          <cell r="AD62">
            <v>2008</v>
          </cell>
        </row>
        <row r="63">
          <cell r="P63">
            <v>2009</v>
          </cell>
          <cell r="R63">
            <v>4.0419886523809776</v>
          </cell>
          <cell r="S63">
            <v>4.8937392244502931</v>
          </cell>
          <cell r="T63">
            <v>4.071057618958088</v>
          </cell>
          <cell r="U63">
            <v>4.2482473282355881</v>
          </cell>
          <cell r="AA63">
            <v>0.82014012370492317</v>
          </cell>
          <cell r="AD63">
            <v>2009</v>
          </cell>
        </row>
        <row r="64">
          <cell r="P64">
            <v>2010</v>
          </cell>
          <cell r="R64">
            <v>4.5976293512192425</v>
          </cell>
          <cell r="S64">
            <v>5.8955140774511037</v>
          </cell>
          <cell r="T64">
            <v>4.5349716092135397</v>
          </cell>
          <cell r="U64">
            <v>4.6685774112106717</v>
          </cell>
          <cell r="AA64">
            <v>0.90134289643792098</v>
          </cell>
          <cell r="AD64">
            <v>2010</v>
          </cell>
        </row>
        <row r="65">
          <cell r="P65">
            <v>2011</v>
          </cell>
          <cell r="R65">
            <v>4.8787216238790965</v>
          </cell>
          <cell r="S65">
            <v>6.3757141787492433</v>
          </cell>
          <cell r="T65">
            <v>4.8218512997343392</v>
          </cell>
          <cell r="U65">
            <v>4.9119071582461444</v>
          </cell>
          <cell r="AA65">
            <v>0.94835130946381097</v>
          </cell>
          <cell r="AD65">
            <v>2011</v>
          </cell>
        </row>
        <row r="66">
          <cell r="P66">
            <v>2012</v>
          </cell>
          <cell r="R66">
            <v>5.3740580503461661</v>
          </cell>
          <cell r="S66">
            <v>6.572670301713714</v>
          </cell>
          <cell r="T66">
            <v>4.9865376297540038</v>
          </cell>
          <cell r="U66">
            <v>5.04300142101342</v>
          </cell>
          <cell r="AA66">
            <v>0.97367716182903896</v>
          </cell>
          <cell r="AD66">
            <v>2012</v>
          </cell>
        </row>
        <row r="67">
          <cell r="P67">
            <v>2013</v>
          </cell>
          <cell r="R67">
            <v>4.8424949953973018</v>
          </cell>
          <cell r="S67">
            <v>6.6482247058199055</v>
          </cell>
          <cell r="T67">
            <v>5.077064576381181</v>
          </cell>
          <cell r="U67">
            <v>5.1108896600241884</v>
          </cell>
          <cell r="AA67">
            <v>0.98679236216068311</v>
          </cell>
          <cell r="AD67">
            <v>2013</v>
          </cell>
        </row>
        <row r="68">
          <cell r="P68">
            <v>2014</v>
          </cell>
          <cell r="R68">
            <v>5.136742826190047</v>
          </cell>
          <cell r="S68">
            <v>6.676458714241118</v>
          </cell>
          <cell r="T68">
            <v>5.1256428880401312</v>
          </cell>
          <cell r="U68">
            <v>5.1453248487781362</v>
          </cell>
          <cell r="AA68">
            <v>0.99344483106467651</v>
          </cell>
          <cell r="AD68">
            <v>2014</v>
          </cell>
        </row>
        <row r="69">
          <cell r="P69">
            <v>2015</v>
          </cell>
          <cell r="R69">
            <v>5.0774564812953304</v>
          </cell>
          <cell r="S69">
            <v>6.6869058840052737</v>
          </cell>
          <cell r="T69">
            <v>5.1513743780097299</v>
          </cell>
          <cell r="U69">
            <v>5.1626076671844645</v>
          </cell>
          <cell r="AA69">
            <v>0.99678366602338675</v>
          </cell>
          <cell r="AD69">
            <v>2015</v>
          </cell>
        </row>
        <row r="70">
          <cell r="P70">
            <v>2016</v>
          </cell>
          <cell r="R70">
            <v>4.8396513277490403</v>
          </cell>
          <cell r="S70">
            <v>6.6907574175200795</v>
          </cell>
          <cell r="T70">
            <v>5.1649103608346456</v>
          </cell>
          <cell r="U70">
            <v>5.1712357134406686</v>
          </cell>
          <cell r="AA70">
            <v>0.99845050194032459</v>
          </cell>
          <cell r="AD70">
            <v>2016</v>
          </cell>
        </row>
        <row r="71">
          <cell r="P71">
            <v>2017</v>
          </cell>
          <cell r="R71">
            <v>5.1797766065714175</v>
          </cell>
          <cell r="S71">
            <v>6.6921754345655069</v>
          </cell>
          <cell r="T71">
            <v>5.1720050792904546</v>
          </cell>
          <cell r="U71">
            <v>5.1755316032545817</v>
          </cell>
          <cell r="AA71">
            <v>0.99928041675816515</v>
          </cell>
          <cell r="AD71">
            <v>2017</v>
          </cell>
        </row>
        <row r="72">
          <cell r="P72">
            <v>2018</v>
          </cell>
          <cell r="R72">
            <v>5.6914055186085006</v>
          </cell>
          <cell r="S72">
            <v>6.6926972451907911</v>
          </cell>
          <cell r="T72">
            <v>5.1757166005356963</v>
          </cell>
          <cell r="U72">
            <v>5.1776676814200817</v>
          </cell>
          <cell r="AA72">
            <v>0.99969308165377602</v>
          </cell>
          <cell r="AD72">
            <v>2018</v>
          </cell>
        </row>
        <row r="73">
          <cell r="P73">
            <v>2019</v>
          </cell>
          <cell r="R73">
            <v>5.8424460960148963</v>
          </cell>
          <cell r="S73">
            <v>6.6928892290757274</v>
          </cell>
          <cell r="T73">
            <v>5.1776563028029772</v>
          </cell>
          <cell r="U73">
            <v>5.1787291185886195</v>
          </cell>
          <cell r="AA73">
            <v>0.99989813869027711</v>
          </cell>
          <cell r="AD73">
            <v>2019</v>
          </cell>
        </row>
        <row r="74">
          <cell r="P74">
            <v>2020</v>
          </cell>
          <cell r="R74">
            <v>6.6930009642973936</v>
          </cell>
          <cell r="S74">
            <v>6.6929598587725234</v>
          </cell>
          <cell r="T74">
            <v>5.1786694942215874</v>
          </cell>
          <cell r="U74">
            <v>5.1792563834999861</v>
          </cell>
          <cell r="AA74">
            <v>1</v>
          </cell>
          <cell r="AD74">
            <v>2020</v>
          </cell>
        </row>
        <row r="79">
          <cell r="AB79" t="str">
            <v>Projection</v>
          </cell>
        </row>
        <row r="80">
          <cell r="Y80">
            <v>1990</v>
          </cell>
          <cell r="AA80">
            <v>259</v>
          </cell>
          <cell r="AC80">
            <v>259.00000001128535</v>
          </cell>
          <cell r="AD80">
            <v>259.00015293225465</v>
          </cell>
          <cell r="AE80">
            <v>259.00017591397392</v>
          </cell>
        </row>
        <row r="81">
          <cell r="Y81">
            <v>1991</v>
          </cell>
          <cell r="AA81">
            <v>248</v>
          </cell>
          <cell r="AC81">
            <v>259.00000003067669</v>
          </cell>
          <cell r="AD81">
            <v>259.00027866072475</v>
          </cell>
          <cell r="AE81">
            <v>259.00031893747757</v>
          </cell>
        </row>
        <row r="82">
          <cell r="Y82">
            <v>1992</v>
          </cell>
          <cell r="AA82">
            <v>251</v>
          </cell>
          <cell r="AC82">
            <v>259.00000008338793</v>
          </cell>
          <cell r="AD82">
            <v>259.00050775290708</v>
          </cell>
          <cell r="AE82">
            <v>259.00057824351325</v>
          </cell>
        </row>
        <row r="83">
          <cell r="Y83">
            <v>1993</v>
          </cell>
          <cell r="AA83">
            <v>215</v>
          </cell>
          <cell r="AC83">
            <v>259.00000022667189</v>
          </cell>
          <cell r="AD83">
            <v>259.00092518599024</v>
          </cell>
          <cell r="AE83">
            <v>259.00104837337193</v>
          </cell>
        </row>
        <row r="84">
          <cell r="Y84">
            <v>1994</v>
          </cell>
          <cell r="AA84">
            <v>204</v>
          </cell>
          <cell r="AC84">
            <v>259.00000061615805</v>
          </cell>
          <cell r="AD84">
            <v>259.0016857983627</v>
          </cell>
          <cell r="AE84">
            <v>259.00190073332408</v>
          </cell>
        </row>
        <row r="85">
          <cell r="Y85">
            <v>1995</v>
          </cell>
          <cell r="AA85">
            <v>204</v>
          </cell>
          <cell r="AC85">
            <v>259.00000167489122</v>
          </cell>
          <cell r="AD85">
            <v>259.00307172348272</v>
          </cell>
          <cell r="AE85">
            <v>259.00344608818455</v>
          </cell>
        </row>
        <row r="86">
          <cell r="Y86">
            <v>1996</v>
          </cell>
          <cell r="AA86">
            <v>203</v>
          </cell>
          <cell r="AC86">
            <v>259.00000455282634</v>
          </cell>
          <cell r="AD86">
            <v>259.00559704043411</v>
          </cell>
          <cell r="AE86">
            <v>259.00624786396941</v>
          </cell>
        </row>
        <row r="87">
          <cell r="Y87">
            <v>1997</v>
          </cell>
          <cell r="AA87">
            <v>198</v>
          </cell>
          <cell r="AC87">
            <v>259.00001237586508</v>
          </cell>
          <cell r="AD87">
            <v>259.01019845708555</v>
          </cell>
          <cell r="AE87">
            <v>259.01132756871499</v>
          </cell>
        </row>
        <row r="88">
          <cell r="Y88">
            <v>1998</v>
          </cell>
          <cell r="AA88">
            <v>177</v>
          </cell>
          <cell r="AC88">
            <v>259.00003364108898</v>
          </cell>
          <cell r="AD88">
            <v>259.01858274887564</v>
          </cell>
          <cell r="AE88">
            <v>259.020537225304</v>
          </cell>
        </row>
        <row r="89">
          <cell r="Y89">
            <v>1999</v>
          </cell>
          <cell r="AA89">
            <v>171</v>
          </cell>
          <cell r="AC89">
            <v>259.00009144595998</v>
          </cell>
          <cell r="AD89">
            <v>259.03385980505522</v>
          </cell>
          <cell r="AE89">
            <v>259.03723459832042</v>
          </cell>
        </row>
        <row r="90">
          <cell r="Y90">
            <v>2000</v>
          </cell>
          <cell r="AA90">
            <v>234</v>
          </cell>
          <cell r="AC90">
            <v>259.00024857588471</v>
          </cell>
          <cell r="AD90">
            <v>259.06169601952377</v>
          </cell>
          <cell r="AE90">
            <v>259.06750738157228</v>
          </cell>
        </row>
        <row r="91">
          <cell r="Y91">
            <v>2001</v>
          </cell>
          <cell r="AA91">
            <v>234</v>
          </cell>
          <cell r="AC91">
            <v>259.00067569926239</v>
          </cell>
          <cell r="AD91">
            <v>259.11241559182082</v>
          </cell>
          <cell r="AE91">
            <v>259.12239261617731</v>
          </cell>
        </row>
        <row r="92">
          <cell r="Y92">
            <v>2002</v>
          </cell>
          <cell r="AA92">
            <v>236</v>
          </cell>
          <cell r="AC92">
            <v>259.00183674067131</v>
          </cell>
          <cell r="AD92">
            <v>259.20482830431752</v>
          </cell>
          <cell r="AE92">
            <v>259.22190030218553</v>
          </cell>
        </row>
        <row r="93">
          <cell r="Y93">
            <v>2003</v>
          </cell>
          <cell r="AA93">
            <v>258</v>
          </cell>
          <cell r="AC93">
            <v>259.00499277616609</v>
          </cell>
          <cell r="AD93">
            <v>259.37320072534158</v>
          </cell>
          <cell r="AE93">
            <v>259.40230737427441</v>
          </cell>
        </row>
        <row r="94">
          <cell r="Y94">
            <v>2004</v>
          </cell>
          <cell r="AA94">
            <v>309</v>
          </cell>
          <cell r="AC94">
            <v>259.01357175333453</v>
          </cell>
          <cell r="AD94">
            <v>259.67994708073206</v>
          </cell>
          <cell r="AE94">
            <v>259.72937841285631</v>
          </cell>
        </row>
        <row r="95">
          <cell r="Y95">
            <v>2005</v>
          </cell>
          <cell r="AA95">
            <v>303.56099999999998</v>
          </cell>
          <cell r="AC95">
            <v>259.0368917071869</v>
          </cell>
          <cell r="AD95">
            <v>260.23871541214208</v>
          </cell>
          <cell r="AE95">
            <v>260.32232245354993</v>
          </cell>
        </row>
        <row r="96">
          <cell r="Y96">
            <v>2006</v>
          </cell>
          <cell r="AA96">
            <v>308.73899999999998</v>
          </cell>
          <cell r="AC96">
            <v>259.10028099855799</v>
          </cell>
          <cell r="AD96">
            <v>261.25632690649741</v>
          </cell>
          <cell r="AE96">
            <v>261.39718089537928</v>
          </cell>
        </row>
        <row r="97">
          <cell r="Y97">
            <v>2007</v>
          </cell>
          <cell r="AA97">
            <v>307.25799999999998</v>
          </cell>
          <cell r="AC97">
            <v>259.2725841935669</v>
          </cell>
          <cell r="AD97">
            <v>263.10877566407487</v>
          </cell>
          <cell r="AE97">
            <v>263.3453213726483</v>
          </cell>
        </row>
        <row r="98">
          <cell r="Y98">
            <v>2008</v>
          </cell>
          <cell r="AA98">
            <v>306.15100000000001</v>
          </cell>
          <cell r="AC98">
            <v>259.74090286498262</v>
          </cell>
          <cell r="AD98">
            <v>266.47832510608407</v>
          </cell>
          <cell r="AE98">
            <v>266.87513076195461</v>
          </cell>
        </row>
        <row r="99">
          <cell r="Y99">
            <v>2009</v>
          </cell>
          <cell r="AA99">
            <v>348.80399999999997</v>
          </cell>
          <cell r="AC99">
            <v>261.01355586701499</v>
          </cell>
          <cell r="AD99">
            <v>272.59875336160854</v>
          </cell>
          <cell r="AE99">
            <v>273.26665659620903</v>
          </cell>
        </row>
        <row r="100">
          <cell r="Y100">
            <v>2010</v>
          </cell>
          <cell r="AA100">
            <v>407.24400000000003</v>
          </cell>
          <cell r="AC100">
            <v>264.47026021753635</v>
          </cell>
          <cell r="AD100">
            <v>283.68728832417446</v>
          </cell>
          <cell r="AE100">
            <v>284.82510675647308</v>
          </cell>
        </row>
        <row r="101">
          <cell r="Y101">
            <v>2011</v>
          </cell>
          <cell r="AA101">
            <v>482.81099999999998</v>
          </cell>
          <cell r="AC101">
            <v>273.84646765168526</v>
          </cell>
          <cell r="AD101">
            <v>303.68332015471969</v>
          </cell>
          <cell r="AE101">
            <v>305.67358582950919</v>
          </cell>
        </row>
        <row r="102">
          <cell r="Y102">
            <v>2012</v>
          </cell>
          <cell r="AA102">
            <v>482.53100000000001</v>
          </cell>
          <cell r="AC102">
            <v>299.18614582586963</v>
          </cell>
          <cell r="AD102">
            <v>339.44127722355194</v>
          </cell>
          <cell r="AE102">
            <v>343.08539749649407</v>
          </cell>
        </row>
        <row r="103">
          <cell r="Y103">
            <v>2013</v>
          </cell>
          <cell r="AA103">
            <v>618.04999999999995</v>
          </cell>
          <cell r="AC103">
            <v>366.99530193757488</v>
          </cell>
          <cell r="AD103">
            <v>402.43718213189186</v>
          </cell>
          <cell r="AE103">
            <v>409.53516030924072</v>
          </cell>
        </row>
        <row r="104">
          <cell r="Y104">
            <v>2014</v>
          </cell>
          <cell r="AA104">
            <v>716.37099999999998</v>
          </cell>
          <cell r="AC104">
            <v>543.76101992911822</v>
          </cell>
          <cell r="AD104">
            <v>510.55166191104354</v>
          </cell>
          <cell r="AE104">
            <v>525.21563370529293</v>
          </cell>
        </row>
        <row r="105">
          <cell r="Y105">
            <v>2015</v>
          </cell>
          <cell r="AA105">
            <v>937.76900000000001</v>
          </cell>
          <cell r="AC105">
            <v>974.73475361135922</v>
          </cell>
          <cell r="AD105">
            <v>688.0214532382804</v>
          </cell>
          <cell r="AE105">
            <v>719.03056873613957</v>
          </cell>
        </row>
        <row r="106">
          <cell r="Y106">
            <v>2016</v>
          </cell>
          <cell r="AA106">
            <v>1003.893</v>
          </cell>
          <cell r="AC106">
            <v>1873.815465047295</v>
          </cell>
          <cell r="AD106">
            <v>959.08521854639616</v>
          </cell>
          <cell r="AE106">
            <v>1021.9021179852421</v>
          </cell>
        </row>
        <row r="107">
          <cell r="Y107">
            <v>2017</v>
          </cell>
          <cell r="AA107">
            <v>1234.992</v>
          </cell>
          <cell r="AC107">
            <v>3261.1695</v>
          </cell>
          <cell r="AD107">
            <v>1330.6947846353928</v>
          </cell>
          <cell r="AE107">
            <v>1443.145142142125</v>
          </cell>
        </row>
        <row r="108">
          <cell r="Y108">
            <v>2018</v>
          </cell>
          <cell r="AA108">
            <v>1586.433</v>
          </cell>
          <cell r="AC108">
            <v>4648.5235349527047</v>
          </cell>
          <cell r="AD108">
            <v>1771.2249999999999</v>
          </cell>
          <cell r="AE108">
            <v>1936.918694897797</v>
          </cell>
        </row>
        <row r="109">
          <cell r="Y109">
            <v>2019</v>
          </cell>
          <cell r="AA109">
            <v>2379.9699999999998</v>
          </cell>
          <cell r="AC109">
            <v>5547.6042463886397</v>
          </cell>
          <cell r="AD109">
            <v>2211.7552153646066</v>
          </cell>
          <cell r="AE109">
            <v>2405.8917860279157</v>
          </cell>
        </row>
        <row r="110">
          <cell r="Y110">
            <v>2020</v>
          </cell>
          <cell r="AA110">
            <v>3283.45</v>
          </cell>
          <cell r="AB110">
            <v>3283.45</v>
          </cell>
          <cell r="AC110">
            <v>5978.5779800708824</v>
          </cell>
          <cell r="AD110">
            <v>2583.3647814536034</v>
          </cell>
          <cell r="AE110">
            <v>2766.7212151020681</v>
          </cell>
        </row>
        <row r="111">
          <cell r="Y111">
            <v>2021</v>
          </cell>
          <cell r="AB111">
            <v>4186.93</v>
          </cell>
          <cell r="AC111">
            <v>6155.3436980624256</v>
          </cell>
        </row>
        <row r="112">
          <cell r="Y112">
            <v>2022</v>
          </cell>
          <cell r="AB112">
            <v>4980.4669999999996</v>
          </cell>
          <cell r="AC112">
            <v>6223.1528541741309</v>
          </cell>
        </row>
        <row r="113">
          <cell r="Y113">
            <v>2023</v>
          </cell>
          <cell r="AB113">
            <v>5331.9079999999994</v>
          </cell>
          <cell r="AC113">
            <v>6248.4925323483158</v>
          </cell>
        </row>
        <row r="114">
          <cell r="Y114">
            <v>2024</v>
          </cell>
          <cell r="AB114">
            <v>5563.0069999999996</v>
          </cell>
          <cell r="AC114">
            <v>6257.8687397824642</v>
          </cell>
        </row>
        <row r="115">
          <cell r="Y115">
            <v>2025</v>
          </cell>
          <cell r="AB115">
            <v>5629.1309999999994</v>
          </cell>
          <cell r="AC115">
            <v>6261.3254441329855</v>
          </cell>
        </row>
        <row r="116">
          <cell r="Y116">
            <v>2026</v>
          </cell>
          <cell r="AB116">
            <v>5850.5289999999995</v>
          </cell>
          <cell r="AC116">
            <v>6262.5980971350173</v>
          </cell>
        </row>
        <row r="117">
          <cell r="Y117">
            <v>2027</v>
          </cell>
          <cell r="AB117">
            <v>5948.8499999999995</v>
          </cell>
          <cell r="AC117">
            <v>6263.0664158064337</v>
          </cell>
        </row>
        <row r="118">
          <cell r="Y118">
            <v>2028</v>
          </cell>
          <cell r="AB118">
            <v>6084.3689999999997</v>
          </cell>
          <cell r="AC118">
            <v>6263.2387190014424</v>
          </cell>
        </row>
        <row r="119">
          <cell r="Y119">
            <v>2029</v>
          </cell>
          <cell r="AB119">
            <v>6084.0889999999999</v>
          </cell>
          <cell r="AC119">
            <v>6263.3021082928135</v>
          </cell>
        </row>
        <row r="120">
          <cell r="Y120">
            <v>2030</v>
          </cell>
          <cell r="AB120">
            <v>6159.6559999999999</v>
          </cell>
          <cell r="AC120">
            <v>6263.3254282466651</v>
          </cell>
        </row>
        <row r="121">
          <cell r="Y121">
            <v>2031</v>
          </cell>
          <cell r="AB121">
            <v>6218.0959999999995</v>
          </cell>
          <cell r="AC121">
            <v>6263.3340072238334</v>
          </cell>
        </row>
        <row r="122">
          <cell r="Y122">
            <v>2032</v>
          </cell>
          <cell r="AB122">
            <v>6260.7489999999998</v>
          </cell>
          <cell r="AC122">
            <v>6263.337163259328</v>
          </cell>
        </row>
        <row r="123">
          <cell r="Y123">
            <v>2033</v>
          </cell>
          <cell r="AB123">
            <v>6259.6419999999998</v>
          </cell>
          <cell r="AC123">
            <v>6263.3383243007374</v>
          </cell>
        </row>
        <row r="124">
          <cell r="Y124">
            <v>2034</v>
          </cell>
          <cell r="AB124">
            <v>6258.1610000000001</v>
          </cell>
          <cell r="AC124">
            <v>6263.3387514241149</v>
          </cell>
        </row>
        <row r="125">
          <cell r="Y125">
            <v>2035</v>
          </cell>
          <cell r="AB125">
            <v>6263.3389999999999</v>
          </cell>
          <cell r="AC125">
            <v>6263.3389085540402</v>
          </cell>
        </row>
      </sheetData>
      <sheetData sheetId="11"/>
      <sheetData sheetId="12"/>
      <sheetData sheetId="13">
        <row r="10">
          <cell r="B10" t="str">
            <v>1990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tructure"/>
      <sheetName val="Sheet 1"/>
      <sheetName val="Hoja1"/>
    </sheetNames>
    <sheetDataSet>
      <sheetData sheetId="0"/>
      <sheetData sheetId="1"/>
      <sheetData sheetId="2"/>
      <sheetData sheetId="3">
        <row r="5">
          <cell r="A5">
            <v>1990</v>
          </cell>
          <cell r="C5">
            <v>63.202425590120903</v>
          </cell>
          <cell r="D5">
            <v>8.6602613693489889</v>
          </cell>
          <cell r="E5">
            <v>26.769774941132031</v>
          </cell>
          <cell r="F5">
            <v>1.2943849975267592</v>
          </cell>
          <cell r="G5">
            <v>7.3153101871318113E-2</v>
          </cell>
          <cell r="I5">
            <v>620.13774999999998</v>
          </cell>
        </row>
        <row r="6">
          <cell r="A6">
            <v>1991</v>
          </cell>
          <cell r="C6">
            <v>63.096068108682211</v>
          </cell>
          <cell r="D6">
            <v>8.7235923536603455</v>
          </cell>
          <cell r="E6">
            <v>26.854007901982207</v>
          </cell>
          <cell r="F6">
            <v>1.2768606326883052</v>
          </cell>
          <cell r="G6">
            <v>4.9471002986929385E-2</v>
          </cell>
          <cell r="I6">
            <v>629.37878999999998</v>
          </cell>
        </row>
        <row r="7">
          <cell r="A7">
            <v>1992</v>
          </cell>
          <cell r="C7">
            <v>62.748848680291182</v>
          </cell>
          <cell r="D7">
            <v>8.6362845508117321</v>
          </cell>
          <cell r="E7">
            <v>27.203321976506729</v>
          </cell>
          <cell r="F7">
            <v>1.3170565637847864</v>
          </cell>
          <cell r="G7">
            <v>9.4488228605568145E-2</v>
          </cell>
          <cell r="I7">
            <v>651.71081000000004</v>
          </cell>
        </row>
        <row r="8">
          <cell r="A8">
            <v>1993</v>
          </cell>
          <cell r="C8">
            <v>62.874939351392889</v>
          </cell>
          <cell r="D8">
            <v>8.9691006079454869</v>
          </cell>
          <cell r="E8">
            <v>26.769979946774487</v>
          </cell>
          <cell r="F8">
            <v>1.3519671366874459</v>
          </cell>
          <cell r="G8">
            <v>3.401143618380887E-2</v>
          </cell>
          <cell r="I8">
            <v>657.45533</v>
          </cell>
        </row>
        <row r="9">
          <cell r="A9">
            <v>1994</v>
          </cell>
          <cell r="C9">
            <v>62.773435147219246</v>
          </cell>
          <cell r="D9">
            <v>9.1818063078147922</v>
          </cell>
          <cell r="E9">
            <v>26.662261981409362</v>
          </cell>
          <cell r="F9">
            <v>1.3478934221434371</v>
          </cell>
          <cell r="G9">
            <v>3.4601632993742366E-2</v>
          </cell>
          <cell r="I9">
            <v>662.94559000000004</v>
          </cell>
        </row>
        <row r="10">
          <cell r="A10">
            <v>1995</v>
          </cell>
          <cell r="C10">
            <v>62.994213030646726</v>
          </cell>
          <cell r="D10">
            <v>9.1688510295611678</v>
          </cell>
          <cell r="E10">
            <v>26.366782836201551</v>
          </cell>
          <cell r="F10">
            <v>1.4337031123327466</v>
          </cell>
          <cell r="G10">
            <v>3.6449991257808498E-2</v>
          </cell>
          <cell r="I10">
            <v>675.11676</v>
          </cell>
        </row>
        <row r="11">
          <cell r="A11">
            <v>1996</v>
          </cell>
          <cell r="C11">
            <v>62.626369622183745</v>
          </cell>
          <cell r="D11">
            <v>9.4237272284181444</v>
          </cell>
          <cell r="E11">
            <v>26.501471373767789</v>
          </cell>
          <cell r="F11">
            <v>1.4192381085985708</v>
          </cell>
          <cell r="G11">
            <v>2.9196544672677339E-2</v>
          </cell>
          <cell r="I11">
            <v>695.01374999999996</v>
          </cell>
        </row>
        <row r="12">
          <cell r="A12">
            <v>1997</v>
          </cell>
          <cell r="C12">
            <v>62.424781268579935</v>
          </cell>
          <cell r="D12">
            <v>9.630953609829227</v>
          </cell>
          <cell r="E12">
            <v>26.482661584692302</v>
          </cell>
          <cell r="F12">
            <v>1.4282568725552758</v>
          </cell>
          <cell r="G12">
            <v>3.3346664343274227E-2</v>
          </cell>
          <cell r="I12">
            <v>705.34790999999996</v>
          </cell>
        </row>
        <row r="13">
          <cell r="A13">
            <v>1998</v>
          </cell>
          <cell r="C13">
            <v>62.073830599930972</v>
          </cell>
          <cell r="D13">
            <v>9.8431105242230874</v>
          </cell>
          <cell r="E13">
            <v>26.597191290728833</v>
          </cell>
          <cell r="F13">
            <v>1.4594027846726845</v>
          </cell>
          <cell r="G13">
            <v>2.646480044442312E-2</v>
          </cell>
          <cell r="I13">
            <v>733.04917</v>
          </cell>
        </row>
        <row r="14">
          <cell r="A14">
            <v>1999</v>
          </cell>
          <cell r="C14">
            <v>62.0246611549954</v>
          </cell>
          <cell r="D14">
            <v>9.916873446120638</v>
          </cell>
          <cell r="E14">
            <v>26.603918712773666</v>
          </cell>
          <cell r="F14">
            <v>1.4327218055491147</v>
          </cell>
          <cell r="G14">
            <v>2.1824880561181041E-2</v>
          </cell>
          <cell r="I14">
            <v>749.96974</v>
          </cell>
        </row>
        <row r="15">
          <cell r="A15">
            <v>2000</v>
          </cell>
          <cell r="C15">
            <v>61.4040953507212</v>
          </cell>
          <cell r="D15">
            <v>10.411976673756337</v>
          </cell>
          <cell r="E15">
            <v>26.780717121463439</v>
          </cell>
          <cell r="F15">
            <v>1.3807878999357468</v>
          </cell>
          <cell r="G15">
            <v>2.242295412328103E-2</v>
          </cell>
          <cell r="I15">
            <v>747.09157000000005</v>
          </cell>
        </row>
        <row r="16">
          <cell r="A16">
            <v>2001</v>
          </cell>
          <cell r="C16">
            <v>61.100008758533122</v>
          </cell>
          <cell r="D16">
            <v>10.612642263325711</v>
          </cell>
          <cell r="E16">
            <v>26.868794745646646</v>
          </cell>
          <cell r="F16">
            <v>1.3760740999465311</v>
          </cell>
          <cell r="G16">
            <v>4.2480132547988797E-2</v>
          </cell>
          <cell r="I16">
            <v>761.88557000000003</v>
          </cell>
        </row>
        <row r="17">
          <cell r="A17">
            <v>2002</v>
          </cell>
          <cell r="C17">
            <v>61.356041405051144</v>
          </cell>
          <cell r="D17">
            <v>10.596960986980726</v>
          </cell>
          <cell r="E17">
            <v>26.616770960251866</v>
          </cell>
          <cell r="F17">
            <v>1.4003418062537156</v>
          </cell>
          <cell r="G17">
            <v>2.9884841462549518E-2</v>
          </cell>
          <cell r="I17">
            <v>771.36095999999998</v>
          </cell>
        </row>
        <row r="18">
          <cell r="A18">
            <v>2003</v>
          </cell>
          <cell r="C18">
            <v>61.151474432730559</v>
          </cell>
          <cell r="D18">
            <v>10.90386083122068</v>
          </cell>
          <cell r="E18">
            <v>26.505680184320802</v>
          </cell>
          <cell r="F18">
            <v>1.4137225870361809</v>
          </cell>
          <cell r="G18">
            <v>2.5261964691785595E-2</v>
          </cell>
          <cell r="I18">
            <v>781.05564000000004</v>
          </cell>
        </row>
        <row r="19">
          <cell r="A19">
            <v>2004</v>
          </cell>
          <cell r="C19">
            <v>60.516644353404381</v>
          </cell>
          <cell r="D19">
            <v>11.13653926716375</v>
          </cell>
          <cell r="E19">
            <v>26.946939089005252</v>
          </cell>
          <cell r="F19">
            <v>1.3757211618966219</v>
          </cell>
          <cell r="G19">
            <v>2.4156128530005892E-2</v>
          </cell>
          <cell r="I19">
            <v>797.85136</v>
          </cell>
        </row>
        <row r="20">
          <cell r="A20">
            <v>2005</v>
          </cell>
          <cell r="C20">
            <v>59.897580591104102</v>
          </cell>
          <cell r="D20">
            <v>11.485822561277338</v>
          </cell>
          <cell r="E20">
            <v>27.291422934560885</v>
          </cell>
          <cell r="F20">
            <v>1.3016226828973716</v>
          </cell>
          <cell r="G20">
            <v>2.3552485891048833E-2</v>
          </cell>
          <cell r="I20">
            <v>796.34906000000001</v>
          </cell>
        </row>
        <row r="21">
          <cell r="A21">
            <v>2006</v>
          </cell>
          <cell r="C21">
            <v>59.362695773595661</v>
          </cell>
          <cell r="D21">
            <v>11.74747525721102</v>
          </cell>
          <cell r="E21">
            <v>27.6068635070136</v>
          </cell>
          <cell r="F21">
            <v>1.2634153677893687</v>
          </cell>
          <cell r="G21">
            <v>1.9551337955931867E-2</v>
          </cell>
          <cell r="I21">
            <v>804.13933999999995</v>
          </cell>
        </row>
        <row r="22">
          <cell r="A22">
            <v>2007</v>
          </cell>
          <cell r="C22">
            <v>59.237227800509572</v>
          </cell>
          <cell r="D22">
            <v>12.067287610175418</v>
          </cell>
          <cell r="E22">
            <v>27.426016242875313</v>
          </cell>
          <cell r="F22">
            <v>1.2495877150357615</v>
          </cell>
          <cell r="G22">
            <v>1.9879402307714195E-2</v>
          </cell>
          <cell r="I22">
            <v>813.60595000000001</v>
          </cell>
        </row>
        <row r="23">
          <cell r="A23">
            <v>2008</v>
          </cell>
          <cell r="C23">
            <v>59.781661209265934</v>
          </cell>
          <cell r="D23">
            <v>11.970301829444484</v>
          </cell>
          <cell r="E23">
            <v>26.903899628348405</v>
          </cell>
          <cell r="F23">
            <v>1.3203759289796502</v>
          </cell>
          <cell r="G23">
            <v>2.3761403961537791E-2</v>
          </cell>
          <cell r="I23">
            <v>795.11294999999996</v>
          </cell>
        </row>
        <row r="24">
          <cell r="A24">
            <v>2009</v>
          </cell>
          <cell r="C24">
            <v>60.683000476396799</v>
          </cell>
          <cell r="D24">
            <v>11.89465508545357</v>
          </cell>
          <cell r="E24">
            <v>26.080026172341842</v>
          </cell>
          <cell r="F24">
            <v>1.3164785488739079</v>
          </cell>
          <cell r="G24">
            <v>2.5839716933881148E-2</v>
          </cell>
          <cell r="I24">
            <v>775.04719</v>
          </cell>
        </row>
        <row r="25">
          <cell r="A25">
            <v>2010</v>
          </cell>
          <cell r="C25">
            <v>60.370617099529511</v>
          </cell>
          <cell r="D25">
            <v>11.751011181584024</v>
          </cell>
          <cell r="E25">
            <v>26.533846018494334</v>
          </cell>
          <cell r="F25">
            <v>1.3258650473856086</v>
          </cell>
          <cell r="G25">
            <v>1.8659357487702966E-2</v>
          </cell>
          <cell r="I25">
            <v>771.89152999999999</v>
          </cell>
        </row>
        <row r="26">
          <cell r="A26">
            <v>2011</v>
          </cell>
          <cell r="C26">
            <v>60.11341860450348</v>
          </cell>
          <cell r="D26">
            <v>11.797013211001461</v>
          </cell>
          <cell r="E26">
            <v>26.732926271883713</v>
          </cell>
          <cell r="F26">
            <v>1.337500714455893</v>
          </cell>
          <cell r="G26">
            <v>1.9141198155463116E-2</v>
          </cell>
          <cell r="I26">
            <v>763.69304999999997</v>
          </cell>
        </row>
        <row r="27">
          <cell r="A27">
            <v>2012</v>
          </cell>
          <cell r="C27">
            <v>60.22707922794681</v>
          </cell>
          <cell r="D27">
            <v>11.435284821167645</v>
          </cell>
          <cell r="E27">
            <v>26.946160661132819</v>
          </cell>
          <cell r="F27">
            <v>1.3732345598692914</v>
          </cell>
          <cell r="G27">
            <v>1.8240729883432897E-2</v>
          </cell>
          <cell r="I27">
            <v>736.31921999999997</v>
          </cell>
        </row>
        <row r="28">
          <cell r="A28">
            <v>2013</v>
          </cell>
          <cell r="C28">
            <v>60.79443879698335</v>
          </cell>
          <cell r="D28">
            <v>10.984483634715779</v>
          </cell>
          <cell r="E28">
            <v>26.851269653423682</v>
          </cell>
          <cell r="F28">
            <v>1.3541035554026295</v>
          </cell>
          <cell r="G28">
            <v>1.5704359474560874E-2</v>
          </cell>
          <cell r="I28">
            <v>733.42692</v>
          </cell>
        </row>
        <row r="29">
          <cell r="A29">
            <v>2014</v>
          </cell>
          <cell r="C29">
            <v>61.411716320736318</v>
          </cell>
          <cell r="D29">
            <v>10.846681211060609</v>
          </cell>
          <cell r="E29">
            <v>26.372418574355518</v>
          </cell>
          <cell r="F29">
            <v>1.3484234508831703</v>
          </cell>
          <cell r="G29">
            <v>2.0760442964378865E-2</v>
          </cell>
          <cell r="I29">
            <v>742.03619000000003</v>
          </cell>
        </row>
        <row r="30">
          <cell r="A30">
            <v>2015</v>
          </cell>
          <cell r="C30">
            <v>61.344987407204755</v>
          </cell>
          <cell r="D30">
            <v>10.78546075641847</v>
          </cell>
          <cell r="E30">
            <v>26.544890459373683</v>
          </cell>
          <cell r="F30">
            <v>1.3096964708587486</v>
          </cell>
          <cell r="G30">
            <v>1.496490614435185E-2</v>
          </cell>
          <cell r="I30">
            <v>756.03548000000001</v>
          </cell>
        </row>
        <row r="31">
          <cell r="A31">
            <v>2016</v>
          </cell>
          <cell r="C31">
            <v>61.362902543035489</v>
          </cell>
          <cell r="D31">
            <v>10.709285448922884</v>
          </cell>
          <cell r="E31">
            <v>26.624317355247339</v>
          </cell>
          <cell r="F31">
            <v>1.2868556610620692</v>
          </cell>
          <cell r="G31">
            <v>1.6638991732223593E-2</v>
          </cell>
          <cell r="I31">
            <v>772.82326999999998</v>
          </cell>
        </row>
        <row r="32">
          <cell r="A32">
            <v>2017</v>
          </cell>
          <cell r="C32">
            <v>61.209153413413276</v>
          </cell>
          <cell r="D32">
            <v>10.708341288568704</v>
          </cell>
          <cell r="E32">
            <v>26.822213914635313</v>
          </cell>
          <cell r="F32">
            <v>1.2431064195218848</v>
          </cell>
          <cell r="G32">
            <v>1.7186237292757072E-2</v>
          </cell>
          <cell r="I32">
            <v>785.27950999999996</v>
          </cell>
        </row>
        <row r="33">
          <cell r="A33">
            <v>2018</v>
          </cell>
          <cell r="C33">
            <v>60.622200392275026</v>
          </cell>
          <cell r="D33">
            <v>11.068025346817723</v>
          </cell>
          <cell r="E33">
            <v>27.068449863870743</v>
          </cell>
          <cell r="F33">
            <v>1.2242925774785918</v>
          </cell>
          <cell r="G33">
            <v>1.7030547482363403E-2</v>
          </cell>
          <cell r="I33">
            <v>786.11683000000005</v>
          </cell>
        </row>
        <row r="34">
          <cell r="I34">
            <v>792.75870999999995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B995-604A-45E7-B8C9-E05A1E46371F}">
  <dimension ref="A1:AG125"/>
  <sheetViews>
    <sheetView zoomScale="70" zoomScaleNormal="70" workbookViewId="0">
      <selection activeCell="R44" activeCellId="1" sqref="P44:P74 R44:R74"/>
    </sheetView>
  </sheetViews>
  <sheetFormatPr defaultColWidth="8.7109375" defaultRowHeight="15" x14ac:dyDescent="0.25"/>
  <cols>
    <col min="1" max="1" width="29.85546875" customWidth="1"/>
    <col min="2" max="32" width="10" customWidth="1"/>
  </cols>
  <sheetData>
    <row r="1" spans="1:32" x14ac:dyDescent="0.25">
      <c r="A1" s="1" t="s">
        <v>0</v>
      </c>
    </row>
    <row r="2" spans="1:32" x14ac:dyDescent="0.25">
      <c r="A2" s="1" t="s">
        <v>1</v>
      </c>
      <c r="B2" s="2" t="s">
        <v>2</v>
      </c>
    </row>
    <row r="3" spans="1:32" x14ac:dyDescent="0.25">
      <c r="A3" s="1" t="s">
        <v>3</v>
      </c>
      <c r="B3" s="1" t="s">
        <v>4</v>
      </c>
    </row>
    <row r="5" spans="1:32" x14ac:dyDescent="0.25">
      <c r="A5" s="2" t="s">
        <v>5</v>
      </c>
      <c r="C5" s="1" t="s">
        <v>6</v>
      </c>
    </row>
    <row r="6" spans="1:32" x14ac:dyDescent="0.25">
      <c r="A6" s="2" t="s">
        <v>7</v>
      </c>
      <c r="C6" s="1" t="s">
        <v>8</v>
      </c>
    </row>
    <row r="7" spans="1:32" x14ac:dyDescent="0.25">
      <c r="A7" s="2" t="s">
        <v>9</v>
      </c>
      <c r="C7" s="1" t="s">
        <v>10</v>
      </c>
    </row>
    <row r="8" spans="1:32" x14ac:dyDescent="0.25">
      <c r="A8" s="2" t="s">
        <v>11</v>
      </c>
      <c r="C8" s="1" t="s">
        <v>12</v>
      </c>
    </row>
    <row r="10" spans="1:32" x14ac:dyDescent="0.25">
      <c r="A10" s="3" t="s">
        <v>13</v>
      </c>
      <c r="B10" s="4" t="s">
        <v>14</v>
      </c>
      <c r="C10" s="4" t="s">
        <v>15</v>
      </c>
      <c r="D10" s="4" t="s">
        <v>16</v>
      </c>
      <c r="E10" s="4" t="s">
        <v>17</v>
      </c>
      <c r="F10" s="4" t="s">
        <v>18</v>
      </c>
      <c r="G10" s="4" t="s">
        <v>19</v>
      </c>
      <c r="H10" s="4" t="s">
        <v>20</v>
      </c>
      <c r="I10" s="4" t="s">
        <v>21</v>
      </c>
      <c r="J10" s="4" t="s">
        <v>22</v>
      </c>
      <c r="K10" s="4" t="s">
        <v>23</v>
      </c>
      <c r="L10" s="4" t="s">
        <v>24</v>
      </c>
      <c r="M10" s="4" t="s">
        <v>25</v>
      </c>
      <c r="N10" s="4" t="s">
        <v>26</v>
      </c>
      <c r="O10" s="4" t="s">
        <v>27</v>
      </c>
      <c r="P10" s="4" t="s">
        <v>28</v>
      </c>
      <c r="Q10" s="4" t="s">
        <v>29</v>
      </c>
      <c r="R10" s="4" t="s">
        <v>30</v>
      </c>
      <c r="S10" s="4" t="s">
        <v>31</v>
      </c>
      <c r="T10" s="4" t="s">
        <v>32</v>
      </c>
      <c r="U10" s="4" t="s">
        <v>33</v>
      </c>
      <c r="V10" s="4" t="s">
        <v>34</v>
      </c>
      <c r="W10" s="4" t="s">
        <v>35</v>
      </c>
      <c r="X10" s="4" t="s">
        <v>36</v>
      </c>
      <c r="Y10" s="4" t="s">
        <v>37</v>
      </c>
      <c r="Z10" s="4" t="s">
        <v>38</v>
      </c>
      <c r="AA10" s="4" t="s">
        <v>39</v>
      </c>
      <c r="AB10" s="4" t="s">
        <v>40</v>
      </c>
      <c r="AC10" s="4" t="s">
        <v>41</v>
      </c>
      <c r="AD10" s="4" t="s">
        <v>42</v>
      </c>
      <c r="AE10" s="4" t="s">
        <v>43</v>
      </c>
      <c r="AF10" s="4" t="s">
        <v>44</v>
      </c>
    </row>
    <row r="11" spans="1:32" x14ac:dyDescent="0.25">
      <c r="A11" s="5" t="s">
        <v>45</v>
      </c>
      <c r="B11" s="6" t="s">
        <v>46</v>
      </c>
      <c r="C11" s="6" t="s">
        <v>46</v>
      </c>
      <c r="D11" s="6" t="s">
        <v>46</v>
      </c>
      <c r="E11" s="6" t="s">
        <v>46</v>
      </c>
      <c r="F11" s="6" t="s">
        <v>46</v>
      </c>
      <c r="G11" s="6" t="s">
        <v>46</v>
      </c>
      <c r="H11" s="6" t="s">
        <v>46</v>
      </c>
      <c r="I11" s="6" t="s">
        <v>46</v>
      </c>
      <c r="J11" s="6" t="s">
        <v>46</v>
      </c>
      <c r="K11" s="6" t="s">
        <v>46</v>
      </c>
      <c r="L11" s="6" t="s">
        <v>46</v>
      </c>
      <c r="M11" s="6" t="s">
        <v>46</v>
      </c>
      <c r="N11" s="6" t="s">
        <v>46</v>
      </c>
      <c r="O11" s="6" t="s">
        <v>46</v>
      </c>
      <c r="P11" s="6" t="s">
        <v>46</v>
      </c>
      <c r="Q11" s="6" t="s">
        <v>46</v>
      </c>
      <c r="R11" s="6" t="s">
        <v>46</v>
      </c>
      <c r="S11" s="6" t="s">
        <v>46</v>
      </c>
      <c r="T11" s="6" t="s">
        <v>46</v>
      </c>
      <c r="U11" s="6" t="s">
        <v>46</v>
      </c>
      <c r="V11" s="6" t="s">
        <v>46</v>
      </c>
      <c r="W11" s="6" t="s">
        <v>46</v>
      </c>
      <c r="X11" s="6" t="s">
        <v>46</v>
      </c>
      <c r="Y11" s="6" t="s">
        <v>46</v>
      </c>
      <c r="Z11" s="6" t="s">
        <v>46</v>
      </c>
      <c r="AA11" s="6" t="s">
        <v>46</v>
      </c>
      <c r="AB11" s="6" t="s">
        <v>46</v>
      </c>
      <c r="AC11" s="6" t="s">
        <v>46</v>
      </c>
      <c r="AD11" s="6" t="s">
        <v>46</v>
      </c>
      <c r="AE11" s="6" t="s">
        <v>46</v>
      </c>
      <c r="AF11" s="6" t="s">
        <v>46</v>
      </c>
    </row>
    <row r="12" spans="1:32" x14ac:dyDescent="0.25">
      <c r="A12" s="7" t="s">
        <v>47</v>
      </c>
      <c r="B12" s="57">
        <v>2344743.7459999998</v>
      </c>
      <c r="C12" s="57">
        <v>2380720.7540000002</v>
      </c>
      <c r="D12" s="57">
        <v>2449407.6430000002</v>
      </c>
      <c r="E12" s="57">
        <v>2476523.7820000001</v>
      </c>
      <c r="F12" s="57">
        <v>2499551.0750000002</v>
      </c>
      <c r="G12" s="57">
        <v>2535282.3360000001</v>
      </c>
      <c r="H12" s="57">
        <v>2613632.7319999998</v>
      </c>
      <c r="I12" s="57">
        <v>2656094.699</v>
      </c>
      <c r="J12" s="57">
        <v>2762593.4339999999</v>
      </c>
      <c r="K12" s="57">
        <v>2825546.8849999998</v>
      </c>
      <c r="L12" s="57">
        <v>2827941.1310000001</v>
      </c>
      <c r="M12" s="57">
        <v>2879926.2779999999</v>
      </c>
      <c r="N12" s="57">
        <v>2918655.0180000002</v>
      </c>
      <c r="O12" s="57">
        <v>2950135.4330000002</v>
      </c>
      <c r="P12" s="57">
        <v>3021857.7439999999</v>
      </c>
      <c r="Q12" s="57">
        <v>3025652.639</v>
      </c>
      <c r="R12" s="57">
        <v>3094242.6460000002</v>
      </c>
      <c r="S12" s="57">
        <v>3144934.912</v>
      </c>
      <c r="T12" s="57">
        <v>3103415.307</v>
      </c>
      <c r="U12" s="57">
        <v>3037776.4649999999</v>
      </c>
      <c r="V12" s="57">
        <v>3030956.5290000001</v>
      </c>
      <c r="W12" s="57">
        <v>3017499.9180000001</v>
      </c>
      <c r="X12" s="57">
        <v>2905196.0090000001</v>
      </c>
      <c r="Y12" s="57">
        <v>2883948.7110000001</v>
      </c>
      <c r="Z12" s="57">
        <v>2932818.4240000001</v>
      </c>
      <c r="AA12" s="57">
        <v>2972559.6379999998</v>
      </c>
      <c r="AB12" s="57">
        <v>3037606.2250000001</v>
      </c>
      <c r="AC12" s="57">
        <v>3096227.872</v>
      </c>
      <c r="AD12" s="57">
        <v>3110551.9440000001</v>
      </c>
      <c r="AE12" s="57">
        <v>3140604.2089999998</v>
      </c>
      <c r="AF12" s="57">
        <v>2770478.2949999999</v>
      </c>
    </row>
    <row r="13" spans="1:32" x14ac:dyDescent="0.25">
      <c r="A13" s="7" t="s">
        <v>48</v>
      </c>
      <c r="B13" s="58">
        <v>2512.25</v>
      </c>
      <c r="C13" s="58">
        <v>2529</v>
      </c>
      <c r="D13" s="58">
        <v>2543.5</v>
      </c>
      <c r="E13" s="58">
        <v>2585.5</v>
      </c>
      <c r="F13" s="58">
        <v>2716.25</v>
      </c>
      <c r="G13" s="58">
        <v>2876</v>
      </c>
      <c r="H13" s="58">
        <v>3124.5</v>
      </c>
      <c r="I13" s="58">
        <v>3357</v>
      </c>
      <c r="J13" s="58">
        <v>3438.25</v>
      </c>
      <c r="K13" s="58">
        <v>3476</v>
      </c>
      <c r="L13" s="58">
        <v>4332.2489999999998</v>
      </c>
      <c r="M13" s="58">
        <v>5917.2489999999998</v>
      </c>
      <c r="N13" s="58">
        <v>5579.5</v>
      </c>
      <c r="O13" s="58">
        <v>5625.2539999999999</v>
      </c>
      <c r="P13" s="58">
        <v>5810.8540000000003</v>
      </c>
      <c r="Q13" s="58">
        <v>6565.9319999999998</v>
      </c>
      <c r="R13" s="58">
        <v>7914.116</v>
      </c>
      <c r="S13" s="58">
        <v>8754.8520000000008</v>
      </c>
      <c r="T13" s="58">
        <v>9499.277</v>
      </c>
      <c r="U13" s="58">
        <v>11016.989</v>
      </c>
      <c r="V13" s="58">
        <v>12602.612999999999</v>
      </c>
      <c r="W13" s="58">
        <v>13935.632</v>
      </c>
      <c r="X13" s="58">
        <v>14827.184999999999</v>
      </c>
      <c r="Y13" s="58">
        <v>15847.361000000001</v>
      </c>
      <c r="Z13" s="58">
        <v>16926.032999999999</v>
      </c>
      <c r="AA13" s="58">
        <v>18018.852999999999</v>
      </c>
      <c r="AB13" s="58">
        <v>18391.616999999998</v>
      </c>
      <c r="AC13" s="58">
        <v>17782.188999999998</v>
      </c>
      <c r="AD13" s="58">
        <v>18636.948</v>
      </c>
      <c r="AE13" s="58">
        <v>21446.128000000001</v>
      </c>
      <c r="AF13" s="58">
        <v>20706.423999999999</v>
      </c>
    </row>
    <row r="14" spans="1:32" x14ac:dyDescent="0.25">
      <c r="A14" s="7" t="s">
        <v>49</v>
      </c>
      <c r="B14" s="58">
        <v>2341905.9350000001</v>
      </c>
      <c r="C14" s="58">
        <v>2377869.8020000001</v>
      </c>
      <c r="D14" s="58">
        <v>2446357.4210000001</v>
      </c>
      <c r="E14" s="58">
        <v>2473118.358</v>
      </c>
      <c r="F14" s="58">
        <v>2495009.9730000002</v>
      </c>
      <c r="G14" s="58">
        <v>2529677.807</v>
      </c>
      <c r="H14" s="58">
        <v>2606600.1129999999</v>
      </c>
      <c r="I14" s="58">
        <v>2647492.09</v>
      </c>
      <c r="J14" s="58">
        <v>2754212.602</v>
      </c>
      <c r="K14" s="58">
        <v>2816586.452</v>
      </c>
      <c r="L14" s="58">
        <v>2815103.0920000002</v>
      </c>
      <c r="M14" s="58">
        <v>2864029.6570000001</v>
      </c>
      <c r="N14" s="58">
        <v>2899912.145</v>
      </c>
      <c r="O14" s="58">
        <v>2928222.7519999999</v>
      </c>
      <c r="P14" s="58">
        <v>2993895.0759999999</v>
      </c>
      <c r="Q14" s="58">
        <v>2982399.7850000001</v>
      </c>
      <c r="R14" s="58">
        <v>3025785.1719999998</v>
      </c>
      <c r="S14" s="58">
        <v>3051656.8859999999</v>
      </c>
      <c r="T14" s="58">
        <v>2989742.4180000001</v>
      </c>
      <c r="U14" s="58">
        <v>2903624.09</v>
      </c>
      <c r="V14" s="58">
        <v>2878594.5249999999</v>
      </c>
      <c r="W14" s="58">
        <v>2855866.051</v>
      </c>
      <c r="X14" s="58">
        <v>2733759.3730000001</v>
      </c>
      <c r="Y14" s="58">
        <v>2727828.2250000001</v>
      </c>
      <c r="Z14" s="58">
        <v>2764524.6850000001</v>
      </c>
      <c r="AA14" s="58">
        <v>2802672.5929999999</v>
      </c>
      <c r="AB14" s="58">
        <v>2871201.1630000002</v>
      </c>
      <c r="AC14" s="58">
        <v>2916833.0070000002</v>
      </c>
      <c r="AD14" s="58">
        <v>2913294.4410000001</v>
      </c>
      <c r="AE14" s="58">
        <v>2933290.0019999999</v>
      </c>
      <c r="AF14" s="58">
        <v>2561060.2850000001</v>
      </c>
    </row>
    <row r="15" spans="1:32" x14ac:dyDescent="0.25">
      <c r="A15" s="7" t="s">
        <v>50</v>
      </c>
      <c r="B15" s="51">
        <v>31531.734</v>
      </c>
      <c r="C15" s="51">
        <v>30606.876</v>
      </c>
      <c r="D15" s="51">
        <v>28957.198</v>
      </c>
      <c r="E15" s="51">
        <v>30467.7</v>
      </c>
      <c r="F15" s="51">
        <v>31727.991999999998</v>
      </c>
      <c r="G15" s="51">
        <v>34746.432999999997</v>
      </c>
      <c r="H15" s="51">
        <v>36352.248</v>
      </c>
      <c r="I15" s="51">
        <v>39733.68</v>
      </c>
      <c r="J15" s="51">
        <v>40705.014000000003</v>
      </c>
      <c r="K15" s="51">
        <v>40462.964999999997</v>
      </c>
      <c r="L15" s="51">
        <v>41743.875999999997</v>
      </c>
      <c r="M15" s="51">
        <v>43969.409</v>
      </c>
      <c r="N15" s="51">
        <v>46654.983</v>
      </c>
      <c r="O15" s="51">
        <v>48342.981</v>
      </c>
      <c r="P15" s="51">
        <v>52165.004000000001</v>
      </c>
      <c r="Q15" s="51">
        <v>53728.256000000001</v>
      </c>
      <c r="R15" s="51">
        <v>55531.16</v>
      </c>
      <c r="S15" s="51">
        <v>55310.275000000001</v>
      </c>
      <c r="T15" s="51">
        <v>56935.61</v>
      </c>
      <c r="U15" s="51">
        <v>59146.745000000003</v>
      </c>
      <c r="V15" s="51">
        <v>59678.934000000001</v>
      </c>
      <c r="W15" s="51">
        <v>61718.743999999999</v>
      </c>
      <c r="X15" s="51">
        <v>61057.837</v>
      </c>
      <c r="Y15" s="51">
        <v>64965.891000000003</v>
      </c>
      <c r="Z15" s="51">
        <v>65091.565000000002</v>
      </c>
      <c r="AA15" s="51">
        <v>66545.982000000004</v>
      </c>
      <c r="AB15" s="51">
        <v>66770.906000000003</v>
      </c>
      <c r="AC15" s="51">
        <v>67863.372000000003</v>
      </c>
      <c r="AD15" s="51">
        <v>66983.226999999999</v>
      </c>
      <c r="AE15" s="51">
        <v>67798.365000000005</v>
      </c>
      <c r="AF15" s="51">
        <v>57204.243999999999</v>
      </c>
    </row>
    <row r="16" spans="1:32" x14ac:dyDescent="0.25">
      <c r="A16" s="7" t="s">
        <v>51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12.209</v>
      </c>
      <c r="T16" s="50">
        <v>12.209</v>
      </c>
      <c r="U16" s="50">
        <v>12.208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</row>
    <row r="17" spans="1:32" x14ac:dyDescent="0.25">
      <c r="A17" s="7" t="s">
        <v>52</v>
      </c>
      <c r="B17" s="50">
        <v>1282971.5179999999</v>
      </c>
      <c r="C17" s="50">
        <v>1292307.548</v>
      </c>
      <c r="D17" s="50">
        <v>1318270.2709999999</v>
      </c>
      <c r="E17" s="50">
        <v>1315547.946</v>
      </c>
      <c r="F17" s="50">
        <v>1310470.0989999999</v>
      </c>
      <c r="G17" s="50">
        <v>1311654.575</v>
      </c>
      <c r="H17" s="50">
        <v>1323726.294</v>
      </c>
      <c r="I17" s="50">
        <v>1320036.9180000001</v>
      </c>
      <c r="J17" s="50">
        <v>1330877.064</v>
      </c>
      <c r="K17" s="50">
        <v>1328483.736</v>
      </c>
      <c r="L17" s="50">
        <v>1271115.919</v>
      </c>
      <c r="M17" s="50">
        <v>1252643.9739999999</v>
      </c>
      <c r="N17" s="50">
        <v>1230817.3640000001</v>
      </c>
      <c r="O17" s="50">
        <v>1187258.0190000001</v>
      </c>
      <c r="P17" s="50">
        <v>1149104.9609999999</v>
      </c>
      <c r="Q17" s="50">
        <v>1094403.121</v>
      </c>
      <c r="R17" s="50">
        <v>1056276.4720000001</v>
      </c>
      <c r="S17" s="50">
        <v>1019637.226</v>
      </c>
      <c r="T17" s="50">
        <v>967935.56</v>
      </c>
      <c r="U17" s="50">
        <v>930919.73800000001</v>
      </c>
      <c r="V17" s="50">
        <v>877582.42799999996</v>
      </c>
      <c r="W17" s="50">
        <v>844916.16599999997</v>
      </c>
      <c r="X17" s="50">
        <v>784269.61399999994</v>
      </c>
      <c r="Y17" s="50">
        <v>759843.83999999997</v>
      </c>
      <c r="Z17" s="50">
        <v>756900.21100000001</v>
      </c>
      <c r="AA17" s="50">
        <v>745687.10699999996</v>
      </c>
      <c r="AB17" s="50">
        <v>748210.00100000005</v>
      </c>
      <c r="AC17" s="50">
        <v>752514.18099999998</v>
      </c>
      <c r="AD17" s="50">
        <v>753683.30099999998</v>
      </c>
      <c r="AE17" s="50">
        <v>770208.89500000002</v>
      </c>
      <c r="AF17" s="50">
        <v>662359.97600000002</v>
      </c>
    </row>
    <row r="18" spans="1:32" x14ac:dyDescent="0.25">
      <c r="A18" s="7" t="s">
        <v>53</v>
      </c>
      <c r="B18" s="51">
        <v>631.83299999999997</v>
      </c>
      <c r="C18" s="51">
        <v>291.79500000000002</v>
      </c>
      <c r="D18" s="51">
        <v>1496.3340000000001</v>
      </c>
      <c r="E18" s="51">
        <v>97.212000000000003</v>
      </c>
      <c r="F18" s="51">
        <v>255.334</v>
      </c>
      <c r="G18" s="51">
        <v>279.75</v>
      </c>
      <c r="H18" s="51">
        <v>255.416</v>
      </c>
      <c r="I18" s="51">
        <v>218.917</v>
      </c>
      <c r="J18" s="51">
        <v>231.083</v>
      </c>
      <c r="K18" s="51">
        <v>206.834</v>
      </c>
      <c r="L18" s="51">
        <v>146</v>
      </c>
      <c r="M18" s="51">
        <v>158.167</v>
      </c>
      <c r="N18" s="51">
        <v>194.667</v>
      </c>
      <c r="O18" s="51">
        <v>191.88900000000001</v>
      </c>
      <c r="P18" s="51">
        <v>48.667000000000002</v>
      </c>
      <c r="Q18" s="51">
        <v>23.881</v>
      </c>
      <c r="R18" s="51">
        <v>47.762999999999998</v>
      </c>
      <c r="S18" s="51">
        <v>59.738</v>
      </c>
      <c r="T18" s="51">
        <v>47.77</v>
      </c>
      <c r="U18" s="51">
        <v>23.899000000000001</v>
      </c>
      <c r="V18" s="51">
        <v>0</v>
      </c>
      <c r="W18" s="51">
        <v>0</v>
      </c>
      <c r="X18" s="51">
        <v>0</v>
      </c>
      <c r="Y18" s="51">
        <v>0</v>
      </c>
      <c r="Z18" s="51">
        <v>0</v>
      </c>
      <c r="AA18" s="51">
        <v>0</v>
      </c>
      <c r="AB18" s="51">
        <v>0</v>
      </c>
      <c r="AC18" s="51">
        <v>2.4E-2</v>
      </c>
      <c r="AD18" s="51">
        <v>0.47799999999999998</v>
      </c>
      <c r="AE18" s="51">
        <v>0</v>
      </c>
      <c r="AF18" s="51">
        <v>0.84799999999999998</v>
      </c>
    </row>
    <row r="19" spans="1:32" x14ac:dyDescent="0.25">
      <c r="A19" s="7" t="s">
        <v>54</v>
      </c>
      <c r="B19" s="50">
        <v>1026693.022</v>
      </c>
      <c r="C19" s="50">
        <v>1054495.8060000001</v>
      </c>
      <c r="D19" s="50">
        <v>1097432.287</v>
      </c>
      <c r="E19" s="50">
        <v>1126748</v>
      </c>
      <c r="F19" s="50">
        <v>1152355.2720000001</v>
      </c>
      <c r="G19" s="50">
        <v>1182795.7250000001</v>
      </c>
      <c r="H19" s="50">
        <v>1246109.828</v>
      </c>
      <c r="I19" s="50">
        <v>1287502.578</v>
      </c>
      <c r="J19" s="50">
        <v>1382388.216</v>
      </c>
      <c r="K19" s="50">
        <v>1447432.916</v>
      </c>
      <c r="L19" s="50">
        <v>1502086.07</v>
      </c>
      <c r="M19" s="50">
        <v>1567258.1140000001</v>
      </c>
      <c r="N19" s="50">
        <v>1622245.135</v>
      </c>
      <c r="O19" s="50">
        <v>1692429.862</v>
      </c>
      <c r="P19" s="50">
        <v>1792487.5530000001</v>
      </c>
      <c r="Q19" s="50">
        <v>1834085.7239999999</v>
      </c>
      <c r="R19" s="50">
        <v>1913852.159</v>
      </c>
      <c r="S19" s="50">
        <v>1976608.564</v>
      </c>
      <c r="T19" s="50">
        <v>1964627.3489999999</v>
      </c>
      <c r="U19" s="50">
        <v>1913473.8489999999</v>
      </c>
      <c r="V19" s="50">
        <v>1941247.057</v>
      </c>
      <c r="W19" s="50">
        <v>1949166.8770000001</v>
      </c>
      <c r="X19" s="50">
        <v>1888360.5759999999</v>
      </c>
      <c r="Y19" s="50">
        <v>1902899.943</v>
      </c>
      <c r="Z19" s="50">
        <v>1942381.02</v>
      </c>
      <c r="AA19" s="50">
        <v>1990276.5090000001</v>
      </c>
      <c r="AB19" s="50">
        <v>2056056.5959999999</v>
      </c>
      <c r="AC19" s="50">
        <v>2096286.024</v>
      </c>
      <c r="AD19" s="50">
        <v>2092467.024</v>
      </c>
      <c r="AE19" s="50">
        <v>2095128.7479999999</v>
      </c>
      <c r="AF19" s="50">
        <v>1841359.5589999999</v>
      </c>
    </row>
    <row r="20" spans="1:32" x14ac:dyDescent="0.25">
      <c r="A20" s="7" t="s">
        <v>55</v>
      </c>
      <c r="B20" s="51">
        <v>11.164</v>
      </c>
      <c r="C20" s="51">
        <v>112.22199999999999</v>
      </c>
      <c r="D20" s="51">
        <v>134.667</v>
      </c>
      <c r="E20" s="51">
        <v>201.94200000000001</v>
      </c>
      <c r="F20" s="51">
        <v>134.60900000000001</v>
      </c>
      <c r="G20" s="51">
        <v>145.77199999999999</v>
      </c>
      <c r="H20" s="51">
        <v>89.661000000000001</v>
      </c>
      <c r="I20" s="51">
        <v>0</v>
      </c>
      <c r="J20" s="51">
        <v>11.222</v>
      </c>
      <c r="K20" s="51">
        <v>0</v>
      </c>
      <c r="L20" s="51">
        <v>11.222</v>
      </c>
      <c r="M20" s="51">
        <v>0</v>
      </c>
      <c r="N20" s="51">
        <v>0</v>
      </c>
      <c r="O20" s="51">
        <v>0</v>
      </c>
      <c r="P20" s="51">
        <v>0</v>
      </c>
      <c r="Q20" s="51">
        <v>112.22199999999999</v>
      </c>
      <c r="R20" s="51">
        <v>22.443999999999999</v>
      </c>
      <c r="S20" s="51">
        <v>0</v>
      </c>
      <c r="T20" s="51">
        <v>0</v>
      </c>
      <c r="U20" s="51">
        <v>0</v>
      </c>
      <c r="V20" s="51">
        <v>0</v>
      </c>
      <c r="W20" s="51">
        <v>0</v>
      </c>
      <c r="X20" s="51">
        <v>0</v>
      </c>
      <c r="Y20" s="51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1.1439999999999999</v>
      </c>
      <c r="AE20" s="51">
        <v>0</v>
      </c>
      <c r="AF20" s="51">
        <v>0</v>
      </c>
    </row>
    <row r="21" spans="1:32" x14ac:dyDescent="0.25">
      <c r="A21" s="7" t="s">
        <v>56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46.575000000000003</v>
      </c>
      <c r="R21" s="50">
        <v>55.173999999999999</v>
      </c>
      <c r="S21" s="50">
        <v>28.885999999999999</v>
      </c>
      <c r="T21" s="50">
        <v>183.922</v>
      </c>
      <c r="U21" s="50">
        <v>47.652999999999999</v>
      </c>
      <c r="V21" s="50">
        <v>86.105000000000004</v>
      </c>
      <c r="W21" s="50">
        <v>64.263999999999996</v>
      </c>
      <c r="X21" s="50">
        <v>71.343999999999994</v>
      </c>
      <c r="Y21" s="50">
        <v>118.556</v>
      </c>
      <c r="Z21" s="50">
        <v>151.88800000000001</v>
      </c>
      <c r="AA21" s="50">
        <v>162.999</v>
      </c>
      <c r="AB21" s="50">
        <v>163.66</v>
      </c>
      <c r="AC21" s="50">
        <v>169.405</v>
      </c>
      <c r="AD21" s="50">
        <v>158.94399999999999</v>
      </c>
      <c r="AE21" s="50">
        <v>153.41900000000001</v>
      </c>
      <c r="AF21" s="50">
        <v>134.82400000000001</v>
      </c>
    </row>
    <row r="22" spans="1:32" x14ac:dyDescent="0.25">
      <c r="A22" s="7" t="s">
        <v>57</v>
      </c>
      <c r="B22" s="51">
        <v>66.667000000000002</v>
      </c>
      <c r="C22" s="51">
        <v>55.555999999999997</v>
      </c>
      <c r="D22" s="51">
        <v>66.667000000000002</v>
      </c>
      <c r="E22" s="51">
        <v>55.555999999999997</v>
      </c>
      <c r="F22" s="51">
        <v>66.667000000000002</v>
      </c>
      <c r="G22" s="51">
        <v>55.555999999999997</v>
      </c>
      <c r="H22" s="51">
        <v>66.667000000000002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88.888999999999996</v>
      </c>
      <c r="Q22" s="51">
        <v>0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0.32200000000000001</v>
      </c>
      <c r="AE22" s="51">
        <v>0.57799999999999996</v>
      </c>
      <c r="AF22" s="51">
        <v>0.83299999999999996</v>
      </c>
    </row>
    <row r="23" spans="1:32" x14ac:dyDescent="0.25">
      <c r="A23" s="7" t="s">
        <v>58</v>
      </c>
      <c r="B23" s="58">
        <v>66.561000000000007</v>
      </c>
      <c r="C23" s="58">
        <v>73.951999999999998</v>
      </c>
      <c r="D23" s="58">
        <v>255.72200000000001</v>
      </c>
      <c r="E23" s="58">
        <v>604.92399999999998</v>
      </c>
      <c r="F23" s="58">
        <v>1620.8520000000001</v>
      </c>
      <c r="G23" s="58">
        <v>2524.5300000000002</v>
      </c>
      <c r="H23" s="58">
        <v>3705.12</v>
      </c>
      <c r="I23" s="58">
        <v>5047.6080000000002</v>
      </c>
      <c r="J23" s="58">
        <v>4765.5829999999996</v>
      </c>
      <c r="K23" s="58">
        <v>5313.4340000000002</v>
      </c>
      <c r="L23" s="58">
        <v>8271.7870000000003</v>
      </c>
      <c r="M23" s="58">
        <v>9745.3700000000008</v>
      </c>
      <c r="N23" s="58">
        <v>12927.373</v>
      </c>
      <c r="O23" s="58">
        <v>16029.425999999999</v>
      </c>
      <c r="P23" s="58">
        <v>21842.813999999998</v>
      </c>
      <c r="Q23" s="58">
        <v>36383.362999999998</v>
      </c>
      <c r="R23" s="58">
        <v>60234.623</v>
      </c>
      <c r="S23" s="58">
        <v>84215.914000000004</v>
      </c>
      <c r="T23" s="58">
        <v>103867.462</v>
      </c>
      <c r="U23" s="58">
        <v>122786.58</v>
      </c>
      <c r="V23" s="58">
        <v>139352.147</v>
      </c>
      <c r="W23" s="58">
        <v>147215.421</v>
      </c>
      <c r="X23" s="58">
        <v>156126.92000000001</v>
      </c>
      <c r="Y23" s="58">
        <v>139655.07199999999</v>
      </c>
      <c r="Z23" s="58">
        <v>150651.34</v>
      </c>
      <c r="AA23" s="58">
        <v>150930.42199999999</v>
      </c>
      <c r="AB23" s="58">
        <v>147009.54999999999</v>
      </c>
      <c r="AC23" s="58">
        <v>160377.68700000001</v>
      </c>
      <c r="AD23" s="58">
        <v>177034.125</v>
      </c>
      <c r="AE23" s="58">
        <v>183488.10800000001</v>
      </c>
      <c r="AF23" s="58">
        <v>185428.139</v>
      </c>
    </row>
    <row r="24" spans="1:32" x14ac:dyDescent="0.25">
      <c r="A24" s="7" t="s">
        <v>59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157.01599999999999</v>
      </c>
      <c r="Q24" s="50">
        <v>92.159000000000006</v>
      </c>
      <c r="R24" s="50">
        <v>106.67</v>
      </c>
      <c r="S24" s="50">
        <v>166.78899999999999</v>
      </c>
      <c r="T24" s="50">
        <v>188.995</v>
      </c>
      <c r="U24" s="50">
        <v>188.33699999999999</v>
      </c>
      <c r="V24" s="50">
        <v>266.15100000000001</v>
      </c>
      <c r="W24" s="50">
        <v>323.48899999999998</v>
      </c>
      <c r="X24" s="50">
        <v>338.24</v>
      </c>
      <c r="Y24" s="50">
        <v>292.13099999999997</v>
      </c>
      <c r="Z24" s="50">
        <v>252.36</v>
      </c>
      <c r="AA24" s="50">
        <v>243.84899999999999</v>
      </c>
      <c r="AB24" s="50">
        <v>123.65300000000001</v>
      </c>
      <c r="AC24" s="50">
        <v>88.557000000000002</v>
      </c>
      <c r="AD24" s="50">
        <v>69.613</v>
      </c>
      <c r="AE24" s="50">
        <v>43.402000000000001</v>
      </c>
      <c r="AF24" s="50">
        <v>40.207000000000001</v>
      </c>
    </row>
    <row r="25" spans="1:32" x14ac:dyDescent="0.25">
      <c r="A25" s="7" t="s">
        <v>60</v>
      </c>
      <c r="B25" s="51">
        <v>0</v>
      </c>
      <c r="C25" s="51">
        <v>0</v>
      </c>
      <c r="D25" s="51">
        <v>60</v>
      </c>
      <c r="E25" s="51">
        <v>285</v>
      </c>
      <c r="F25" s="51">
        <v>292.5</v>
      </c>
      <c r="G25" s="51">
        <v>285</v>
      </c>
      <c r="H25" s="51">
        <v>457.5</v>
      </c>
      <c r="I25" s="51">
        <v>645</v>
      </c>
      <c r="J25" s="51">
        <v>742.5</v>
      </c>
      <c r="K25" s="51">
        <v>697.5</v>
      </c>
      <c r="L25" s="51">
        <v>682.5</v>
      </c>
      <c r="M25" s="51">
        <v>765</v>
      </c>
      <c r="N25" s="51">
        <v>1852.652</v>
      </c>
      <c r="O25" s="51">
        <v>2820.913</v>
      </c>
      <c r="P25" s="51">
        <v>3405.0520000000001</v>
      </c>
      <c r="Q25" s="51">
        <v>6228.402</v>
      </c>
      <c r="R25" s="51">
        <v>9677.3320000000003</v>
      </c>
      <c r="S25" s="51">
        <v>12521.523999999999</v>
      </c>
      <c r="T25" s="51">
        <v>19482.602999999999</v>
      </c>
      <c r="U25" s="51">
        <v>23864.513999999999</v>
      </c>
      <c r="V25" s="51">
        <v>28555.944</v>
      </c>
      <c r="W25" s="51">
        <v>29143.066999999999</v>
      </c>
      <c r="X25" s="51">
        <v>28369.151999999998</v>
      </c>
      <c r="Y25" s="51">
        <v>26380.694</v>
      </c>
      <c r="Z25" s="51">
        <v>26295.062999999998</v>
      </c>
      <c r="AA25" s="51">
        <v>26805.86</v>
      </c>
      <c r="AB25" s="51">
        <v>26520.596000000001</v>
      </c>
      <c r="AC25" s="51">
        <v>28055.366999999998</v>
      </c>
      <c r="AD25" s="51">
        <v>30155.330999999998</v>
      </c>
      <c r="AE25" s="51">
        <v>31402.123</v>
      </c>
      <c r="AF25" s="51">
        <v>30813.145</v>
      </c>
    </row>
    <row r="26" spans="1:32" x14ac:dyDescent="0.25">
      <c r="A26" s="7" t="s">
        <v>61</v>
      </c>
      <c r="B26" s="50">
        <v>66.561000000000007</v>
      </c>
      <c r="C26" s="50">
        <v>73.951999999999998</v>
      </c>
      <c r="D26" s="50">
        <v>133.72200000000001</v>
      </c>
      <c r="E26" s="50">
        <v>144.702</v>
      </c>
      <c r="F26" s="50">
        <v>351.46199999999999</v>
      </c>
      <c r="G26" s="50">
        <v>481.197</v>
      </c>
      <c r="H26" s="50">
        <v>697.89700000000005</v>
      </c>
      <c r="I26" s="50">
        <v>1070.941</v>
      </c>
      <c r="J26" s="50">
        <v>1184.5830000000001</v>
      </c>
      <c r="K26" s="50">
        <v>1509.711</v>
      </c>
      <c r="L26" s="50">
        <v>2766.3429999999998</v>
      </c>
      <c r="M26" s="50">
        <v>3817.9769999999999</v>
      </c>
      <c r="N26" s="50">
        <v>5895.8879999999999</v>
      </c>
      <c r="O26" s="50">
        <v>8172.1260000000002</v>
      </c>
      <c r="P26" s="50">
        <v>7465.8310000000001</v>
      </c>
      <c r="Q26" s="50">
        <v>11283.492</v>
      </c>
      <c r="R26" s="50">
        <v>19615.939999999999</v>
      </c>
      <c r="S26" s="50">
        <v>19535.293000000001</v>
      </c>
      <c r="T26" s="50">
        <v>12420.581</v>
      </c>
      <c r="U26" s="50">
        <v>5941.2120000000004</v>
      </c>
      <c r="V26" s="50">
        <v>6419.3419999999996</v>
      </c>
      <c r="W26" s="50">
        <v>4834.0730000000003</v>
      </c>
      <c r="X26" s="50">
        <v>3500.259</v>
      </c>
      <c r="Y26" s="50">
        <v>2296.5549999999998</v>
      </c>
      <c r="Z26" s="50">
        <v>4171.3739999999998</v>
      </c>
      <c r="AA26" s="50">
        <v>4843.2049999999999</v>
      </c>
      <c r="AB26" s="50">
        <v>3794.6729999999998</v>
      </c>
      <c r="AC26" s="50">
        <v>5831.7849999999999</v>
      </c>
      <c r="AD26" s="50">
        <v>5682.0910000000003</v>
      </c>
      <c r="AE26" s="50">
        <v>5335.6570000000002</v>
      </c>
      <c r="AF26" s="50">
        <v>4944.4110000000001</v>
      </c>
    </row>
    <row r="27" spans="1:32" x14ac:dyDescent="0.25">
      <c r="A27" s="7" t="s">
        <v>62</v>
      </c>
      <c r="B27" s="51">
        <v>0</v>
      </c>
      <c r="C27" s="51">
        <v>0</v>
      </c>
      <c r="D27" s="51">
        <v>41.110999999999997</v>
      </c>
      <c r="E27" s="51">
        <v>143.88900000000001</v>
      </c>
      <c r="F27" s="51">
        <v>945.55600000000004</v>
      </c>
      <c r="G27" s="51">
        <v>1706.1110000000001</v>
      </c>
      <c r="H27" s="51">
        <v>2497.5</v>
      </c>
      <c r="I27" s="51">
        <v>3227.223</v>
      </c>
      <c r="J27" s="51">
        <v>2723.6109999999999</v>
      </c>
      <c r="K27" s="51">
        <v>2960</v>
      </c>
      <c r="L27" s="51">
        <v>4655.8329999999996</v>
      </c>
      <c r="M27" s="51">
        <v>4953.5039999999999</v>
      </c>
      <c r="N27" s="51">
        <v>4928.1660000000002</v>
      </c>
      <c r="O27" s="51">
        <v>4996.47</v>
      </c>
      <c r="P27" s="51">
        <v>10702.236999999999</v>
      </c>
      <c r="Q27" s="51">
        <v>17083</v>
      </c>
      <c r="R27" s="51">
        <v>23784.26</v>
      </c>
      <c r="S27" s="51">
        <v>43735.593000000001</v>
      </c>
      <c r="T27" s="51">
        <v>68196.171000000002</v>
      </c>
      <c r="U27" s="51">
        <v>91649.884000000005</v>
      </c>
      <c r="V27" s="51">
        <v>103186.368</v>
      </c>
      <c r="W27" s="51">
        <v>111900.81</v>
      </c>
      <c r="X27" s="51">
        <v>122590.988</v>
      </c>
      <c r="Y27" s="51">
        <v>109281.798</v>
      </c>
      <c r="Z27" s="51">
        <v>118412.436</v>
      </c>
      <c r="AA27" s="51">
        <v>117511.85799999999</v>
      </c>
      <c r="AB27" s="51">
        <v>114989.644</v>
      </c>
      <c r="AC27" s="51">
        <v>124637.689</v>
      </c>
      <c r="AD27" s="51">
        <v>139336.799</v>
      </c>
      <c r="AE27" s="51">
        <v>144823.15299999999</v>
      </c>
      <c r="AF27" s="51">
        <v>147549.04399999999</v>
      </c>
    </row>
    <row r="28" spans="1:32" x14ac:dyDescent="0.25">
      <c r="A28" s="7" t="s">
        <v>63</v>
      </c>
      <c r="B28" s="50">
        <v>0</v>
      </c>
      <c r="C28" s="50">
        <v>0</v>
      </c>
      <c r="D28" s="50">
        <v>20.888999999999999</v>
      </c>
      <c r="E28" s="50">
        <v>31.332999999999998</v>
      </c>
      <c r="F28" s="50">
        <v>31.332999999999998</v>
      </c>
      <c r="G28" s="50">
        <v>52.222000000000001</v>
      </c>
      <c r="H28" s="50">
        <v>52.222000000000001</v>
      </c>
      <c r="I28" s="50">
        <v>104.444</v>
      </c>
      <c r="J28" s="50">
        <v>114.889</v>
      </c>
      <c r="K28" s="50">
        <v>146.22200000000001</v>
      </c>
      <c r="L28" s="50">
        <v>167.11099999999999</v>
      </c>
      <c r="M28" s="50">
        <v>208.88900000000001</v>
      </c>
      <c r="N28" s="50">
        <v>250.667</v>
      </c>
      <c r="O28" s="50">
        <v>39.917999999999999</v>
      </c>
      <c r="P28" s="50">
        <v>112.678</v>
      </c>
      <c r="Q28" s="50">
        <v>1696.31</v>
      </c>
      <c r="R28" s="50">
        <v>7050.42</v>
      </c>
      <c r="S28" s="50">
        <v>8256.7150000000001</v>
      </c>
      <c r="T28" s="50">
        <v>3357.4450000000002</v>
      </c>
      <c r="U28" s="50">
        <v>883.452</v>
      </c>
      <c r="V28" s="50">
        <v>602.65200000000004</v>
      </c>
      <c r="W28" s="50">
        <v>191.67500000000001</v>
      </c>
      <c r="X28" s="50">
        <v>185.374</v>
      </c>
      <c r="Y28" s="50">
        <v>48.134</v>
      </c>
      <c r="Z28" s="50">
        <v>90.676000000000002</v>
      </c>
      <c r="AA28" s="50">
        <v>45.262</v>
      </c>
      <c r="AB28" s="50">
        <v>45.122999999999998</v>
      </c>
      <c r="AC28" s="50">
        <v>19.648</v>
      </c>
      <c r="AD28" s="50">
        <v>7.9740000000000002</v>
      </c>
      <c r="AE28" s="50">
        <v>15.18</v>
      </c>
      <c r="AF28" s="50">
        <v>8.2010000000000005</v>
      </c>
    </row>
    <row r="29" spans="1:32" x14ac:dyDescent="0.25">
      <c r="A29" s="7" t="s">
        <v>64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1">
        <v>0</v>
      </c>
      <c r="S29" s="51">
        <v>0</v>
      </c>
      <c r="T29" s="51">
        <v>221.67</v>
      </c>
      <c r="U29" s="51">
        <v>259.18299999999999</v>
      </c>
      <c r="V29" s="51">
        <v>321.69099999999997</v>
      </c>
      <c r="W29" s="51">
        <v>822.30799999999999</v>
      </c>
      <c r="X29" s="51">
        <v>1142.9069999999999</v>
      </c>
      <c r="Y29" s="51">
        <v>1355.7670000000001</v>
      </c>
      <c r="Z29" s="51">
        <v>1429.432</v>
      </c>
      <c r="AA29" s="51">
        <v>1480.3889999999999</v>
      </c>
      <c r="AB29" s="51">
        <v>1535.8620000000001</v>
      </c>
      <c r="AC29" s="51">
        <v>1744.6469999999999</v>
      </c>
      <c r="AD29" s="51">
        <v>1782.319</v>
      </c>
      <c r="AE29" s="51">
        <v>1868.597</v>
      </c>
      <c r="AF29" s="51">
        <v>2073.1370000000002</v>
      </c>
    </row>
    <row r="30" spans="1:32" x14ac:dyDescent="0.25">
      <c r="A30" s="7" t="s">
        <v>65</v>
      </c>
      <c r="B30" s="58">
        <v>259</v>
      </c>
      <c r="C30" s="58">
        <v>248</v>
      </c>
      <c r="D30" s="58">
        <v>251</v>
      </c>
      <c r="E30" s="58">
        <v>215</v>
      </c>
      <c r="F30" s="58">
        <v>204</v>
      </c>
      <c r="G30" s="58">
        <v>204</v>
      </c>
      <c r="H30" s="58">
        <v>203</v>
      </c>
      <c r="I30" s="58">
        <v>198</v>
      </c>
      <c r="J30" s="58">
        <v>177</v>
      </c>
      <c r="K30" s="58">
        <v>171</v>
      </c>
      <c r="L30" s="58">
        <v>234</v>
      </c>
      <c r="M30" s="58">
        <v>234</v>
      </c>
      <c r="N30" s="58">
        <v>236</v>
      </c>
      <c r="O30" s="58">
        <v>258</v>
      </c>
      <c r="P30" s="58">
        <v>309</v>
      </c>
      <c r="Q30" s="58">
        <v>303.56099999999998</v>
      </c>
      <c r="R30" s="58">
        <v>308.73899999999998</v>
      </c>
      <c r="S30" s="58">
        <v>307.25799999999998</v>
      </c>
      <c r="T30" s="58">
        <v>306.15100000000001</v>
      </c>
      <c r="U30" s="58">
        <v>348.80399999999997</v>
      </c>
      <c r="V30" s="58">
        <v>407.24400000000003</v>
      </c>
      <c r="W30" s="58">
        <v>482.81099999999998</v>
      </c>
      <c r="X30" s="58">
        <v>482.53100000000001</v>
      </c>
      <c r="Y30" s="58">
        <v>618.04999999999995</v>
      </c>
      <c r="Z30" s="58">
        <v>716.37099999999998</v>
      </c>
      <c r="AA30" s="58">
        <v>937.76900000000001</v>
      </c>
      <c r="AB30" s="58">
        <v>1003.893</v>
      </c>
      <c r="AC30" s="58">
        <v>1234.992</v>
      </c>
      <c r="AD30" s="58">
        <v>1586.433</v>
      </c>
      <c r="AE30" s="58">
        <v>2379.9699999999998</v>
      </c>
      <c r="AF30" s="58">
        <v>3283.45</v>
      </c>
    </row>
    <row r="31" spans="1:32" x14ac:dyDescent="0.25">
      <c r="A31" s="7" t="s">
        <v>66</v>
      </c>
      <c r="B31" s="59">
        <v>67</v>
      </c>
      <c r="C31" s="59">
        <v>74.415000000000006</v>
      </c>
      <c r="D31" s="59">
        <v>256.25099999999998</v>
      </c>
      <c r="E31" s="59">
        <v>605.50400000000002</v>
      </c>
      <c r="F31" s="59">
        <v>1621.365</v>
      </c>
      <c r="G31" s="59">
        <v>2525.2559999999999</v>
      </c>
      <c r="H31" s="59">
        <v>3705.8180000000002</v>
      </c>
      <c r="I31" s="59">
        <v>5048.3190000000004</v>
      </c>
      <c r="J31" s="59">
        <v>4766.3419999999996</v>
      </c>
      <c r="K31" s="59">
        <v>5314.0379999999996</v>
      </c>
      <c r="L31" s="59">
        <v>8272.8410000000003</v>
      </c>
      <c r="M31" s="59">
        <v>9746.5300000000007</v>
      </c>
      <c r="N31" s="59">
        <v>12928.66</v>
      </c>
      <c r="O31" s="59">
        <v>16031.239</v>
      </c>
      <c r="P31" s="59">
        <v>21845.165000000001</v>
      </c>
      <c r="Q31" s="59">
        <v>36386.114000000001</v>
      </c>
      <c r="R31" s="59">
        <v>60237.955000000002</v>
      </c>
      <c r="S31" s="59">
        <v>84219.808000000005</v>
      </c>
      <c r="T31" s="59">
        <v>103872.109</v>
      </c>
      <c r="U31" s="59">
        <v>122793.079</v>
      </c>
      <c r="V31" s="59">
        <v>139362.55499999999</v>
      </c>
      <c r="W31" s="59">
        <v>147228.52600000001</v>
      </c>
      <c r="X31" s="59">
        <v>156145.796</v>
      </c>
      <c r="Y31" s="59">
        <v>139683.16500000001</v>
      </c>
      <c r="Z31" s="59">
        <v>150688.44099999999</v>
      </c>
      <c r="AA31" s="59">
        <v>150978.927</v>
      </c>
      <c r="AB31" s="59">
        <v>147066.261</v>
      </c>
      <c r="AC31" s="59">
        <v>160452.70800000001</v>
      </c>
      <c r="AD31" s="59">
        <v>177140.66399999999</v>
      </c>
      <c r="AE31" s="59">
        <v>183662.60399999999</v>
      </c>
      <c r="AF31" s="59">
        <v>185704.43400000001</v>
      </c>
    </row>
    <row r="32" spans="1:32" x14ac:dyDescent="0.25">
      <c r="A32" s="7" t="s">
        <v>67</v>
      </c>
      <c r="B32" s="59">
        <v>2344528.892</v>
      </c>
      <c r="C32" s="59">
        <v>2380516.9539999999</v>
      </c>
      <c r="D32" s="59">
        <v>2448988.4739999999</v>
      </c>
      <c r="E32" s="59">
        <v>2475769.2209999999</v>
      </c>
      <c r="F32" s="59">
        <v>2497794.1940000001</v>
      </c>
      <c r="G32" s="59">
        <v>2532617.5610000002</v>
      </c>
      <c r="H32" s="59">
        <v>2609802.5249999999</v>
      </c>
      <c r="I32" s="59">
        <v>2650922.3020000001</v>
      </c>
      <c r="J32" s="59">
        <v>2757712.28</v>
      </c>
      <c r="K32" s="59">
        <v>2820129.5019999999</v>
      </c>
      <c r="L32" s="59">
        <v>2819554.3450000002</v>
      </c>
      <c r="M32" s="59">
        <v>2870065.2089999998</v>
      </c>
      <c r="N32" s="59">
        <v>2905608.111</v>
      </c>
      <c r="O32" s="59">
        <v>2933980.2230000002</v>
      </c>
      <c r="P32" s="59">
        <v>2999854.3849999998</v>
      </c>
      <c r="Q32" s="59">
        <v>2989110.588</v>
      </c>
      <c r="R32" s="59">
        <v>3033854.56</v>
      </c>
      <c r="S32" s="59">
        <v>3060571.9580000001</v>
      </c>
      <c r="T32" s="59">
        <v>2999396.8229999999</v>
      </c>
      <c r="U32" s="59">
        <v>2914825.4270000001</v>
      </c>
      <c r="V32" s="59">
        <v>2891451.648</v>
      </c>
      <c r="W32" s="59">
        <v>2870086.5830000001</v>
      </c>
      <c r="X32" s="59">
        <v>2748848.3470000001</v>
      </c>
      <c r="Y32" s="59">
        <v>2743984.4810000001</v>
      </c>
      <c r="Z32" s="59">
        <v>2781799.0839999998</v>
      </c>
      <c r="AA32" s="59">
        <v>2821218.8220000002</v>
      </c>
      <c r="AB32" s="59">
        <v>2890103.9049999998</v>
      </c>
      <c r="AC32" s="59">
        <v>2935227.0690000001</v>
      </c>
      <c r="AD32" s="59">
        <v>2932693.679</v>
      </c>
      <c r="AE32" s="59">
        <v>2955712.03</v>
      </c>
      <c r="AF32" s="59">
        <v>2582921.9750000001</v>
      </c>
    </row>
    <row r="34" spans="1:32" x14ac:dyDescent="0.25">
      <c r="A34" s="2" t="s">
        <v>68</v>
      </c>
    </row>
    <row r="35" spans="1:32" x14ac:dyDescent="0.25">
      <c r="A35" s="2" t="s">
        <v>69</v>
      </c>
      <c r="B35" s="1" t="s">
        <v>70</v>
      </c>
    </row>
    <row r="36" spans="1:32" x14ac:dyDescent="0.25">
      <c r="A36" s="7" t="s">
        <v>71</v>
      </c>
      <c r="B36" s="14">
        <f>B23/B12*100</f>
        <v>2.8387323823146691E-3</v>
      </c>
      <c r="C36" s="14">
        <f t="shared" ref="C36:AF36" si="0">C23/C12*100</f>
        <v>3.1062861898334166E-3</v>
      </c>
      <c r="D36" s="14">
        <f t="shared" si="0"/>
        <v>1.0440156857140991E-2</v>
      </c>
      <c r="E36" s="14">
        <f t="shared" si="0"/>
        <v>2.442633518792512E-2</v>
      </c>
      <c r="F36" s="14">
        <f t="shared" si="0"/>
        <v>6.4845724346720937E-2</v>
      </c>
      <c r="G36" s="14">
        <f t="shared" si="0"/>
        <v>9.9575891968822536E-2</v>
      </c>
      <c r="H36" s="14">
        <f t="shared" si="0"/>
        <v>0.1417613100202022</v>
      </c>
      <c r="I36" s="14">
        <f t="shared" si="0"/>
        <v>0.1900387061462977</v>
      </c>
      <c r="J36" s="14">
        <f t="shared" si="0"/>
        <v>0.17250395738108454</v>
      </c>
      <c r="K36" s="14">
        <f t="shared" si="0"/>
        <v>0.18804975518925077</v>
      </c>
      <c r="L36" s="14">
        <f t="shared" si="0"/>
        <v>0.29250209310668995</v>
      </c>
      <c r="M36" s="14">
        <f t="shared" si="0"/>
        <v>0.33838956484565963</v>
      </c>
      <c r="N36" s="14">
        <f t="shared" si="0"/>
        <v>0.44292226797185663</v>
      </c>
      <c r="O36" s="14">
        <f t="shared" si="0"/>
        <v>0.54334542816902598</v>
      </c>
      <c r="P36" s="14">
        <f t="shared" si="0"/>
        <v>0.72282734166985985</v>
      </c>
      <c r="Q36" s="14">
        <f t="shared" si="0"/>
        <v>1.2024963649503719</v>
      </c>
      <c r="R36" s="14">
        <f t="shared" si="0"/>
        <v>1.9466677274927582</v>
      </c>
      <c r="S36" s="14">
        <f t="shared" si="0"/>
        <v>2.6778269298566646</v>
      </c>
      <c r="T36" s="14">
        <f t="shared" si="0"/>
        <v>3.3468759970900019</v>
      </c>
      <c r="U36" s="14">
        <f t="shared" si="0"/>
        <v>4.0419886523809776</v>
      </c>
      <c r="V36" s="14">
        <f t="shared" si="0"/>
        <v>4.5976293512192425</v>
      </c>
      <c r="W36" s="14">
        <f t="shared" si="0"/>
        <v>4.8787216238790965</v>
      </c>
      <c r="X36" s="14">
        <f t="shared" si="0"/>
        <v>5.3740580503461661</v>
      </c>
      <c r="Y36" s="14">
        <f t="shared" si="0"/>
        <v>4.8424949953973018</v>
      </c>
      <c r="Z36" s="14">
        <f t="shared" si="0"/>
        <v>5.136742826190047</v>
      </c>
      <c r="AA36" s="14">
        <f t="shared" si="0"/>
        <v>5.0774564812953304</v>
      </c>
      <c r="AB36" s="14">
        <f t="shared" si="0"/>
        <v>4.8396513277490403</v>
      </c>
      <c r="AC36" s="14">
        <f t="shared" si="0"/>
        <v>5.1797766065714175</v>
      </c>
      <c r="AD36" s="14">
        <f t="shared" si="0"/>
        <v>5.6914055186085006</v>
      </c>
      <c r="AE36" s="14">
        <f t="shared" si="0"/>
        <v>5.8424460960148963</v>
      </c>
      <c r="AF36" s="14">
        <f t="shared" si="0"/>
        <v>6.6930009642973936</v>
      </c>
    </row>
    <row r="37" spans="1:32" x14ac:dyDescent="0.25">
      <c r="A37" s="7" t="s">
        <v>72</v>
      </c>
      <c r="B37" s="14">
        <f>B30/$B$12*100</f>
        <v>1.1045983188646493E-2</v>
      </c>
      <c r="C37" s="14">
        <f t="shared" ref="C37:AF37" si="1">C30/C12*100</f>
        <v>1.0417013401648195E-2</v>
      </c>
      <c r="D37" s="14">
        <f t="shared" si="1"/>
        <v>1.0247375552914448E-2</v>
      </c>
      <c r="E37" s="14">
        <f t="shared" si="1"/>
        <v>8.6815237375338066E-3</v>
      </c>
      <c r="F37" s="14">
        <f t="shared" si="1"/>
        <v>8.1614655543695985E-3</v>
      </c>
      <c r="G37" s="14">
        <f t="shared" si="1"/>
        <v>8.0464411045381885E-3</v>
      </c>
      <c r="H37" s="14">
        <f t="shared" si="1"/>
        <v>7.7669673139064447E-3</v>
      </c>
      <c r="I37" s="14">
        <f t="shared" si="1"/>
        <v>7.4545534869124037E-3</v>
      </c>
      <c r="J37" s="14">
        <f t="shared" si="1"/>
        <v>6.407023118987114E-3</v>
      </c>
      <c r="K37" s="14">
        <f t="shared" si="1"/>
        <v>6.0519257672838091E-3</v>
      </c>
      <c r="L37" s="14">
        <f t="shared" si="1"/>
        <v>8.2745711158864997E-3</v>
      </c>
      <c r="M37" s="14">
        <f t="shared" si="1"/>
        <v>8.1252079883969864E-3</v>
      </c>
      <c r="N37" s="14">
        <f t="shared" si="1"/>
        <v>8.0859162369151232E-3</v>
      </c>
      <c r="O37" s="14">
        <f t="shared" si="1"/>
        <v>8.7453612167777382E-3</v>
      </c>
      <c r="P37" s="14">
        <f t="shared" si="1"/>
        <v>1.022549789491348E-2</v>
      </c>
      <c r="Q37" s="14">
        <f t="shared" si="1"/>
        <v>1.0032909795631038E-2</v>
      </c>
      <c r="R37" s="14">
        <f t="shared" si="1"/>
        <v>9.9778535597107778E-3</v>
      </c>
      <c r="S37" s="14">
        <f t="shared" si="1"/>
        <v>9.7699319253828805E-3</v>
      </c>
      <c r="T37" s="14">
        <f t="shared" si="1"/>
        <v>9.8649703540951185E-3</v>
      </c>
      <c r="U37" s="14">
        <f t="shared" si="1"/>
        <v>1.148221417931092E-2</v>
      </c>
      <c r="V37" s="14">
        <f t="shared" si="1"/>
        <v>1.3436154431893539E-2</v>
      </c>
      <c r="W37" s="14">
        <f t="shared" si="1"/>
        <v>1.6000364974989204E-2</v>
      </c>
      <c r="X37" s="14">
        <f t="shared" si="1"/>
        <v>1.6609240770852237E-2</v>
      </c>
      <c r="Y37" s="14">
        <f t="shared" si="1"/>
        <v>2.1430686254669661E-2</v>
      </c>
      <c r="Z37" s="14">
        <f t="shared" si="1"/>
        <v>2.4426026314406431E-2</v>
      </c>
      <c r="AA37" s="14">
        <f t="shared" si="1"/>
        <v>3.1547525170292308E-2</v>
      </c>
      <c r="AB37" s="14">
        <f t="shared" si="1"/>
        <v>3.3048819551981259E-2</v>
      </c>
      <c r="AC37" s="14">
        <f t="shared" si="1"/>
        <v>3.9886986715944144E-2</v>
      </c>
      <c r="AD37" s="14">
        <f t="shared" si="1"/>
        <v>5.1001655929909781E-2</v>
      </c>
      <c r="AE37" s="14">
        <f t="shared" si="1"/>
        <v>7.5780640972833907E-2</v>
      </c>
      <c r="AF37" s="14">
        <f t="shared" si="1"/>
        <v>0.11851563702649402</v>
      </c>
    </row>
    <row r="38" spans="1:32" x14ac:dyDescent="0.25">
      <c r="A38" s="7" t="s">
        <v>73</v>
      </c>
      <c r="B38" s="14">
        <f>B31/B12*100</f>
        <v>2.8574551105765059E-3</v>
      </c>
      <c r="C38" s="14">
        <f t="shared" ref="C38:AF38" si="2">C31/C12*100</f>
        <v>3.125734081788914E-3</v>
      </c>
      <c r="D38" s="14">
        <f t="shared" si="2"/>
        <v>1.046175391557721E-2</v>
      </c>
      <c r="E38" s="14">
        <f t="shared" si="2"/>
        <v>2.4449755112426374E-2</v>
      </c>
      <c r="F38" s="14">
        <f t="shared" si="2"/>
        <v>6.4866248032159138E-2</v>
      </c>
      <c r="G38" s="14">
        <f t="shared" si="2"/>
        <v>9.9604527832753365E-2</v>
      </c>
      <c r="H38" s="14">
        <f t="shared" si="2"/>
        <v>0.14178801614426675</v>
      </c>
      <c r="I38" s="14">
        <f t="shared" si="2"/>
        <v>0.19006547477018251</v>
      </c>
      <c r="J38" s="14">
        <f t="shared" si="2"/>
        <v>0.17253143156496764</v>
      </c>
      <c r="K38" s="14">
        <f t="shared" si="2"/>
        <v>0.18807113158201938</v>
      </c>
      <c r="L38" s="14">
        <f t="shared" si="2"/>
        <v>0.29253936403812647</v>
      </c>
      <c r="M38" s="14">
        <f t="shared" si="2"/>
        <v>0.33842984365449097</v>
      </c>
      <c r="N38" s="14">
        <f t="shared" si="2"/>
        <v>0.44296636362523334</v>
      </c>
      <c r="O38" s="14">
        <f t="shared" si="2"/>
        <v>0.54340688297478579</v>
      </c>
      <c r="P38" s="14">
        <f t="shared" si="2"/>
        <v>0.72290514149364937</v>
      </c>
      <c r="Q38" s="14">
        <f t="shared" si="2"/>
        <v>1.2025872874827388</v>
      </c>
      <c r="R38" s="14">
        <f t="shared" si="2"/>
        <v>1.9467754113553768</v>
      </c>
      <c r="S38" s="14">
        <f t="shared" si="2"/>
        <v>2.6779507479994553</v>
      </c>
      <c r="T38" s="14">
        <f t="shared" si="2"/>
        <v>3.3470257353473829</v>
      </c>
      <c r="U38" s="14">
        <f t="shared" si="2"/>
        <v>4.0422025917565341</v>
      </c>
      <c r="V38" s="14">
        <f t="shared" si="2"/>
        <v>4.5979727411656315</v>
      </c>
      <c r="W38" s="14">
        <f t="shared" si="2"/>
        <v>4.8791559238080486</v>
      </c>
      <c r="X38" s="14">
        <f t="shared" si="2"/>
        <v>5.3747077827546335</v>
      </c>
      <c r="Y38" s="14">
        <f t="shared" si="2"/>
        <v>4.8434691111952999</v>
      </c>
      <c r="Z38" s="14">
        <f t="shared" si="2"/>
        <v>5.138007855067948</v>
      </c>
      <c r="AA38" s="14">
        <f t="shared" si="2"/>
        <v>5.0790882399783159</v>
      </c>
      <c r="AB38" s="14">
        <f t="shared" si="2"/>
        <v>4.8415182912656816</v>
      </c>
      <c r="AC38" s="14">
        <f t="shared" si="2"/>
        <v>5.1821995871497668</v>
      </c>
      <c r="AD38" s="14">
        <f t="shared" si="2"/>
        <v>5.6948306020637212</v>
      </c>
      <c r="AE38" s="14">
        <f t="shared" si="2"/>
        <v>5.848002224338865</v>
      </c>
      <c r="AF38" s="14">
        <f t="shared" si="2"/>
        <v>6.7029737910291054</v>
      </c>
    </row>
    <row r="39" spans="1:32" x14ac:dyDescent="0.25">
      <c r="A39" s="7" t="s">
        <v>74</v>
      </c>
      <c r="B39" s="14">
        <f>B32/B12*100</f>
        <v>99.990836781189145</v>
      </c>
      <c r="C39" s="14">
        <f t="shared" ref="C39:AF39" si="3">C32/C12*100</f>
        <v>99.991439567212666</v>
      </c>
      <c r="D39" s="14">
        <f t="shared" si="3"/>
        <v>99.982886923652828</v>
      </c>
      <c r="E39" s="14">
        <f t="shared" si="3"/>
        <v>99.969531445428288</v>
      </c>
      <c r="F39" s="14">
        <f t="shared" si="3"/>
        <v>99.929712138408689</v>
      </c>
      <c r="G39" s="14">
        <f t="shared" si="3"/>
        <v>99.894892376988508</v>
      </c>
      <c r="H39" s="14">
        <f t="shared" si="3"/>
        <v>99.853452745938441</v>
      </c>
      <c r="I39" s="14">
        <f t="shared" si="3"/>
        <v>99.805263080343209</v>
      </c>
      <c r="J39" s="14">
        <f t="shared" si="3"/>
        <v>99.823312618500921</v>
      </c>
      <c r="K39" s="14">
        <f t="shared" si="3"/>
        <v>99.808271346380437</v>
      </c>
      <c r="L39" s="14">
        <f t="shared" si="3"/>
        <v>99.703431379526847</v>
      </c>
      <c r="M39" s="14">
        <f t="shared" si="3"/>
        <v>99.657593005927623</v>
      </c>
      <c r="N39" s="14">
        <f t="shared" si="3"/>
        <v>99.552982215454151</v>
      </c>
      <c r="O39" s="14">
        <f t="shared" si="3"/>
        <v>99.452390903167057</v>
      </c>
      <c r="P39" s="14">
        <f t="shared" si="3"/>
        <v>99.271859866875317</v>
      </c>
      <c r="Q39" s="14">
        <f t="shared" si="3"/>
        <v>98.792258882299279</v>
      </c>
      <c r="R39" s="14">
        <f t="shared" si="3"/>
        <v>98.048372642072351</v>
      </c>
      <c r="S39" s="14">
        <f t="shared" si="3"/>
        <v>97.317497615670845</v>
      </c>
      <c r="T39" s="14">
        <f t="shared" si="3"/>
        <v>96.648257686769213</v>
      </c>
      <c r="U39" s="14">
        <f t="shared" si="3"/>
        <v>95.952597585220943</v>
      </c>
      <c r="V39" s="14">
        <f t="shared" si="3"/>
        <v>95.397331513493313</v>
      </c>
      <c r="W39" s="14">
        <f t="shared" si="3"/>
        <v>95.114719502703238</v>
      </c>
      <c r="X39" s="14">
        <f t="shared" si="3"/>
        <v>94.618343770415109</v>
      </c>
      <c r="Y39" s="14">
        <f t="shared" si="3"/>
        <v>95.14678504974286</v>
      </c>
      <c r="Z39" s="14">
        <f t="shared" si="3"/>
        <v>94.850709516682969</v>
      </c>
      <c r="AA39" s="14">
        <f t="shared" si="3"/>
        <v>94.908737437415226</v>
      </c>
      <c r="AB39" s="14">
        <f t="shared" si="3"/>
        <v>95.144126358906163</v>
      </c>
      <c r="AC39" s="14">
        <f t="shared" si="3"/>
        <v>94.800098388882418</v>
      </c>
      <c r="AD39" s="14">
        <f t="shared" si="3"/>
        <v>94.282099505103133</v>
      </c>
      <c r="AE39" s="14">
        <f t="shared" si="3"/>
        <v>94.112846869715199</v>
      </c>
      <c r="AF39" s="14">
        <f t="shared" si="3"/>
        <v>93.230182660571984</v>
      </c>
    </row>
    <row r="43" spans="1:32" x14ac:dyDescent="0.25">
      <c r="R43" s="7" t="s">
        <v>75</v>
      </c>
      <c r="S43" s="7" t="s">
        <v>76</v>
      </c>
      <c r="T43" s="7" t="s">
        <v>77</v>
      </c>
      <c r="U43" s="7" t="s">
        <v>78</v>
      </c>
      <c r="V43" s="7" t="s">
        <v>79</v>
      </c>
      <c r="W43" s="7" t="s">
        <v>80</v>
      </c>
      <c r="AA43" s="7" t="s">
        <v>75</v>
      </c>
      <c r="AB43" s="7" t="s">
        <v>76</v>
      </c>
      <c r="AC43" s="7" t="s">
        <v>77</v>
      </c>
      <c r="AD43" s="7" t="s">
        <v>78</v>
      </c>
      <c r="AE43" s="7" t="s">
        <v>79</v>
      </c>
      <c r="AF43" s="7" t="s">
        <v>80</v>
      </c>
    </row>
    <row r="44" spans="1:32" x14ac:dyDescent="0.25">
      <c r="P44">
        <v>1990</v>
      </c>
      <c r="Q44">
        <v>1</v>
      </c>
      <c r="R44">
        <v>2.8387323823146691E-3</v>
      </c>
      <c r="S44">
        <f>$R$44+($R$74-$R$44)*(1/(1+EXP(-1*(P44-$P$62))))^1</f>
        <v>2.8388342733483983E-3</v>
      </c>
      <c r="T44">
        <f>$R$44+($R$71-$R$44)*(1/(1+EXP(-0.65*(P44-$P$61))))^1</f>
        <v>2.9209778602347688E-3</v>
      </c>
      <c r="U44">
        <f>$R$44+($R$71-$R$44)*(1/(1+EXP(-0.7*(P44-$P$61))))^0.9</f>
        <v>2.9542840979442757E-3</v>
      </c>
      <c r="V44">
        <f>(T44-R44)^2</f>
        <v>6.7643186383055993E-9</v>
      </c>
      <c r="W44">
        <f>(U44-R44)^2</f>
        <v>1.3352198984945458E-8</v>
      </c>
      <c r="Y44">
        <v>1990</v>
      </c>
      <c r="Z44">
        <v>1</v>
      </c>
      <c r="AA44">
        <v>66.561000000000007</v>
      </c>
      <c r="AB44">
        <f>$AA$44+($AA$74-$AA$44)*(1/(1+EXP(-1*(Y44-$Y$62))))^1</f>
        <v>66.563823053035406</v>
      </c>
      <c r="AC44">
        <f>$AA$44+($AA$66-$AA$44)*(1/(1+EXP(-0.65*(Y44-$Y$61))))^1</f>
        <v>69.040314823214459</v>
      </c>
      <c r="AD44">
        <f>$AA$44+($AA$71-$AA$44)*(1/(1+EXP(-0.7*(Y44-$Y$61))))^0.85</f>
        <v>73.048426842391578</v>
      </c>
      <c r="AE44">
        <f>(AC44-AA44)^2</f>
        <v>6.1470019926109076</v>
      </c>
      <c r="AF44">
        <f>(AD44-AA44)^2</f>
        <v>42.086707035382666</v>
      </c>
    </row>
    <row r="45" spans="1:32" x14ac:dyDescent="0.25">
      <c r="P45">
        <f>P44+1</f>
        <v>1991</v>
      </c>
      <c r="Q45">
        <f>Q44+1</f>
        <v>2</v>
      </c>
      <c r="R45">
        <v>3.1062861898334166E-3</v>
      </c>
      <c r="S45">
        <f t="shared" ref="S45:S74" si="4">$R$44+($R$74-$R$44)*(1/(1+EXP(-1*(P45-$P$62))))^1</f>
        <v>2.8390093508528897E-3</v>
      </c>
      <c r="T45">
        <f t="shared" ref="T45:T74" si="5">$R$44+($R$71-$R$44)*(1/(1+EXP(-0.65*(P45-$P$61))))^1</f>
        <v>2.9962746618037465E-3</v>
      </c>
      <c r="U45">
        <f t="shared" ref="U45:U74" si="6">$R$44+($R$71-$R$44)*(1/(1+EXP(-0.7*(P45-$P$61))))^0.9</f>
        <v>3.0556921618873022E-3</v>
      </c>
      <c r="V45">
        <f t="shared" ref="V45:V74" si="7">(T45-R45)^2</f>
        <v>1.2102536299422876E-8</v>
      </c>
      <c r="W45">
        <f t="shared" ref="W45:W74" si="8">(U45-R45)^2</f>
        <v>2.5597556638121979E-9</v>
      </c>
      <c r="Y45">
        <f>Y44+1</f>
        <v>1991</v>
      </c>
      <c r="Z45">
        <f>Z44+1</f>
        <v>2</v>
      </c>
      <c r="AA45">
        <v>73.951999999999998</v>
      </c>
      <c r="AB45">
        <f t="shared" ref="AB45:AB74" si="9">$AA$44+($AA$74-$AA$44)*(1/(1+EXP(-1*(Y45-$Y$62))))^1</f>
        <v>66.568673853566068</v>
      </c>
      <c r="AC45">
        <f t="shared" ref="AC45:AC74" si="10">$AA$44+($AA$66-$AA$44)*(1/(1+EXP(-0.65*(Y45-$Y$61))))^1</f>
        <v>71.310159694831157</v>
      </c>
      <c r="AD45">
        <f t="shared" ref="AD45:AD74" si="11">$AA$44+($AA$71-$AA$44)*(1/(1+EXP(-0.7*(Y45-$Y$61))))^0.8</f>
        <v>87.152138313139432</v>
      </c>
      <c r="AE45">
        <f t="shared" ref="AE45:AE74" si="12">(AC45-AA45)^2</f>
        <v>6.9793201980145971</v>
      </c>
      <c r="AF45">
        <f t="shared" ref="AF45:AF74" si="13">(AD45-AA45)^2</f>
        <v>174.24365148601157</v>
      </c>
    </row>
    <row r="46" spans="1:32" x14ac:dyDescent="0.25">
      <c r="P46">
        <f t="shared" ref="P46:Q61" si="14">P45+1</f>
        <v>1992</v>
      </c>
      <c r="Q46">
        <f t="shared" si="14"/>
        <v>3</v>
      </c>
      <c r="R46">
        <v>1.0440156857140991E-2</v>
      </c>
      <c r="S46">
        <f t="shared" si="4"/>
        <v>2.8394852608056124E-3</v>
      </c>
      <c r="T46">
        <f t="shared" si="5"/>
        <v>3.1405026432502364E-3</v>
      </c>
      <c r="U46">
        <f t="shared" si="6"/>
        <v>3.2460932775422052E-3</v>
      </c>
      <c r="V46">
        <f t="shared" si="7"/>
        <v>5.3284951642373058E-5</v>
      </c>
      <c r="W46">
        <f t="shared" si="8"/>
        <v>5.1754550787309702E-5</v>
      </c>
      <c r="Y46">
        <f t="shared" ref="Y46:Z61" si="15">Y45+1</f>
        <v>1992</v>
      </c>
      <c r="Z46">
        <f t="shared" si="15"/>
        <v>3</v>
      </c>
      <c r="AA46">
        <v>255.72200000000001</v>
      </c>
      <c r="AB46">
        <f t="shared" si="9"/>
        <v>66.581859695219023</v>
      </c>
      <c r="AC46">
        <f t="shared" si="10"/>
        <v>75.657955845641681</v>
      </c>
      <c r="AD46">
        <f t="shared" si="11"/>
        <v>102.60893983608929</v>
      </c>
      <c r="AE46">
        <f t="shared" si="12"/>
        <v>32423.059997222706</v>
      </c>
      <c r="AF46">
        <f t="shared" si="13"/>
        <v>23443.609192757343</v>
      </c>
    </row>
    <row r="47" spans="1:32" x14ac:dyDescent="0.25">
      <c r="P47">
        <f t="shared" si="14"/>
        <v>1993</v>
      </c>
      <c r="Q47">
        <f t="shared" si="14"/>
        <v>4</v>
      </c>
      <c r="R47">
        <v>2.442633518792512E-2</v>
      </c>
      <c r="S47">
        <f t="shared" si="4"/>
        <v>2.8407789178399056E-3</v>
      </c>
      <c r="T47">
        <f t="shared" si="5"/>
        <v>3.4167547901995895E-3</v>
      </c>
      <c r="U47">
        <f t="shared" si="6"/>
        <v>3.6035782936188576E-3</v>
      </c>
      <c r="V47">
        <f t="shared" si="7"/>
        <v>4.4140246848849282E-4</v>
      </c>
      <c r="W47">
        <f t="shared" si="8"/>
        <v>4.33587204679379E-4</v>
      </c>
      <c r="Y47">
        <f t="shared" si="15"/>
        <v>1993</v>
      </c>
      <c r="Z47">
        <f t="shared" si="15"/>
        <v>4</v>
      </c>
      <c r="AA47">
        <v>604.92399999999998</v>
      </c>
      <c r="AB47">
        <f t="shared" si="9"/>
        <v>66.61770251949666</v>
      </c>
      <c r="AC47">
        <f t="shared" si="10"/>
        <v>83.985660422198862</v>
      </c>
      <c r="AD47">
        <f t="shared" si="11"/>
        <v>129.66772769909005</v>
      </c>
      <c r="AE47">
        <f t="shared" si="12"/>
        <v>271376.75364207645</v>
      </c>
      <c r="AF47">
        <f t="shared" si="13"/>
        <v>225868.52436135666</v>
      </c>
    </row>
    <row r="48" spans="1:32" x14ac:dyDescent="0.25">
      <c r="P48">
        <f t="shared" si="14"/>
        <v>1994</v>
      </c>
      <c r="Q48">
        <f t="shared" si="14"/>
        <v>5</v>
      </c>
      <c r="R48">
        <v>6.4845724346720937E-2</v>
      </c>
      <c r="S48">
        <f t="shared" si="4"/>
        <v>2.8442954397201264E-3</v>
      </c>
      <c r="T48">
        <f t="shared" si="5"/>
        <v>3.945844732144807E-3</v>
      </c>
      <c r="U48">
        <f t="shared" si="6"/>
        <v>4.2747425093629561E-3</v>
      </c>
      <c r="V48">
        <f t="shared" si="7"/>
        <v>3.7087953370698655E-3</v>
      </c>
      <c r="W48">
        <f t="shared" si="8"/>
        <v>3.6688438407415508E-3</v>
      </c>
      <c r="Y48">
        <f t="shared" si="15"/>
        <v>1994</v>
      </c>
      <c r="Z48">
        <f t="shared" si="15"/>
        <v>5</v>
      </c>
      <c r="AA48">
        <v>1620.8520000000001</v>
      </c>
      <c r="AB48">
        <f t="shared" si="9"/>
        <v>66.715133347359057</v>
      </c>
      <c r="AC48">
        <f t="shared" si="10"/>
        <v>99.935236849401662</v>
      </c>
      <c r="AD48">
        <f t="shared" si="11"/>
        <v>177.03524489203539</v>
      </c>
      <c r="AE48">
        <f t="shared" si="12"/>
        <v>2313187.8004324934</v>
      </c>
      <c r="AF48">
        <f t="shared" si="13"/>
        <v>2084606.8223304921</v>
      </c>
    </row>
    <row r="49" spans="16:32" x14ac:dyDescent="0.25">
      <c r="P49">
        <f t="shared" si="14"/>
        <v>1995</v>
      </c>
      <c r="Q49">
        <f t="shared" si="14"/>
        <v>6</v>
      </c>
      <c r="R49">
        <v>9.9575891968822536E-2</v>
      </c>
      <c r="S49">
        <f t="shared" si="4"/>
        <v>2.8538543185643835E-3</v>
      </c>
      <c r="T49">
        <f t="shared" si="5"/>
        <v>4.9590361507552087E-3</v>
      </c>
      <c r="U49">
        <f t="shared" si="6"/>
        <v>5.5347255495519741E-3</v>
      </c>
      <c r="V49">
        <f t="shared" si="7"/>
        <v>8.9523494048969407E-3</v>
      </c>
      <c r="W49">
        <f t="shared" si="8"/>
        <v>8.8437409814969403E-3</v>
      </c>
      <c r="Y49">
        <f t="shared" si="15"/>
        <v>1995</v>
      </c>
      <c r="Z49">
        <f t="shared" si="15"/>
        <v>6</v>
      </c>
      <c r="AA49">
        <v>2524.5300000000002</v>
      </c>
      <c r="AB49">
        <f t="shared" si="9"/>
        <v>66.979977278651162</v>
      </c>
      <c r="AC49">
        <f t="shared" si="10"/>
        <v>130.47819880233521</v>
      </c>
      <c r="AD49">
        <f t="shared" si="11"/>
        <v>259.94771134201613</v>
      </c>
      <c r="AE49">
        <f t="shared" si="12"/>
        <v>5731484.0268177846</v>
      </c>
      <c r="AF49">
        <f t="shared" si="13"/>
        <v>5128332.9421034325</v>
      </c>
    </row>
    <row r="50" spans="16:32" x14ac:dyDescent="0.25">
      <c r="P50">
        <f t="shared" si="14"/>
        <v>1996</v>
      </c>
      <c r="Q50">
        <f t="shared" si="14"/>
        <v>7</v>
      </c>
      <c r="R50">
        <v>0.1417613100202022</v>
      </c>
      <c r="S50">
        <f t="shared" si="4"/>
        <v>2.8798379071846977E-3</v>
      </c>
      <c r="T50">
        <f t="shared" si="5"/>
        <v>6.8987384180365235E-3</v>
      </c>
      <c r="U50">
        <f t="shared" si="6"/>
        <v>7.8997195882712333E-3</v>
      </c>
      <c r="V50">
        <f t="shared" si="7"/>
        <v>1.8187913219149268E-2</v>
      </c>
      <c r="W50">
        <f t="shared" si="8"/>
        <v>1.7918925392966033E-2</v>
      </c>
      <c r="Y50">
        <f t="shared" si="15"/>
        <v>1996</v>
      </c>
      <c r="Z50">
        <f t="shared" si="15"/>
        <v>7</v>
      </c>
      <c r="AA50">
        <v>3705.12</v>
      </c>
      <c r="AB50">
        <f t="shared" si="9"/>
        <v>67.699893899774054</v>
      </c>
      <c r="AC50">
        <f t="shared" si="10"/>
        <v>188.95111069379797</v>
      </c>
      <c r="AD50">
        <f t="shared" si="11"/>
        <v>405.05608212082348</v>
      </c>
      <c r="AE50">
        <f t="shared" si="12"/>
        <v>12363443.65812481</v>
      </c>
      <c r="AF50">
        <f t="shared" si="13"/>
        <v>10890421.862088058</v>
      </c>
    </row>
    <row r="51" spans="16:32" x14ac:dyDescent="0.25">
      <c r="P51">
        <f t="shared" si="14"/>
        <v>1997</v>
      </c>
      <c r="Q51">
        <f t="shared" si="14"/>
        <v>8</v>
      </c>
      <c r="R51">
        <v>0.1900387061462977</v>
      </c>
      <c r="S51">
        <f t="shared" si="4"/>
        <v>2.950467603982077E-3</v>
      </c>
      <c r="T51">
        <f t="shared" si="5"/>
        <v>1.0610259663277071E-2</v>
      </c>
      <c r="U51">
        <f t="shared" si="6"/>
        <v>1.2337373011200779E-2</v>
      </c>
      <c r="V51">
        <f t="shared" si="7"/>
        <v>3.2194567407310193E-2</v>
      </c>
      <c r="W51">
        <f t="shared" si="8"/>
        <v>3.1577763797990696E-2</v>
      </c>
      <c r="Y51">
        <f t="shared" si="15"/>
        <v>1997</v>
      </c>
      <c r="Z51">
        <f t="shared" si="15"/>
        <v>8</v>
      </c>
      <c r="AA51">
        <v>5047.6080000000002</v>
      </c>
      <c r="AB51">
        <f t="shared" si="9"/>
        <v>69.65680190860661</v>
      </c>
      <c r="AC51">
        <f t="shared" si="10"/>
        <v>300.83604191080514</v>
      </c>
      <c r="AD51">
        <f t="shared" si="11"/>
        <v>658.93759354982888</v>
      </c>
      <c r="AE51">
        <f t="shared" si="12"/>
        <v>22531844.022101935</v>
      </c>
      <c r="AF51">
        <f t="shared" si="13"/>
        <v>19260427.93645151</v>
      </c>
    </row>
    <row r="52" spans="16:32" x14ac:dyDescent="0.25">
      <c r="P52">
        <f t="shared" si="14"/>
        <v>1998</v>
      </c>
      <c r="Q52">
        <f t="shared" si="14"/>
        <v>9</v>
      </c>
      <c r="R52">
        <v>0.17250395738108454</v>
      </c>
      <c r="S52">
        <f t="shared" si="4"/>
        <v>3.1424514889171352E-3</v>
      </c>
      <c r="T52">
        <f t="shared" si="5"/>
        <v>1.7704978119085734E-2</v>
      </c>
      <c r="U52">
        <f t="shared" si="6"/>
        <v>2.0658668866421995E-2</v>
      </c>
      <c r="V52">
        <f t="shared" si="7"/>
        <v>2.3962723980556738E-2</v>
      </c>
      <c r="W52">
        <f t="shared" si="8"/>
        <v>2.3056991644101112E-2</v>
      </c>
      <c r="Y52">
        <f t="shared" si="15"/>
        <v>1998</v>
      </c>
      <c r="Z52">
        <f t="shared" si="15"/>
        <v>9</v>
      </c>
      <c r="AA52">
        <v>4765.5829999999996</v>
      </c>
      <c r="AB52">
        <f t="shared" si="9"/>
        <v>74.976020580520057</v>
      </c>
      <c r="AC52">
        <f t="shared" si="10"/>
        <v>514.70847695347106</v>
      </c>
      <c r="AD52">
        <f t="shared" si="11"/>
        <v>1102.852803620284</v>
      </c>
      <c r="AE52">
        <f t="shared" si="12"/>
        <v>18069934.21068605</v>
      </c>
      <c r="AF52">
        <f t="shared" si="13"/>
        <v>13415592.491471788</v>
      </c>
    </row>
    <row r="53" spans="16:32" x14ac:dyDescent="0.25">
      <c r="P53">
        <f t="shared" si="14"/>
        <v>1999</v>
      </c>
      <c r="Q53">
        <f t="shared" si="14"/>
        <v>10</v>
      </c>
      <c r="R53">
        <v>0.18804975518925077</v>
      </c>
      <c r="S53">
        <f t="shared" si="4"/>
        <v>3.6642621142009319E-3</v>
      </c>
      <c r="T53">
        <f t="shared" si="5"/>
        <v>3.1240960944001459E-2</v>
      </c>
      <c r="U53">
        <f t="shared" si="6"/>
        <v>3.6241777846752005E-2</v>
      </c>
      <c r="V53">
        <f t="shared" si="7"/>
        <v>2.458899795264893E-2</v>
      </c>
      <c r="W53">
        <f t="shared" si="8"/>
        <v>2.3045661984820616E-2</v>
      </c>
      <c r="Y53">
        <f t="shared" si="15"/>
        <v>1999</v>
      </c>
      <c r="Z53">
        <f t="shared" si="15"/>
        <v>10</v>
      </c>
      <c r="AA53">
        <v>5313.4340000000002</v>
      </c>
      <c r="AB53">
        <f t="shared" si="9"/>
        <v>89.433613321448831</v>
      </c>
      <c r="AC53">
        <f t="shared" si="10"/>
        <v>922.75477582953511</v>
      </c>
      <c r="AD53">
        <f t="shared" si="11"/>
        <v>1878.0762138987659</v>
      </c>
      <c r="AE53">
        <f t="shared" si="12"/>
        <v>19278064.04956216</v>
      </c>
      <c r="AF53">
        <f t="shared" si="13"/>
        <v>11801683.118526375</v>
      </c>
    </row>
    <row r="54" spans="16:32" x14ac:dyDescent="0.25">
      <c r="P54">
        <f t="shared" si="14"/>
        <v>2000</v>
      </c>
      <c r="Q54">
        <f t="shared" si="14"/>
        <v>11</v>
      </c>
      <c r="R54">
        <v>0.29250209310668995</v>
      </c>
      <c r="S54">
        <f t="shared" si="4"/>
        <v>5.0822791596292953E-3</v>
      </c>
      <c r="T54">
        <f t="shared" si="5"/>
        <v>5.6972450913600557E-2</v>
      </c>
      <c r="U54">
        <f t="shared" si="6"/>
        <v>6.5346568186217632E-2</v>
      </c>
      <c r="V54">
        <f t="shared" si="7"/>
        <v>5.5474212351604713E-2</v>
      </c>
      <c r="W54">
        <f t="shared" si="8"/>
        <v>5.1599632501895316E-2</v>
      </c>
      <c r="Y54">
        <f t="shared" si="15"/>
        <v>2000</v>
      </c>
      <c r="Z54">
        <f t="shared" si="15"/>
        <v>11</v>
      </c>
      <c r="AA54">
        <v>8271.7870000000003</v>
      </c>
      <c r="AB54">
        <f t="shared" si="9"/>
        <v>128.72202936577227</v>
      </c>
      <c r="AC54">
        <f t="shared" si="10"/>
        <v>1698.4383285106717</v>
      </c>
      <c r="AD54">
        <f t="shared" si="11"/>
        <v>3228.4867901913549</v>
      </c>
      <c r="AE54">
        <f t="shared" si="12"/>
        <v>43208912.756970525</v>
      </c>
      <c r="AF54">
        <f t="shared" si="13"/>
        <v>25434877.006255925</v>
      </c>
    </row>
    <row r="55" spans="16:32" x14ac:dyDescent="0.25">
      <c r="P55">
        <f t="shared" si="14"/>
        <v>2001</v>
      </c>
      <c r="Q55">
        <f t="shared" si="14"/>
        <v>12</v>
      </c>
      <c r="R55">
        <v>0.33838956484565963</v>
      </c>
      <c r="S55">
        <f t="shared" si="4"/>
        <v>8.9338126744349898E-3</v>
      </c>
      <c r="T55">
        <f t="shared" si="5"/>
        <v>0.10555076257255172</v>
      </c>
      <c r="U55">
        <f t="shared" si="6"/>
        <v>0.1194182024875451</v>
      </c>
      <c r="V55">
        <f t="shared" si="7"/>
        <v>5.4213907843975444E-2</v>
      </c>
      <c r="W55">
        <f t="shared" si="8"/>
        <v>4.7948457532968704E-2</v>
      </c>
      <c r="Y55">
        <f t="shared" si="15"/>
        <v>2001</v>
      </c>
      <c r="Z55">
        <f t="shared" si="15"/>
        <v>12</v>
      </c>
      <c r="AA55">
        <v>9745.3700000000008</v>
      </c>
      <c r="AB55">
        <f t="shared" si="9"/>
        <v>235.43488703288841</v>
      </c>
      <c r="AC55">
        <f t="shared" si="10"/>
        <v>3162.8462355298943</v>
      </c>
      <c r="AD55">
        <f t="shared" si="11"/>
        <v>5569.0969116998313</v>
      </c>
      <c r="AE55">
        <f t="shared" si="12"/>
        <v>43329619.109813705</v>
      </c>
      <c r="AF55">
        <f t="shared" si="13"/>
        <v>17441256.908060234</v>
      </c>
    </row>
    <row r="56" spans="16:32" x14ac:dyDescent="0.25">
      <c r="P56">
        <f t="shared" si="14"/>
        <v>2002</v>
      </c>
      <c r="Q56">
        <f t="shared" si="14"/>
        <v>13</v>
      </c>
      <c r="R56">
        <v>0.44292226797185663</v>
      </c>
      <c r="S56">
        <f t="shared" si="4"/>
        <v>1.9380982438591279E-2</v>
      </c>
      <c r="T56">
        <f t="shared" si="5"/>
        <v>0.19607770919972833</v>
      </c>
      <c r="U56">
        <f t="shared" si="6"/>
        <v>0.21882042334605711</v>
      </c>
      <c r="V56">
        <f t="shared" si="7"/>
        <v>6.0932236195406698E-2</v>
      </c>
      <c r="W56">
        <f t="shared" si="8"/>
        <v>5.0221636764685988E-2</v>
      </c>
      <c r="Y56">
        <f t="shared" si="15"/>
        <v>2002</v>
      </c>
      <c r="Z56">
        <f t="shared" si="15"/>
        <v>13</v>
      </c>
      <c r="AA56">
        <v>12927.373</v>
      </c>
      <c r="AB56">
        <f t="shared" si="9"/>
        <v>524.89033011316292</v>
      </c>
      <c r="AC56">
        <f t="shared" si="10"/>
        <v>5891.8084392773999</v>
      </c>
      <c r="AD56">
        <f t="shared" si="11"/>
        <v>9585.8116260124261</v>
      </c>
      <c r="AE56">
        <f t="shared" si="12"/>
        <v>49499168.688095786</v>
      </c>
      <c r="AF56">
        <f t="shared" si="13"/>
        <v>11166032.41612572</v>
      </c>
    </row>
    <row r="57" spans="16:32" x14ac:dyDescent="0.25">
      <c r="P57">
        <f t="shared" si="14"/>
        <v>2003</v>
      </c>
      <c r="Q57">
        <f t="shared" si="14"/>
        <v>14</v>
      </c>
      <c r="R57">
        <v>0.54334542816902598</v>
      </c>
      <c r="S57">
        <f t="shared" si="4"/>
        <v>4.7614990859803141E-2</v>
      </c>
      <c r="T57">
        <f t="shared" si="5"/>
        <v>0.36076403921939321</v>
      </c>
      <c r="U57">
        <f t="shared" si="6"/>
        <v>0.39782044743386463</v>
      </c>
      <c r="V57">
        <f t="shared" si="7"/>
        <v>3.3335963590777083E-2</v>
      </c>
      <c r="W57">
        <f t="shared" si="8"/>
        <v>2.1177520017969079E-2</v>
      </c>
      <c r="Y57">
        <f t="shared" si="15"/>
        <v>2003</v>
      </c>
      <c r="Z57">
        <f t="shared" si="15"/>
        <v>14</v>
      </c>
      <c r="AA57">
        <v>16029.425999999999</v>
      </c>
      <c r="AB57">
        <f t="shared" si="9"/>
        <v>1307.1584086441992</v>
      </c>
      <c r="AC57">
        <f t="shared" si="10"/>
        <v>10856.327699475609</v>
      </c>
      <c r="AD57">
        <f t="shared" si="11"/>
        <v>16345.79330154474</v>
      </c>
      <c r="AE57">
        <f t="shared" si="12"/>
        <v>26760946.026888337</v>
      </c>
      <c r="AF57">
        <f t="shared" si="13"/>
        <v>100088.26948670061</v>
      </c>
    </row>
    <row r="58" spans="16:32" x14ac:dyDescent="0.25">
      <c r="P58">
        <f t="shared" si="14"/>
        <v>2004</v>
      </c>
      <c r="Q58">
        <f t="shared" si="14"/>
        <v>15</v>
      </c>
      <c r="R58">
        <v>0.72282734166985985</v>
      </c>
      <c r="S58">
        <f t="shared" si="4"/>
        <v>0.12316939496599436</v>
      </c>
      <c r="T58">
        <f t="shared" si="5"/>
        <v>0.64764372974019202</v>
      </c>
      <c r="U58">
        <f t="shared" si="6"/>
        <v>0.70770031415073398</v>
      </c>
      <c r="V58">
        <f t="shared" si="7"/>
        <v>5.6525755027908905E-3</v>
      </c>
      <c r="W58">
        <f t="shared" si="8"/>
        <v>2.2882696156439132E-4</v>
      </c>
      <c r="Y58">
        <f t="shared" si="15"/>
        <v>2004</v>
      </c>
      <c r="Z58">
        <f t="shared" si="15"/>
        <v>15</v>
      </c>
      <c r="AA58">
        <v>21842.813999999998</v>
      </c>
      <c r="AB58">
        <f t="shared" si="9"/>
        <v>3400.5132608126119</v>
      </c>
      <c r="AC58">
        <f t="shared" si="10"/>
        <v>19504.402793383797</v>
      </c>
      <c r="AD58">
        <f t="shared" si="11"/>
        <v>27306.952298410044</v>
      </c>
      <c r="AE58">
        <f t="shared" si="12"/>
        <v>5468166.9712282391</v>
      </c>
      <c r="AF58">
        <f t="shared" si="13"/>
        <v>29856807.344151426</v>
      </c>
    </row>
    <row r="59" spans="16:32" x14ac:dyDescent="0.25">
      <c r="P59">
        <f t="shared" si="14"/>
        <v>2005</v>
      </c>
      <c r="Q59">
        <f t="shared" si="14"/>
        <v>16</v>
      </c>
      <c r="R59">
        <v>1.2024963649503719</v>
      </c>
      <c r="S59">
        <f t="shared" si="4"/>
        <v>0.32012551793046634</v>
      </c>
      <c r="T59">
        <f t="shared" si="5"/>
        <v>1.1115577199956446</v>
      </c>
      <c r="U59">
        <f t="shared" si="6"/>
        <v>1.2070659747328321</v>
      </c>
      <c r="V59">
        <f t="shared" si="7"/>
        <v>8.2698371462019606E-3</v>
      </c>
      <c r="W59">
        <f t="shared" si="8"/>
        <v>2.0881333563955288E-5</v>
      </c>
      <c r="Y59">
        <f t="shared" si="15"/>
        <v>2005</v>
      </c>
      <c r="Z59">
        <f t="shared" si="15"/>
        <v>16</v>
      </c>
      <c r="AA59">
        <v>36383.362999999998</v>
      </c>
      <c r="AB59">
        <f t="shared" si="9"/>
        <v>8857.4956902216527</v>
      </c>
      <c r="AC59">
        <f t="shared" si="10"/>
        <v>33489.230431619399</v>
      </c>
      <c r="AD59">
        <f t="shared" si="11"/>
        <v>43916.903812535355</v>
      </c>
      <c r="AE59">
        <f t="shared" si="12"/>
        <v>8376003.3233612822</v>
      </c>
      <c r="AF59">
        <f t="shared" si="13"/>
        <v>56754237.174135886</v>
      </c>
    </row>
    <row r="60" spans="16:32" x14ac:dyDescent="0.25">
      <c r="P60">
        <f t="shared" si="14"/>
        <v>2006</v>
      </c>
      <c r="Q60">
        <f t="shared" si="14"/>
        <v>17</v>
      </c>
      <c r="R60">
        <v>1.9466677274927582</v>
      </c>
      <c r="S60">
        <f t="shared" si="4"/>
        <v>0.80032561922860379</v>
      </c>
      <c r="T60">
        <f t="shared" si="5"/>
        <v>1.7784742586184756</v>
      </c>
      <c r="U60">
        <f t="shared" si="6"/>
        <v>1.920960178309417</v>
      </c>
      <c r="V60">
        <f t="shared" si="7"/>
        <v>2.8289042971964252E-2</v>
      </c>
      <c r="W60">
        <f t="shared" si="8"/>
        <v>6.6087808501390536E-4</v>
      </c>
      <c r="Y60">
        <f t="shared" si="15"/>
        <v>2006</v>
      </c>
      <c r="Z60">
        <f t="shared" si="15"/>
        <v>17</v>
      </c>
      <c r="AA60">
        <v>60234.623</v>
      </c>
      <c r="AB60">
        <f t="shared" si="9"/>
        <v>22162.202728230663</v>
      </c>
      <c r="AC60">
        <f t="shared" si="10"/>
        <v>53593.631328417687</v>
      </c>
      <c r="AD60">
        <f t="shared" si="11"/>
        <v>66391.609114557243</v>
      </c>
      <c r="AE60">
        <f t="shared" si="12"/>
        <v>44102770.382025644</v>
      </c>
      <c r="AF60">
        <f t="shared" si="13"/>
        <v>37908478.014850698</v>
      </c>
    </row>
    <row r="61" spans="16:32" x14ac:dyDescent="0.25">
      <c r="P61">
        <f t="shared" si="14"/>
        <v>2007</v>
      </c>
      <c r="Q61">
        <f t="shared" si="14"/>
        <v>18</v>
      </c>
      <c r="R61">
        <v>2.6778269298566646</v>
      </c>
      <c r="S61">
        <f t="shared" si="4"/>
        <v>1.8021004722294149</v>
      </c>
      <c r="T61">
        <f t="shared" si="5"/>
        <v>2.591307669476866</v>
      </c>
      <c r="U61">
        <f t="shared" si="6"/>
        <v>2.7770910477597801</v>
      </c>
      <c r="V61">
        <f t="shared" si="7"/>
        <v>7.4855824166673917E-3</v>
      </c>
      <c r="W61">
        <f t="shared" si="8"/>
        <v>9.8533651030836174E-3</v>
      </c>
      <c r="Y61">
        <f t="shared" si="15"/>
        <v>2007</v>
      </c>
      <c r="Z61">
        <f t="shared" si="15"/>
        <v>18</v>
      </c>
      <c r="AA61">
        <v>84215.914000000004</v>
      </c>
      <c r="AB61">
        <f t="shared" si="9"/>
        <v>49917.967254705218</v>
      </c>
      <c r="AC61">
        <f t="shared" si="10"/>
        <v>78096.740500000014</v>
      </c>
      <c r="AD61">
        <f t="shared" si="11"/>
        <v>92141.124361961221</v>
      </c>
      <c r="AE61">
        <f t="shared" si="12"/>
        <v>37444284.323102124</v>
      </c>
      <c r="AF61">
        <f t="shared" si="13"/>
        <v>62808959.281337447</v>
      </c>
    </row>
    <row r="62" spans="16:32" x14ac:dyDescent="0.25">
      <c r="P62">
        <f t="shared" ref="P62:Q74" si="16">P61+1</f>
        <v>2008</v>
      </c>
      <c r="Q62">
        <f t="shared" si="16"/>
        <v>19</v>
      </c>
      <c r="R62">
        <v>3.3468759970900019</v>
      </c>
      <c r="S62">
        <f t="shared" si="4"/>
        <v>3.347919848339854</v>
      </c>
      <c r="T62">
        <f t="shared" si="5"/>
        <v>3.4041410803352563</v>
      </c>
      <c r="U62">
        <f t="shared" si="6"/>
        <v>3.6043238515688611</v>
      </c>
      <c r="V62">
        <f t="shared" si="7"/>
        <v>3.2792897590859125E-3</v>
      </c>
      <c r="W62">
        <f t="shared" si="8"/>
        <v>6.627939777576787E-2</v>
      </c>
      <c r="Y62">
        <f t="shared" ref="Y62:Z74" si="17">Y61+1</f>
        <v>2008</v>
      </c>
      <c r="Z62">
        <f t="shared" si="17"/>
        <v>19</v>
      </c>
      <c r="AA62">
        <v>103867.462</v>
      </c>
      <c r="AB62">
        <f t="shared" si="9"/>
        <v>92747.35</v>
      </c>
      <c r="AC62">
        <f t="shared" si="10"/>
        <v>102599.84967158234</v>
      </c>
      <c r="AD62">
        <f t="shared" si="11"/>
        <v>116179.99881497111</v>
      </c>
      <c r="AE62">
        <f t="shared" si="12"/>
        <v>1606841.0151564348</v>
      </c>
      <c r="AF62">
        <f t="shared" si="13"/>
        <v>151598562.82001904</v>
      </c>
    </row>
    <row r="63" spans="16:32" x14ac:dyDescent="0.25">
      <c r="P63">
        <f t="shared" si="16"/>
        <v>2009</v>
      </c>
      <c r="Q63">
        <f t="shared" si="16"/>
        <v>20</v>
      </c>
      <c r="R63">
        <v>4.0419886523809776</v>
      </c>
      <c r="S63">
        <f t="shared" si="4"/>
        <v>4.8937392244502931</v>
      </c>
      <c r="T63">
        <f t="shared" si="5"/>
        <v>4.071057618958088</v>
      </c>
      <c r="U63">
        <f t="shared" si="6"/>
        <v>4.2482473282355881</v>
      </c>
      <c r="V63">
        <f t="shared" si="7"/>
        <v>8.450048178611641E-4</v>
      </c>
      <c r="W63">
        <f t="shared" si="8"/>
        <v>4.2542641365297305E-2</v>
      </c>
      <c r="Y63">
        <f t="shared" si="17"/>
        <v>2009</v>
      </c>
      <c r="Z63">
        <f t="shared" si="17"/>
        <v>20</v>
      </c>
      <c r="AA63">
        <v>122786.58</v>
      </c>
      <c r="AB63">
        <f t="shared" si="9"/>
        <v>135576.73274529478</v>
      </c>
      <c r="AC63">
        <f t="shared" si="10"/>
        <v>122704.25056838064</v>
      </c>
      <c r="AD63">
        <f t="shared" si="11"/>
        <v>134461.46848483806</v>
      </c>
      <c r="AE63">
        <f t="shared" si="12"/>
        <v>6778.1353107675632</v>
      </c>
      <c r="AF63">
        <f t="shared" si="13"/>
        <v>136303021.13340423</v>
      </c>
    </row>
    <row r="64" spans="16:32" x14ac:dyDescent="0.25">
      <c r="P64">
        <f t="shared" si="16"/>
        <v>2010</v>
      </c>
      <c r="Q64">
        <f t="shared" si="16"/>
        <v>21</v>
      </c>
      <c r="R64">
        <v>4.5976293512192425</v>
      </c>
      <c r="S64">
        <f t="shared" si="4"/>
        <v>5.8955140774511037</v>
      </c>
      <c r="T64">
        <f t="shared" si="5"/>
        <v>4.5349716092135397</v>
      </c>
      <c r="U64">
        <f t="shared" si="6"/>
        <v>4.6685774112106717</v>
      </c>
      <c r="V64">
        <f t="shared" si="7"/>
        <v>3.9259926332532186E-3</v>
      </c>
      <c r="W64">
        <f t="shared" si="8"/>
        <v>5.0336272165474325E-3</v>
      </c>
      <c r="Y64">
        <f t="shared" si="17"/>
        <v>2010</v>
      </c>
      <c r="Z64">
        <f t="shared" si="17"/>
        <v>21</v>
      </c>
      <c r="AA64">
        <v>139352.147</v>
      </c>
      <c r="AB64">
        <f t="shared" si="9"/>
        <v>163332.4972717693</v>
      </c>
      <c r="AC64">
        <f t="shared" si="10"/>
        <v>136689.07820661622</v>
      </c>
      <c r="AD64">
        <f t="shared" si="11"/>
        <v>146226.40518688306</v>
      </c>
      <c r="AE64">
        <f t="shared" si="12"/>
        <v>7091935.3982945215</v>
      </c>
      <c r="AF64">
        <f t="shared" si="13"/>
        <v>47255425.619928777</v>
      </c>
    </row>
    <row r="65" spans="16:33" x14ac:dyDescent="0.25">
      <c r="P65">
        <f t="shared" si="16"/>
        <v>2011</v>
      </c>
      <c r="Q65">
        <f t="shared" si="16"/>
        <v>22</v>
      </c>
      <c r="R65">
        <v>4.8787216238790965</v>
      </c>
      <c r="S65">
        <f t="shared" si="4"/>
        <v>6.3757141787492433</v>
      </c>
      <c r="T65">
        <f t="shared" si="5"/>
        <v>4.8218512997343392</v>
      </c>
      <c r="U65">
        <f t="shared" si="6"/>
        <v>4.9119071582461444</v>
      </c>
      <c r="V65">
        <f t="shared" si="7"/>
        <v>3.2342337683297574E-3</v>
      </c>
      <c r="W65">
        <f t="shared" si="8"/>
        <v>1.1012796912265215E-3</v>
      </c>
      <c r="Y65">
        <f t="shared" si="17"/>
        <v>2011</v>
      </c>
      <c r="Z65">
        <f t="shared" si="17"/>
        <v>22</v>
      </c>
      <c r="AA65">
        <v>147215.421</v>
      </c>
      <c r="AB65">
        <f t="shared" si="9"/>
        <v>176637.20430977838</v>
      </c>
      <c r="AC65">
        <f t="shared" si="10"/>
        <v>145337.15330052443</v>
      </c>
      <c r="AD65">
        <f t="shared" si="11"/>
        <v>152982.78311364941</v>
      </c>
      <c r="AE65">
        <f t="shared" si="12"/>
        <v>3527889.5508932681</v>
      </c>
      <c r="AF65">
        <f t="shared" si="13"/>
        <v>33262465.749958519</v>
      </c>
    </row>
    <row r="66" spans="16:33" x14ac:dyDescent="0.25">
      <c r="P66">
        <f t="shared" si="16"/>
        <v>2012</v>
      </c>
      <c r="Q66">
        <f t="shared" si="16"/>
        <v>23</v>
      </c>
      <c r="R66">
        <v>5.3740580503461661</v>
      </c>
      <c r="S66">
        <f t="shared" si="4"/>
        <v>6.572670301713714</v>
      </c>
      <c r="T66">
        <f t="shared" si="5"/>
        <v>4.9865376297540038</v>
      </c>
      <c r="U66">
        <f t="shared" si="6"/>
        <v>5.04300142101342</v>
      </c>
      <c r="V66">
        <f t="shared" si="7"/>
        <v>0.15017207637592636</v>
      </c>
      <c r="W66">
        <f t="shared" si="8"/>
        <v>0.10959849182515928</v>
      </c>
      <c r="Y66">
        <f t="shared" si="17"/>
        <v>2012</v>
      </c>
      <c r="Z66">
        <f t="shared" si="17"/>
        <v>23</v>
      </c>
      <c r="AA66">
        <v>156126.92000000001</v>
      </c>
      <c r="AB66">
        <f t="shared" si="9"/>
        <v>182094.1867391874</v>
      </c>
      <c r="AC66">
        <f t="shared" si="10"/>
        <v>150301.67256072263</v>
      </c>
      <c r="AD66">
        <f t="shared" si="11"/>
        <v>156607.27507031881</v>
      </c>
      <c r="AE66">
        <f t="shared" si="12"/>
        <v>33933507.728807762</v>
      </c>
      <c r="AF66">
        <f t="shared" si="13"/>
        <v>230740.99358097342</v>
      </c>
    </row>
    <row r="67" spans="16:33" x14ac:dyDescent="0.25">
      <c r="P67">
        <f t="shared" si="16"/>
        <v>2013</v>
      </c>
      <c r="Q67">
        <f t="shared" si="16"/>
        <v>24</v>
      </c>
      <c r="R67">
        <v>4.8424949953973018</v>
      </c>
      <c r="S67">
        <f t="shared" si="4"/>
        <v>6.6482247058199055</v>
      </c>
      <c r="T67">
        <f t="shared" si="5"/>
        <v>5.077064576381181</v>
      </c>
      <c r="U67">
        <f t="shared" si="6"/>
        <v>5.1108896600241884</v>
      </c>
      <c r="V67">
        <f t="shared" si="7"/>
        <v>5.5022888322952691E-2</v>
      </c>
      <c r="W67">
        <f t="shared" si="8"/>
        <v>7.2035696000178964E-2</v>
      </c>
      <c r="Y67">
        <f t="shared" si="17"/>
        <v>2013</v>
      </c>
      <c r="Z67">
        <f t="shared" si="17"/>
        <v>24</v>
      </c>
      <c r="AA67">
        <v>139655.07199999999</v>
      </c>
      <c r="AB67">
        <f t="shared" si="9"/>
        <v>184187.54159135581</v>
      </c>
      <c r="AC67">
        <f t="shared" si="10"/>
        <v>153030.63476447013</v>
      </c>
      <c r="AD67">
        <f t="shared" si="11"/>
        <v>158480.11768181404</v>
      </c>
      <c r="AE67">
        <f t="shared" si="12"/>
        <v>178905679.26628023</v>
      </c>
      <c r="AF67">
        <f t="shared" si="13"/>
        <v>354382344.92238587</v>
      </c>
    </row>
    <row r="68" spans="16:33" x14ac:dyDescent="0.25">
      <c r="P68">
        <f t="shared" si="16"/>
        <v>2014</v>
      </c>
      <c r="Q68">
        <f t="shared" si="16"/>
        <v>25</v>
      </c>
      <c r="R68">
        <v>5.136742826190047</v>
      </c>
      <c r="S68">
        <f t="shared" si="4"/>
        <v>6.676458714241118</v>
      </c>
      <c r="T68">
        <f t="shared" si="5"/>
        <v>5.1256428880401312</v>
      </c>
      <c r="U68">
        <f t="shared" si="6"/>
        <v>5.1453248487781362</v>
      </c>
      <c r="V68">
        <f t="shared" si="7"/>
        <v>1.2320862693195446E-4</v>
      </c>
      <c r="W68">
        <f t="shared" si="8"/>
        <v>7.3651111702474395E-5</v>
      </c>
      <c r="Y68">
        <f t="shared" si="17"/>
        <v>2014</v>
      </c>
      <c r="Z68">
        <f t="shared" si="17"/>
        <v>25</v>
      </c>
      <c r="AA68">
        <v>150651.34</v>
      </c>
      <c r="AB68">
        <f t="shared" si="9"/>
        <v>184969.80966988686</v>
      </c>
      <c r="AC68">
        <f t="shared" si="10"/>
        <v>154495.04267148933</v>
      </c>
      <c r="AD68">
        <f t="shared" si="11"/>
        <v>159429.0271808804</v>
      </c>
      <c r="AE68">
        <f t="shared" si="12"/>
        <v>14774050.226814205</v>
      </c>
      <c r="AF68">
        <f t="shared" si="13"/>
        <v>77047792.245392084</v>
      </c>
    </row>
    <row r="69" spans="16:33" x14ac:dyDescent="0.25">
      <c r="P69">
        <f t="shared" si="16"/>
        <v>2015</v>
      </c>
      <c r="Q69">
        <f t="shared" si="16"/>
        <v>26</v>
      </c>
      <c r="R69">
        <v>5.0774564812953304</v>
      </c>
      <c r="S69">
        <f t="shared" si="4"/>
        <v>6.6869058840052737</v>
      </c>
      <c r="T69">
        <f t="shared" si="5"/>
        <v>5.1513743780097299</v>
      </c>
      <c r="U69">
        <f t="shared" si="6"/>
        <v>5.1626076671844645</v>
      </c>
      <c r="V69">
        <f t="shared" si="7"/>
        <v>5.4638554546806196E-3</v>
      </c>
      <c r="W69">
        <f t="shared" si="8"/>
        <v>7.2507244583258634E-3</v>
      </c>
      <c r="Y69">
        <f t="shared" si="17"/>
        <v>2015</v>
      </c>
      <c r="Z69">
        <f t="shared" si="17"/>
        <v>26</v>
      </c>
      <c r="AA69">
        <v>150930.42199999999</v>
      </c>
      <c r="AB69">
        <f t="shared" si="9"/>
        <v>185259.26511296711</v>
      </c>
      <c r="AC69">
        <f t="shared" si="10"/>
        <v>155270.72622417047</v>
      </c>
      <c r="AD69">
        <f t="shared" si="11"/>
        <v>159905.01294532034</v>
      </c>
      <c r="AE69">
        <f t="shared" si="12"/>
        <v>18838240.758352134</v>
      </c>
      <c r="AF69">
        <f t="shared" si="13"/>
        <v>80543282.635826007</v>
      </c>
    </row>
    <row r="70" spans="16:33" x14ac:dyDescent="0.25">
      <c r="P70">
        <f t="shared" si="16"/>
        <v>2016</v>
      </c>
      <c r="Q70">
        <f t="shared" si="16"/>
        <v>27</v>
      </c>
      <c r="R70">
        <v>4.8396513277490403</v>
      </c>
      <c r="S70">
        <f t="shared" si="4"/>
        <v>6.6907574175200795</v>
      </c>
      <c r="T70">
        <f t="shared" si="5"/>
        <v>5.1649103608346456</v>
      </c>
      <c r="U70">
        <f t="shared" si="6"/>
        <v>5.1712357134406686</v>
      </c>
      <c r="V70">
        <f t="shared" si="7"/>
        <v>0.1057934386037829</v>
      </c>
      <c r="W70">
        <f t="shared" si="8"/>
        <v>0.10994820483449451</v>
      </c>
      <c r="Y70">
        <f t="shared" si="17"/>
        <v>2016</v>
      </c>
      <c r="Z70">
        <f t="shared" si="17"/>
        <v>27</v>
      </c>
      <c r="AA70">
        <v>147009.54999999999</v>
      </c>
      <c r="AB70">
        <f t="shared" si="9"/>
        <v>185365.97797063424</v>
      </c>
      <c r="AC70">
        <f t="shared" si="10"/>
        <v>155678.77252304653</v>
      </c>
      <c r="AD70">
        <f t="shared" si="11"/>
        <v>160142.57147643284</v>
      </c>
      <c r="AE70">
        <f t="shared" si="12"/>
        <v>75155419.154097438</v>
      </c>
      <c r="AF70">
        <f t="shared" si="13"/>
        <v>172476253.10044661</v>
      </c>
    </row>
    <row r="71" spans="16:33" x14ac:dyDescent="0.25">
      <c r="P71">
        <f t="shared" si="16"/>
        <v>2017</v>
      </c>
      <c r="Q71">
        <f t="shared" si="16"/>
        <v>28</v>
      </c>
      <c r="R71">
        <v>5.1797766065714175</v>
      </c>
      <c r="S71">
        <f t="shared" si="4"/>
        <v>6.6921754345655069</v>
      </c>
      <c r="T71">
        <f t="shared" si="5"/>
        <v>5.1720050792904546</v>
      </c>
      <c r="U71">
        <f t="shared" si="6"/>
        <v>5.1755316032545817</v>
      </c>
      <c r="V71">
        <f t="shared" si="7"/>
        <v>6.0396636278750055E-5</v>
      </c>
      <c r="W71">
        <f t="shared" si="8"/>
        <v>1.8020053159946514E-5</v>
      </c>
      <c r="Y71">
        <f t="shared" si="17"/>
        <v>2017</v>
      </c>
      <c r="Z71">
        <f t="shared" si="17"/>
        <v>28</v>
      </c>
      <c r="AA71">
        <v>160377.68700000001</v>
      </c>
      <c r="AB71">
        <f t="shared" si="9"/>
        <v>185405.26638667853</v>
      </c>
      <c r="AC71">
        <f t="shared" si="10"/>
        <v>155892.64495808919</v>
      </c>
      <c r="AD71">
        <f t="shared" si="11"/>
        <v>160260.83503702257</v>
      </c>
      <c r="AE71">
        <f t="shared" si="12"/>
        <v>20115602.11770751</v>
      </c>
      <c r="AF71">
        <f t="shared" si="13"/>
        <v>13654.381251680596</v>
      </c>
    </row>
    <row r="72" spans="16:33" x14ac:dyDescent="0.25">
      <c r="P72">
        <f t="shared" si="16"/>
        <v>2018</v>
      </c>
      <c r="Q72">
        <f t="shared" si="16"/>
        <v>29</v>
      </c>
      <c r="R72">
        <v>5.6914055186085006</v>
      </c>
      <c r="S72">
        <f t="shared" si="4"/>
        <v>6.6926972451907911</v>
      </c>
      <c r="T72">
        <f t="shared" si="5"/>
        <v>5.1757166005356963</v>
      </c>
      <c r="U72">
        <f t="shared" si="6"/>
        <v>5.1776676814200817</v>
      </c>
      <c r="V72">
        <f t="shared" si="7"/>
        <v>0.26593506022309954</v>
      </c>
      <c r="W72">
        <f t="shared" si="8"/>
        <v>0.26392656535903442</v>
      </c>
      <c r="Y72">
        <f t="shared" si="17"/>
        <v>2018</v>
      </c>
      <c r="Z72">
        <f t="shared" si="17"/>
        <v>29</v>
      </c>
      <c r="AA72">
        <v>177034.125</v>
      </c>
      <c r="AB72">
        <f t="shared" si="9"/>
        <v>185419.72397941948</v>
      </c>
      <c r="AC72">
        <f t="shared" si="10"/>
        <v>156004.52988930623</v>
      </c>
      <c r="AD72">
        <f t="shared" si="11"/>
        <v>160319.63606952078</v>
      </c>
      <c r="AE72">
        <f t="shared" si="12"/>
        <v>442243870.51971537</v>
      </c>
      <c r="AF72">
        <f t="shared" si="13"/>
        <v>279374140.20711225</v>
      </c>
    </row>
    <row r="73" spans="16:33" x14ac:dyDescent="0.25">
      <c r="P73">
        <f t="shared" si="16"/>
        <v>2019</v>
      </c>
      <c r="Q73">
        <f t="shared" si="16"/>
        <v>30</v>
      </c>
      <c r="R73">
        <v>5.8424460960148963</v>
      </c>
      <c r="S73">
        <f t="shared" si="4"/>
        <v>6.6928892290757274</v>
      </c>
      <c r="T73">
        <f t="shared" si="5"/>
        <v>5.1776563028029772</v>
      </c>
      <c r="U73">
        <f t="shared" si="6"/>
        <v>5.1787291185886195</v>
      </c>
      <c r="V73">
        <f t="shared" si="7"/>
        <v>0.44194546915874616</v>
      </c>
      <c r="W73">
        <f t="shared" si="8"/>
        <v>0.44052022612387282</v>
      </c>
      <c r="Y73">
        <f t="shared" si="17"/>
        <v>2019</v>
      </c>
      <c r="Z73">
        <f t="shared" si="17"/>
        <v>30</v>
      </c>
      <c r="AA73">
        <v>183488.10800000001</v>
      </c>
      <c r="AB73">
        <f t="shared" si="9"/>
        <v>185425.04319809141</v>
      </c>
      <c r="AC73">
        <f t="shared" si="10"/>
        <v>156063.00280119767</v>
      </c>
      <c r="AD73">
        <f t="shared" si="11"/>
        <v>160348.85384807485</v>
      </c>
      <c r="AE73">
        <f t="shared" si="12"/>
        <v>752136395.16537511</v>
      </c>
      <c r="AF73">
        <f t="shared" si="13"/>
        <v>535425082.70738548</v>
      </c>
    </row>
    <row r="74" spans="16:33" x14ac:dyDescent="0.25">
      <c r="P74">
        <f t="shared" si="16"/>
        <v>2020</v>
      </c>
      <c r="Q74">
        <f t="shared" si="16"/>
        <v>31</v>
      </c>
      <c r="R74">
        <v>6.6930009642973936</v>
      </c>
      <c r="S74">
        <f t="shared" si="4"/>
        <v>6.6929598587725234</v>
      </c>
      <c r="T74">
        <f t="shared" si="5"/>
        <v>5.1786694942215874</v>
      </c>
      <c r="U74">
        <f t="shared" si="6"/>
        <v>5.1792563834999861</v>
      </c>
      <c r="V74">
        <f t="shared" si="7"/>
        <v>2.2931998012619523</v>
      </c>
      <c r="W74">
        <f t="shared" si="8"/>
        <v>2.2914226558935189</v>
      </c>
      <c r="Y74">
        <f t="shared" si="17"/>
        <v>2020</v>
      </c>
      <c r="Z74">
        <f t="shared" si="17"/>
        <v>31</v>
      </c>
      <c r="AA74">
        <v>185428.139</v>
      </c>
      <c r="AB74">
        <f t="shared" si="9"/>
        <v>185427.00010610023</v>
      </c>
      <c r="AC74">
        <f t="shared" si="10"/>
        <v>156093.54576315061</v>
      </c>
      <c r="AD74">
        <f t="shared" si="11"/>
        <v>160363.36742190539</v>
      </c>
      <c r="AE74">
        <f t="shared" si="12"/>
        <v>860518360.37140942</v>
      </c>
      <c r="AF74">
        <f t="shared" si="13"/>
        <v>628242774.26205897</v>
      </c>
    </row>
    <row r="75" spans="16:33" x14ac:dyDescent="0.25">
      <c r="V75">
        <f>SUM(V44:V74)/Q74</f>
        <v>0.11918529442744799</v>
      </c>
      <c r="W75">
        <f>SUM(W44:W74)/Q74</f>
        <v>0.11935676339737321</v>
      </c>
      <c r="AE75">
        <f>SUM(AE44:AE74)/Z74</f>
        <v>88633426.18378666</v>
      </c>
      <c r="AF75">
        <f>SUM(AF44:AF74)/Z74</f>
        <v>90337318.413872227</v>
      </c>
    </row>
    <row r="79" spans="16:33" x14ac:dyDescent="0.25">
      <c r="AA79" s="7" t="s">
        <v>65</v>
      </c>
      <c r="AB79" t="s">
        <v>81</v>
      </c>
      <c r="AC79" t="s">
        <v>76</v>
      </c>
      <c r="AD79" t="s">
        <v>77</v>
      </c>
      <c r="AE79" t="s">
        <v>78</v>
      </c>
      <c r="AF79" t="s">
        <v>79</v>
      </c>
      <c r="AG79" t="s">
        <v>80</v>
      </c>
    </row>
    <row r="80" spans="16:33" x14ac:dyDescent="0.25">
      <c r="Y80">
        <v>1990</v>
      </c>
      <c r="Z80">
        <v>1</v>
      </c>
      <c r="AA80" s="8">
        <v>259</v>
      </c>
      <c r="AC80">
        <f>$AA$80+($AB$125-$AA$80)*(1/(1+EXP(-1*(Y80-$Y$107))))^1</f>
        <v>259.00000001128535</v>
      </c>
      <c r="AD80">
        <f t="shared" ref="AD80:AD110" si="18">$AA$80+($AA$110-$AA$80)*(1/(1+EXP(-0.6*(Y80-$Y$108))))^1</f>
        <v>259.00015293225465</v>
      </c>
      <c r="AE80">
        <f t="shared" ref="AE80:AE110" si="19">$AA$80+($AA$110-$AA$80)*(1/(1+EXP(-0.7*(Y80-$Y$108))))^0.85</f>
        <v>259.00017591397392</v>
      </c>
      <c r="AF80">
        <f t="shared" ref="AF80:AF110" si="20">(AD80-AA80)^2</f>
        <v>2.3388274512422788E-8</v>
      </c>
      <c r="AG80">
        <f t="shared" ref="AG80:AG110" si="21">(AE80-AA80)^2</f>
        <v>3.0945726220062769E-8</v>
      </c>
    </row>
    <row r="81" spans="25:33" x14ac:dyDescent="0.25">
      <c r="Y81">
        <f>Y80+1</f>
        <v>1991</v>
      </c>
      <c r="Z81">
        <f>Z80+1</f>
        <v>2</v>
      </c>
      <c r="AA81" s="8">
        <v>248</v>
      </c>
      <c r="AC81">
        <f t="shared" ref="AC81:AC125" si="22">$AA$80+($AB$125-$AA$80)*(1/(1+EXP(-1*(Y81-$Y$107))))^1</f>
        <v>259.00000003067669</v>
      </c>
      <c r="AD81">
        <f t="shared" si="18"/>
        <v>259.00027866072475</v>
      </c>
      <c r="AE81">
        <f t="shared" si="19"/>
        <v>259.00031893747757</v>
      </c>
      <c r="AF81">
        <f t="shared" si="20"/>
        <v>121.00613061359621</v>
      </c>
      <c r="AG81">
        <f t="shared" si="21"/>
        <v>121.00701672622772</v>
      </c>
    </row>
    <row r="82" spans="25:33" x14ac:dyDescent="0.25">
      <c r="Y82">
        <f t="shared" ref="Y82:Z97" si="23">Y81+1</f>
        <v>1992</v>
      </c>
      <c r="Z82">
        <f t="shared" si="23"/>
        <v>3</v>
      </c>
      <c r="AA82" s="8">
        <v>251</v>
      </c>
      <c r="AC82">
        <f t="shared" si="22"/>
        <v>259.00000008338793</v>
      </c>
      <c r="AD82">
        <f t="shared" si="18"/>
        <v>259.00050775290708</v>
      </c>
      <c r="AE82">
        <f t="shared" si="19"/>
        <v>259.00057824351325</v>
      </c>
      <c r="AF82">
        <f t="shared" si="20"/>
        <v>64.008124304326344</v>
      </c>
      <c r="AG82">
        <f t="shared" si="21"/>
        <v>64.009252230577502</v>
      </c>
    </row>
    <row r="83" spans="25:33" x14ac:dyDescent="0.25">
      <c r="Y83">
        <f t="shared" si="23"/>
        <v>1993</v>
      </c>
      <c r="Z83">
        <f t="shared" si="23"/>
        <v>4</v>
      </c>
      <c r="AA83" s="8">
        <v>215</v>
      </c>
      <c r="AC83">
        <f t="shared" si="22"/>
        <v>259.00000022667189</v>
      </c>
      <c r="AD83">
        <f t="shared" si="18"/>
        <v>259.00092518599024</v>
      </c>
      <c r="AE83">
        <f t="shared" si="19"/>
        <v>259.00104837337193</v>
      </c>
      <c r="AF83">
        <f t="shared" si="20"/>
        <v>1936.0814172231103</v>
      </c>
      <c r="AG83">
        <f t="shared" si="21"/>
        <v>1936.0922579558166</v>
      </c>
    </row>
    <row r="84" spans="25:33" x14ac:dyDescent="0.25">
      <c r="Y84">
        <f t="shared" si="23"/>
        <v>1994</v>
      </c>
      <c r="Z84">
        <f t="shared" si="23"/>
        <v>5</v>
      </c>
      <c r="AA84" s="8">
        <v>204</v>
      </c>
      <c r="AC84">
        <f t="shared" si="22"/>
        <v>259.00000061615805</v>
      </c>
      <c r="AD84">
        <f t="shared" si="18"/>
        <v>259.0016857983627</v>
      </c>
      <c r="AE84">
        <f t="shared" si="19"/>
        <v>259.00190073332408</v>
      </c>
      <c r="AF84">
        <f t="shared" si="20"/>
        <v>3025.1854406618131</v>
      </c>
      <c r="AG84">
        <f t="shared" si="21"/>
        <v>3025.209084278436</v>
      </c>
    </row>
    <row r="85" spans="25:33" x14ac:dyDescent="0.25">
      <c r="Y85">
        <f t="shared" si="23"/>
        <v>1995</v>
      </c>
      <c r="Z85">
        <f t="shared" si="23"/>
        <v>6</v>
      </c>
      <c r="AA85" s="8">
        <v>204</v>
      </c>
      <c r="AC85">
        <f t="shared" si="22"/>
        <v>259.00000167489122</v>
      </c>
      <c r="AD85">
        <f t="shared" si="18"/>
        <v>259.00307172348272</v>
      </c>
      <c r="AE85">
        <f t="shared" si="19"/>
        <v>259.00344608818455</v>
      </c>
      <c r="AF85">
        <f t="shared" si="20"/>
        <v>3025.3378990185843</v>
      </c>
      <c r="AG85">
        <f t="shared" si="21"/>
        <v>3025.3790815758239</v>
      </c>
    </row>
    <row r="86" spans="25:33" x14ac:dyDescent="0.25">
      <c r="Y86">
        <f t="shared" si="23"/>
        <v>1996</v>
      </c>
      <c r="Z86">
        <f t="shared" si="23"/>
        <v>7</v>
      </c>
      <c r="AA86" s="8">
        <v>203</v>
      </c>
      <c r="AC86">
        <f t="shared" si="22"/>
        <v>259.00000455282634</v>
      </c>
      <c r="AD86">
        <f t="shared" si="18"/>
        <v>259.00559704043411</v>
      </c>
      <c r="AE86">
        <f t="shared" si="19"/>
        <v>259.00624786396941</v>
      </c>
      <c r="AF86">
        <f t="shared" si="20"/>
        <v>3136.626899855482</v>
      </c>
      <c r="AG86">
        <f t="shared" si="21"/>
        <v>3136.6997998003776</v>
      </c>
    </row>
    <row r="87" spans="25:33" x14ac:dyDescent="0.25">
      <c r="Y87">
        <f t="shared" si="23"/>
        <v>1997</v>
      </c>
      <c r="Z87">
        <f t="shared" si="23"/>
        <v>8</v>
      </c>
      <c r="AA87" s="8">
        <v>198</v>
      </c>
      <c r="AC87">
        <f t="shared" si="22"/>
        <v>259.00001237586508</v>
      </c>
      <c r="AD87">
        <f t="shared" si="18"/>
        <v>259.01019845708555</v>
      </c>
      <c r="AE87">
        <f t="shared" si="19"/>
        <v>259.01132756871499</v>
      </c>
      <c r="AF87">
        <f t="shared" si="20"/>
        <v>3722.244315772964</v>
      </c>
      <c r="AG87">
        <f t="shared" si="21"/>
        <v>3722.3820916970417</v>
      </c>
    </row>
    <row r="88" spans="25:33" x14ac:dyDescent="0.25">
      <c r="Y88">
        <f t="shared" si="23"/>
        <v>1998</v>
      </c>
      <c r="Z88">
        <f t="shared" si="23"/>
        <v>9</v>
      </c>
      <c r="AA88" s="8">
        <v>177</v>
      </c>
      <c r="AC88">
        <f t="shared" si="22"/>
        <v>259.00003364108898</v>
      </c>
      <c r="AD88">
        <f t="shared" si="18"/>
        <v>259.01858274887564</v>
      </c>
      <c r="AE88">
        <f t="shared" si="19"/>
        <v>259.020537225304</v>
      </c>
      <c r="AF88">
        <f t="shared" si="20"/>
        <v>6727.0479161341618</v>
      </c>
      <c r="AG88">
        <f t="shared" si="21"/>
        <v>6727.3685267274786</v>
      </c>
    </row>
    <row r="89" spans="25:33" x14ac:dyDescent="0.25">
      <c r="Y89">
        <f t="shared" si="23"/>
        <v>1999</v>
      </c>
      <c r="Z89">
        <f t="shared" si="23"/>
        <v>10</v>
      </c>
      <c r="AA89" s="8">
        <v>171</v>
      </c>
      <c r="AC89">
        <f t="shared" si="22"/>
        <v>259.00009144595998</v>
      </c>
      <c r="AD89">
        <f t="shared" si="18"/>
        <v>259.03385980505522</v>
      </c>
      <c r="AE89">
        <f t="shared" si="19"/>
        <v>259.03723459832042</v>
      </c>
      <c r="AF89">
        <f t="shared" si="20"/>
        <v>7749.9604721761161</v>
      </c>
      <c r="AG89">
        <f t="shared" si="21"/>
        <v>7750.5546757197071</v>
      </c>
    </row>
    <row r="90" spans="25:33" x14ac:dyDescent="0.25">
      <c r="Y90">
        <f t="shared" si="23"/>
        <v>2000</v>
      </c>
      <c r="Z90">
        <f t="shared" si="23"/>
        <v>11</v>
      </c>
      <c r="AA90" s="8">
        <v>234</v>
      </c>
      <c r="AC90">
        <f t="shared" si="22"/>
        <v>259.00024857588471</v>
      </c>
      <c r="AD90">
        <f t="shared" si="18"/>
        <v>259.06169601952377</v>
      </c>
      <c r="AE90">
        <f t="shared" si="19"/>
        <v>259.06750738157228</v>
      </c>
      <c r="AF90">
        <f t="shared" si="20"/>
        <v>628.08860737501334</v>
      </c>
      <c r="AG90">
        <f t="shared" si="21"/>
        <v>628.37992632518092</v>
      </c>
    </row>
    <row r="91" spans="25:33" x14ac:dyDescent="0.25">
      <c r="Y91">
        <f t="shared" si="23"/>
        <v>2001</v>
      </c>
      <c r="Z91">
        <f t="shared" si="23"/>
        <v>12</v>
      </c>
      <c r="AA91" s="8">
        <v>234</v>
      </c>
      <c r="AC91">
        <f t="shared" si="22"/>
        <v>259.00067569926239</v>
      </c>
      <c r="AD91">
        <f t="shared" si="18"/>
        <v>259.11241559182082</v>
      </c>
      <c r="AE91">
        <f t="shared" si="19"/>
        <v>259.12239261617731</v>
      </c>
      <c r="AF91">
        <f t="shared" si="20"/>
        <v>630.63341685632543</v>
      </c>
      <c r="AG91">
        <f t="shared" si="21"/>
        <v>631.13461076136014</v>
      </c>
    </row>
    <row r="92" spans="25:33" x14ac:dyDescent="0.25">
      <c r="Y92">
        <f t="shared" si="23"/>
        <v>2002</v>
      </c>
      <c r="Z92">
        <f t="shared" si="23"/>
        <v>13</v>
      </c>
      <c r="AA92" s="8">
        <v>236</v>
      </c>
      <c r="AC92">
        <f t="shared" si="22"/>
        <v>259.00183674067131</v>
      </c>
      <c r="AD92">
        <f t="shared" si="18"/>
        <v>259.20482830431752</v>
      </c>
      <c r="AE92">
        <f t="shared" si="19"/>
        <v>259.22190030218553</v>
      </c>
      <c r="AF92">
        <f t="shared" si="20"/>
        <v>538.46405663285532</v>
      </c>
      <c r="AG92">
        <f t="shared" si="21"/>
        <v>539.25665364464453</v>
      </c>
    </row>
    <row r="93" spans="25:33" x14ac:dyDescent="0.25">
      <c r="Y93">
        <f t="shared" si="23"/>
        <v>2003</v>
      </c>
      <c r="Z93">
        <f t="shared" si="23"/>
        <v>14</v>
      </c>
      <c r="AA93" s="8">
        <v>258</v>
      </c>
      <c r="AC93">
        <f t="shared" si="22"/>
        <v>259.00499277616609</v>
      </c>
      <c r="AD93">
        <f t="shared" si="18"/>
        <v>259.37320072534158</v>
      </c>
      <c r="AE93">
        <f t="shared" si="19"/>
        <v>259.40230737427441</v>
      </c>
      <c r="AF93">
        <f t="shared" si="20"/>
        <v>1.8856802320786301</v>
      </c>
      <c r="AG93">
        <f t="shared" si="21"/>
        <v>1.9664659719444029</v>
      </c>
    </row>
    <row r="94" spans="25:33" x14ac:dyDescent="0.25">
      <c r="Y94">
        <f t="shared" si="23"/>
        <v>2004</v>
      </c>
      <c r="Z94">
        <f t="shared" si="23"/>
        <v>15</v>
      </c>
      <c r="AA94" s="8">
        <v>309</v>
      </c>
      <c r="AC94">
        <f t="shared" si="22"/>
        <v>259.01357175333453</v>
      </c>
      <c r="AD94">
        <f t="shared" si="18"/>
        <v>259.67994708073206</v>
      </c>
      <c r="AE94">
        <f t="shared" si="19"/>
        <v>259.72937841285631</v>
      </c>
      <c r="AF94">
        <f t="shared" si="20"/>
        <v>2432.4676199593896</v>
      </c>
      <c r="AG94">
        <f t="shared" si="21"/>
        <v>2427.5941515835102</v>
      </c>
    </row>
    <row r="95" spans="25:33" x14ac:dyDescent="0.25">
      <c r="Y95">
        <f t="shared" si="23"/>
        <v>2005</v>
      </c>
      <c r="Z95">
        <f t="shared" si="23"/>
        <v>16</v>
      </c>
      <c r="AA95" s="9">
        <v>303.56099999999998</v>
      </c>
      <c r="AC95">
        <f t="shared" si="22"/>
        <v>259.0368917071869</v>
      </c>
      <c r="AD95">
        <f t="shared" si="18"/>
        <v>260.23871541214208</v>
      </c>
      <c r="AE95">
        <f t="shared" si="19"/>
        <v>260.32232245354993</v>
      </c>
      <c r="AF95">
        <f t="shared" si="20"/>
        <v>1876.8203419113495</v>
      </c>
      <c r="AG95">
        <f t="shared" si="21"/>
        <v>1869.5832359658837</v>
      </c>
    </row>
    <row r="96" spans="25:33" x14ac:dyDescent="0.25">
      <c r="Y96">
        <f t="shared" si="23"/>
        <v>2006</v>
      </c>
      <c r="Z96">
        <f t="shared" si="23"/>
        <v>17</v>
      </c>
      <c r="AA96" s="9">
        <v>308.73899999999998</v>
      </c>
      <c r="AC96">
        <f t="shared" si="22"/>
        <v>259.10028099855799</v>
      </c>
      <c r="AD96">
        <f t="shared" si="18"/>
        <v>261.25632690649741</v>
      </c>
      <c r="AE96">
        <f t="shared" si="19"/>
        <v>261.39718089537928</v>
      </c>
      <c r="AF96">
        <f t="shared" si="20"/>
        <v>2254.6042441044328</v>
      </c>
      <c r="AG96">
        <f t="shared" si="21"/>
        <v>2241.2478361346293</v>
      </c>
    </row>
    <row r="97" spans="22:33" x14ac:dyDescent="0.25">
      <c r="Y97">
        <f t="shared" si="23"/>
        <v>2007</v>
      </c>
      <c r="Z97">
        <f t="shared" si="23"/>
        <v>18</v>
      </c>
      <c r="AA97" s="9">
        <v>307.25799999999998</v>
      </c>
      <c r="AC97">
        <f t="shared" si="22"/>
        <v>259.2725841935669</v>
      </c>
      <c r="AD97">
        <f t="shared" si="18"/>
        <v>263.10877566407487</v>
      </c>
      <c r="AE97">
        <f t="shared" si="19"/>
        <v>263.3453213726483</v>
      </c>
      <c r="AF97">
        <f t="shared" si="20"/>
        <v>1949.1540094638422</v>
      </c>
      <c r="AG97">
        <f t="shared" si="21"/>
        <v>1928.3233442290691</v>
      </c>
    </row>
    <row r="98" spans="22:33" x14ac:dyDescent="0.25">
      <c r="Y98">
        <f t="shared" ref="Y98:Z113" si="24">Y97+1</f>
        <v>2008</v>
      </c>
      <c r="Z98">
        <f t="shared" si="24"/>
        <v>19</v>
      </c>
      <c r="AA98" s="9">
        <v>306.15100000000001</v>
      </c>
      <c r="AC98">
        <f t="shared" si="22"/>
        <v>259.74090286498262</v>
      </c>
      <c r="AD98">
        <f t="shared" si="18"/>
        <v>266.47832510608407</v>
      </c>
      <c r="AE98">
        <f t="shared" si="19"/>
        <v>266.87513076195461</v>
      </c>
      <c r="AF98">
        <f t="shared" si="20"/>
        <v>1573.9211332383481</v>
      </c>
      <c r="AG98">
        <f t="shared" si="21"/>
        <v>1542.593904404041</v>
      </c>
    </row>
    <row r="99" spans="22:33" x14ac:dyDescent="0.25">
      <c r="Y99">
        <f t="shared" si="24"/>
        <v>2009</v>
      </c>
      <c r="Z99">
        <f t="shared" si="24"/>
        <v>20</v>
      </c>
      <c r="AA99" s="9">
        <v>348.80399999999997</v>
      </c>
      <c r="AC99">
        <f t="shared" si="22"/>
        <v>261.01355586701499</v>
      </c>
      <c r="AD99">
        <f t="shared" si="18"/>
        <v>272.59875336160854</v>
      </c>
      <c r="AE99">
        <f t="shared" si="19"/>
        <v>273.26665659620903</v>
      </c>
      <c r="AF99">
        <f t="shared" si="20"/>
        <v>5807.2396152180681</v>
      </c>
      <c r="AG99">
        <f t="shared" si="21"/>
        <v>5705.890248502239</v>
      </c>
    </row>
    <row r="100" spans="22:33" x14ac:dyDescent="0.25">
      <c r="Y100">
        <f t="shared" si="24"/>
        <v>2010</v>
      </c>
      <c r="Z100">
        <f t="shared" si="24"/>
        <v>21</v>
      </c>
      <c r="AA100" s="9">
        <v>407.24400000000003</v>
      </c>
      <c r="AC100">
        <f t="shared" si="22"/>
        <v>264.47026021753635</v>
      </c>
      <c r="AD100">
        <f t="shared" si="18"/>
        <v>283.68728832417446</v>
      </c>
      <c r="AE100">
        <f t="shared" si="19"/>
        <v>284.82510675647308</v>
      </c>
      <c r="AF100">
        <f t="shared" si="20"/>
        <v>15266.261000143089</v>
      </c>
      <c r="AG100">
        <f t="shared" si="21"/>
        <v>14986.385422970048</v>
      </c>
    </row>
    <row r="101" spans="22:33" x14ac:dyDescent="0.25">
      <c r="Y101">
        <f t="shared" si="24"/>
        <v>2011</v>
      </c>
      <c r="Z101">
        <f t="shared" si="24"/>
        <v>22</v>
      </c>
      <c r="AA101" s="9">
        <v>482.81099999999998</v>
      </c>
      <c r="AC101">
        <f t="shared" si="22"/>
        <v>273.84646765168526</v>
      </c>
      <c r="AD101">
        <f t="shared" si="18"/>
        <v>303.68332015471969</v>
      </c>
      <c r="AE101">
        <f t="shared" si="19"/>
        <v>305.67358582950919</v>
      </c>
      <c r="AF101">
        <f t="shared" si="20"/>
        <v>32086.725686753231</v>
      </c>
      <c r="AG101">
        <f t="shared" si="21"/>
        <v>31377.663499007991</v>
      </c>
    </row>
    <row r="102" spans="22:33" x14ac:dyDescent="0.25">
      <c r="Y102">
        <f t="shared" si="24"/>
        <v>2012</v>
      </c>
      <c r="Z102">
        <f t="shared" si="24"/>
        <v>23</v>
      </c>
      <c r="AA102" s="9">
        <v>482.53100000000001</v>
      </c>
      <c r="AC102">
        <f t="shared" si="22"/>
        <v>299.18614582586963</v>
      </c>
      <c r="AD102">
        <f t="shared" si="18"/>
        <v>339.44127722355194</v>
      </c>
      <c r="AE102">
        <f t="shared" si="19"/>
        <v>343.08539749649407</v>
      </c>
      <c r="AF102">
        <f t="shared" si="20"/>
        <v>20474.668764240763</v>
      </c>
      <c r="AG102">
        <f t="shared" si="21"/>
        <v>19445.076057565781</v>
      </c>
    </row>
    <row r="103" spans="22:33" x14ac:dyDescent="0.25">
      <c r="Y103">
        <f t="shared" si="24"/>
        <v>2013</v>
      </c>
      <c r="Z103">
        <f t="shared" si="24"/>
        <v>24</v>
      </c>
      <c r="AA103" s="8">
        <v>618.04999999999995</v>
      </c>
      <c r="AC103">
        <f t="shared" si="22"/>
        <v>366.99530193757488</v>
      </c>
      <c r="AD103">
        <f t="shared" si="18"/>
        <v>402.43718213189186</v>
      </c>
      <c r="AE103">
        <f t="shared" si="19"/>
        <v>409.53516030924072</v>
      </c>
      <c r="AF103">
        <f t="shared" si="20"/>
        <v>46488.887229025953</v>
      </c>
      <c r="AG103">
        <f t="shared" si="21"/>
        <v>43478.438371263022</v>
      </c>
    </row>
    <row r="104" spans="22:33" x14ac:dyDescent="0.25">
      <c r="Y104">
        <f t="shared" si="24"/>
        <v>2014</v>
      </c>
      <c r="Z104">
        <f t="shared" si="24"/>
        <v>25</v>
      </c>
      <c r="AA104" s="9">
        <v>716.37099999999998</v>
      </c>
      <c r="AC104">
        <f t="shared" si="22"/>
        <v>543.76101992911822</v>
      </c>
      <c r="AD104">
        <f t="shared" si="18"/>
        <v>510.55166191104354</v>
      </c>
      <c r="AE104">
        <f t="shared" si="19"/>
        <v>525.21563370529293</v>
      </c>
      <c r="AF104">
        <f t="shared" si="20"/>
        <v>42361.599931376157</v>
      </c>
      <c r="AG104">
        <f t="shared" si="21"/>
        <v>36540.374063263625</v>
      </c>
    </row>
    <row r="105" spans="22:33" x14ac:dyDescent="0.25">
      <c r="Y105">
        <f t="shared" si="24"/>
        <v>2015</v>
      </c>
      <c r="Z105">
        <f t="shared" si="24"/>
        <v>26</v>
      </c>
      <c r="AA105" s="9">
        <v>937.76900000000001</v>
      </c>
      <c r="AC105">
        <f t="shared" si="22"/>
        <v>974.73475361135922</v>
      </c>
      <c r="AD105">
        <f t="shared" si="18"/>
        <v>688.0214532382804</v>
      </c>
      <c r="AE105">
        <f t="shared" si="19"/>
        <v>719.03056873613957</v>
      </c>
      <c r="AF105">
        <f t="shared" si="20"/>
        <v>62373.83711349732</v>
      </c>
      <c r="AG105">
        <f t="shared" si="21"/>
        <v>47846.501311774598</v>
      </c>
    </row>
    <row r="106" spans="22:33" x14ac:dyDescent="0.25">
      <c r="Y106">
        <f t="shared" si="24"/>
        <v>2016</v>
      </c>
      <c r="Z106">
        <f t="shared" si="24"/>
        <v>27</v>
      </c>
      <c r="AA106" s="9">
        <v>1003.893</v>
      </c>
      <c r="AC106">
        <f t="shared" si="22"/>
        <v>1873.815465047295</v>
      </c>
      <c r="AD106">
        <f t="shared" si="18"/>
        <v>959.08521854639616</v>
      </c>
      <c r="AE106">
        <f t="shared" si="19"/>
        <v>1021.9021179852421</v>
      </c>
      <c r="AF106">
        <f t="shared" si="20"/>
        <v>2007.7372787939266</v>
      </c>
      <c r="AG106">
        <f t="shared" si="21"/>
        <v>324.3283306063679</v>
      </c>
    </row>
    <row r="107" spans="22:33" x14ac:dyDescent="0.25">
      <c r="Y107">
        <f t="shared" si="24"/>
        <v>2017</v>
      </c>
      <c r="Z107">
        <f t="shared" si="24"/>
        <v>28</v>
      </c>
      <c r="AA107" s="9">
        <v>1234.992</v>
      </c>
      <c r="AC107">
        <f t="shared" si="22"/>
        <v>3261.1695</v>
      </c>
      <c r="AD107">
        <f t="shared" si="18"/>
        <v>1330.6947846353928</v>
      </c>
      <c r="AE107">
        <f t="shared" si="19"/>
        <v>1443.145142142125</v>
      </c>
      <c r="AF107">
        <f t="shared" si="20"/>
        <v>9159.0229869683844</v>
      </c>
      <c r="AG107">
        <f t="shared" si="21"/>
        <v>43327.730583639706</v>
      </c>
    </row>
    <row r="108" spans="22:33" x14ac:dyDescent="0.25">
      <c r="Y108">
        <f t="shared" si="24"/>
        <v>2018</v>
      </c>
      <c r="Z108">
        <f t="shared" si="24"/>
        <v>29</v>
      </c>
      <c r="AA108" s="9">
        <v>1586.433</v>
      </c>
      <c r="AC108">
        <f t="shared" si="22"/>
        <v>4648.5235349527047</v>
      </c>
      <c r="AD108">
        <f t="shared" si="18"/>
        <v>1771.2249999999999</v>
      </c>
      <c r="AE108">
        <f t="shared" si="19"/>
        <v>1936.918694897797</v>
      </c>
      <c r="AF108">
        <f t="shared" si="20"/>
        <v>34148.083263999972</v>
      </c>
      <c r="AG108">
        <f t="shared" si="21"/>
        <v>122840.22232799162</v>
      </c>
    </row>
    <row r="109" spans="22:33" x14ac:dyDescent="0.25">
      <c r="Y109">
        <f t="shared" si="24"/>
        <v>2019</v>
      </c>
      <c r="Z109">
        <f t="shared" si="24"/>
        <v>30</v>
      </c>
      <c r="AA109" s="8">
        <v>2379.9699999999998</v>
      </c>
      <c r="AC109">
        <f t="shared" si="22"/>
        <v>5547.6042463886397</v>
      </c>
      <c r="AD109">
        <f t="shared" si="18"/>
        <v>2211.7552153646066</v>
      </c>
      <c r="AE109">
        <f t="shared" si="19"/>
        <v>2405.8917860279157</v>
      </c>
      <c r="AF109">
        <f t="shared" si="20"/>
        <v>28296.213769931732</v>
      </c>
      <c r="AG109">
        <f t="shared" si="21"/>
        <v>671.93899087705665</v>
      </c>
    </row>
    <row r="110" spans="22:33" x14ac:dyDescent="0.25">
      <c r="Y110">
        <f t="shared" si="24"/>
        <v>2020</v>
      </c>
      <c r="Z110">
        <f t="shared" si="24"/>
        <v>31</v>
      </c>
      <c r="AA110" s="8">
        <v>3283.45</v>
      </c>
      <c r="AB110" s="15">
        <f>AA110</f>
        <v>3283.45</v>
      </c>
      <c r="AC110">
        <f t="shared" si="22"/>
        <v>5978.5779800708824</v>
      </c>
      <c r="AD110">
        <f t="shared" si="18"/>
        <v>2583.3647814536034</v>
      </c>
      <c r="AE110">
        <f t="shared" si="19"/>
        <v>2766.7212151020681</v>
      </c>
      <c r="AF110">
        <f t="shared" si="20"/>
        <v>490119.3132271556</v>
      </c>
      <c r="AG110">
        <f t="shared" si="21"/>
        <v>267008.63714209304</v>
      </c>
    </row>
    <row r="111" spans="22:33" x14ac:dyDescent="0.25">
      <c r="V111">
        <v>30</v>
      </c>
      <c r="W111">
        <v>2379.9699999999998</v>
      </c>
      <c r="Y111">
        <f t="shared" si="24"/>
        <v>2021</v>
      </c>
      <c r="Z111">
        <f t="shared" si="24"/>
        <v>32</v>
      </c>
      <c r="AB111">
        <f t="shared" ref="AB111:AB125" si="25">$AA$110*2-W111</f>
        <v>4186.93</v>
      </c>
      <c r="AC111">
        <f t="shared" si="22"/>
        <v>6155.3436980624256</v>
      </c>
      <c r="AF111">
        <f>SUM(AF80:AF110)/Z110</f>
        <v>26773.649277182627</v>
      </c>
      <c r="AG111">
        <f>SUM(AG80:AG110)/Z110</f>
        <v>21770.063492429606</v>
      </c>
    </row>
    <row r="112" spans="22:33" x14ac:dyDescent="0.25">
      <c r="V112">
        <v>29</v>
      </c>
      <c r="W112">
        <v>1586.433</v>
      </c>
      <c r="Y112">
        <f t="shared" si="24"/>
        <v>2022</v>
      </c>
      <c r="Z112">
        <f t="shared" si="24"/>
        <v>33</v>
      </c>
      <c r="AB112">
        <f t="shared" si="25"/>
        <v>4980.4669999999996</v>
      </c>
      <c r="AC112">
        <f t="shared" si="22"/>
        <v>6223.1528541741309</v>
      </c>
    </row>
    <row r="113" spans="22:29" x14ac:dyDescent="0.25">
      <c r="V113">
        <v>28</v>
      </c>
      <c r="W113">
        <v>1234.992</v>
      </c>
      <c r="Y113">
        <f t="shared" si="24"/>
        <v>2023</v>
      </c>
      <c r="Z113">
        <f t="shared" si="24"/>
        <v>34</v>
      </c>
      <c r="AB113">
        <f t="shared" si="25"/>
        <v>5331.9079999999994</v>
      </c>
      <c r="AC113">
        <f t="shared" si="22"/>
        <v>6248.4925323483158</v>
      </c>
    </row>
    <row r="114" spans="22:29" x14ac:dyDescent="0.25">
      <c r="V114">
        <v>27</v>
      </c>
      <c r="W114">
        <v>1003.893</v>
      </c>
      <c r="Y114">
        <f t="shared" ref="Y114:Z125" si="26">Y113+1</f>
        <v>2024</v>
      </c>
      <c r="Z114">
        <f t="shared" si="26"/>
        <v>35</v>
      </c>
      <c r="AB114">
        <f t="shared" si="25"/>
        <v>5563.0069999999996</v>
      </c>
      <c r="AC114">
        <f t="shared" si="22"/>
        <v>6257.8687397824642</v>
      </c>
    </row>
    <row r="115" spans="22:29" x14ac:dyDescent="0.25">
      <c r="V115">
        <v>26</v>
      </c>
      <c r="W115">
        <v>937.76900000000001</v>
      </c>
      <c r="Y115">
        <f t="shared" si="26"/>
        <v>2025</v>
      </c>
      <c r="Z115">
        <f t="shared" si="26"/>
        <v>36</v>
      </c>
      <c r="AB115">
        <f t="shared" si="25"/>
        <v>5629.1309999999994</v>
      </c>
      <c r="AC115">
        <f t="shared" si="22"/>
        <v>6261.3254441329855</v>
      </c>
    </row>
    <row r="116" spans="22:29" x14ac:dyDescent="0.25">
      <c r="V116">
        <v>25</v>
      </c>
      <c r="W116">
        <v>716.37099999999998</v>
      </c>
      <c r="Y116">
        <f t="shared" si="26"/>
        <v>2026</v>
      </c>
      <c r="Z116">
        <f t="shared" si="26"/>
        <v>37</v>
      </c>
      <c r="AB116">
        <f t="shared" si="25"/>
        <v>5850.5289999999995</v>
      </c>
      <c r="AC116">
        <f t="shared" si="22"/>
        <v>6262.5980971350173</v>
      </c>
    </row>
    <row r="117" spans="22:29" x14ac:dyDescent="0.25">
      <c r="V117">
        <v>24</v>
      </c>
      <c r="W117">
        <v>618.04999999999995</v>
      </c>
      <c r="Y117">
        <f t="shared" si="26"/>
        <v>2027</v>
      </c>
      <c r="Z117">
        <f t="shared" si="26"/>
        <v>38</v>
      </c>
      <c r="AB117">
        <f t="shared" si="25"/>
        <v>5948.8499999999995</v>
      </c>
      <c r="AC117">
        <f t="shared" si="22"/>
        <v>6263.0664158064337</v>
      </c>
    </row>
    <row r="118" spans="22:29" x14ac:dyDescent="0.25">
      <c r="V118">
        <v>23</v>
      </c>
      <c r="W118">
        <v>482.53100000000001</v>
      </c>
      <c r="Y118">
        <f t="shared" si="26"/>
        <v>2028</v>
      </c>
      <c r="Z118">
        <f t="shared" si="26"/>
        <v>39</v>
      </c>
      <c r="AB118">
        <f t="shared" si="25"/>
        <v>6084.3689999999997</v>
      </c>
      <c r="AC118">
        <f t="shared" si="22"/>
        <v>6263.2387190014424</v>
      </c>
    </row>
    <row r="119" spans="22:29" x14ac:dyDescent="0.25">
      <c r="V119">
        <v>22</v>
      </c>
      <c r="W119">
        <v>482.81099999999998</v>
      </c>
      <c r="Y119">
        <f t="shared" si="26"/>
        <v>2029</v>
      </c>
      <c r="Z119">
        <f t="shared" si="26"/>
        <v>40</v>
      </c>
      <c r="AB119">
        <f t="shared" si="25"/>
        <v>6084.0889999999999</v>
      </c>
      <c r="AC119">
        <f t="shared" si="22"/>
        <v>6263.3021082928135</v>
      </c>
    </row>
    <row r="120" spans="22:29" x14ac:dyDescent="0.25">
      <c r="V120">
        <v>21</v>
      </c>
      <c r="W120">
        <v>407.24400000000003</v>
      </c>
      <c r="Y120">
        <f t="shared" si="26"/>
        <v>2030</v>
      </c>
      <c r="Z120">
        <f t="shared" si="26"/>
        <v>41</v>
      </c>
      <c r="AB120">
        <f t="shared" si="25"/>
        <v>6159.6559999999999</v>
      </c>
      <c r="AC120">
        <f t="shared" si="22"/>
        <v>6263.3254282466651</v>
      </c>
    </row>
    <row r="121" spans="22:29" x14ac:dyDescent="0.25">
      <c r="V121">
        <v>20</v>
      </c>
      <c r="W121">
        <v>348.80399999999997</v>
      </c>
      <c r="Y121">
        <f t="shared" si="26"/>
        <v>2031</v>
      </c>
      <c r="Z121">
        <f t="shared" si="26"/>
        <v>42</v>
      </c>
      <c r="AB121">
        <f t="shared" si="25"/>
        <v>6218.0959999999995</v>
      </c>
      <c r="AC121">
        <f t="shared" si="22"/>
        <v>6263.3340072238334</v>
      </c>
    </row>
    <row r="122" spans="22:29" x14ac:dyDescent="0.25">
      <c r="V122">
        <v>19</v>
      </c>
      <c r="W122">
        <v>306.15100000000001</v>
      </c>
      <c r="Y122">
        <f t="shared" si="26"/>
        <v>2032</v>
      </c>
      <c r="Z122">
        <f t="shared" si="26"/>
        <v>43</v>
      </c>
      <c r="AB122">
        <f t="shared" si="25"/>
        <v>6260.7489999999998</v>
      </c>
      <c r="AC122">
        <f t="shared" si="22"/>
        <v>6263.337163259328</v>
      </c>
    </row>
    <row r="123" spans="22:29" x14ac:dyDescent="0.25">
      <c r="V123">
        <v>18</v>
      </c>
      <c r="W123">
        <v>307.25799999999998</v>
      </c>
      <c r="Y123">
        <f t="shared" si="26"/>
        <v>2033</v>
      </c>
      <c r="Z123">
        <f t="shared" si="26"/>
        <v>44</v>
      </c>
      <c r="AB123">
        <f t="shared" si="25"/>
        <v>6259.6419999999998</v>
      </c>
      <c r="AC123">
        <f t="shared" si="22"/>
        <v>6263.3383243007374</v>
      </c>
    </row>
    <row r="124" spans="22:29" x14ac:dyDescent="0.25">
      <c r="V124">
        <v>17</v>
      </c>
      <c r="W124">
        <v>308.73899999999998</v>
      </c>
      <c r="Y124">
        <f t="shared" si="26"/>
        <v>2034</v>
      </c>
      <c r="Z124">
        <f t="shared" si="26"/>
        <v>45</v>
      </c>
      <c r="AB124">
        <f t="shared" si="25"/>
        <v>6258.1610000000001</v>
      </c>
      <c r="AC124">
        <f t="shared" si="22"/>
        <v>6263.3387514241149</v>
      </c>
    </row>
    <row r="125" spans="22:29" x14ac:dyDescent="0.25">
      <c r="V125">
        <v>16</v>
      </c>
      <c r="W125">
        <v>303.56099999999998</v>
      </c>
      <c r="Y125">
        <f t="shared" si="26"/>
        <v>2035</v>
      </c>
      <c r="Z125">
        <f t="shared" si="26"/>
        <v>46</v>
      </c>
      <c r="AB125">
        <f t="shared" si="25"/>
        <v>6263.3389999999999</v>
      </c>
      <c r="AC125">
        <f t="shared" si="22"/>
        <v>6263.3389085540402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3858-939D-41FC-BB7F-F8CEBD23670B}">
  <dimension ref="A2:J33"/>
  <sheetViews>
    <sheetView workbookViewId="0">
      <selection activeCell="G13" sqref="G13"/>
    </sheetView>
  </sheetViews>
  <sheetFormatPr defaultColWidth="10.85546875" defaultRowHeight="15" x14ac:dyDescent="0.25"/>
  <sheetData>
    <row r="2" spans="1:9" x14ac:dyDescent="0.25">
      <c r="E2">
        <v>2019</v>
      </c>
      <c r="F2">
        <v>1</v>
      </c>
      <c r="G2">
        <v>0</v>
      </c>
    </row>
    <row r="3" spans="1:9" x14ac:dyDescent="0.25">
      <c r="A3" s="55">
        <v>1990</v>
      </c>
      <c r="B3" s="55">
        <v>1</v>
      </c>
      <c r="C3" s="55">
        <v>0</v>
      </c>
      <c r="E3">
        <f>E2+1</f>
        <v>2020</v>
      </c>
      <c r="F3">
        <f>1+F2</f>
        <v>2</v>
      </c>
      <c r="G3">
        <v>0</v>
      </c>
    </row>
    <row r="4" spans="1:9" x14ac:dyDescent="0.25">
      <c r="A4" s="55">
        <f>A3+1</f>
        <v>1991</v>
      </c>
      <c r="B4" s="55">
        <f>B3+1</f>
        <v>2</v>
      </c>
      <c r="C4" s="55">
        <v>0</v>
      </c>
      <c r="E4">
        <f t="shared" ref="E4:E32" si="0">E3+1</f>
        <v>2021</v>
      </c>
      <c r="F4">
        <f t="shared" ref="F4:F32" si="1">1+F3</f>
        <v>3</v>
      </c>
      <c r="G4">
        <v>0</v>
      </c>
    </row>
    <row r="5" spans="1:9" x14ac:dyDescent="0.25">
      <c r="A5" s="55">
        <f t="shared" ref="A5:A33" si="2">A4+1</f>
        <v>1992</v>
      </c>
      <c r="B5" s="55">
        <f t="shared" ref="B5:B33" si="3">B4+1</f>
        <v>3</v>
      </c>
      <c r="C5" s="55">
        <v>0</v>
      </c>
      <c r="E5">
        <f t="shared" si="0"/>
        <v>2022</v>
      </c>
      <c r="F5">
        <f t="shared" si="1"/>
        <v>4</v>
      </c>
      <c r="G5">
        <v>0</v>
      </c>
    </row>
    <row r="6" spans="1:9" x14ac:dyDescent="0.25">
      <c r="A6" s="55">
        <f t="shared" si="2"/>
        <v>1993</v>
      </c>
      <c r="B6" s="55">
        <f t="shared" si="3"/>
        <v>4</v>
      </c>
      <c r="C6" s="55">
        <v>0</v>
      </c>
      <c r="E6">
        <f t="shared" si="0"/>
        <v>2023</v>
      </c>
      <c r="F6">
        <f t="shared" si="1"/>
        <v>5</v>
      </c>
      <c r="G6">
        <v>0</v>
      </c>
    </row>
    <row r="7" spans="1:9" x14ac:dyDescent="0.25">
      <c r="A7" s="55">
        <f t="shared" si="2"/>
        <v>1994</v>
      </c>
      <c r="B7" s="55">
        <f t="shared" si="3"/>
        <v>5</v>
      </c>
      <c r="C7" s="55">
        <v>0</v>
      </c>
      <c r="E7">
        <f t="shared" si="0"/>
        <v>2024</v>
      </c>
      <c r="F7">
        <f t="shared" si="1"/>
        <v>6</v>
      </c>
      <c r="G7">
        <v>0</v>
      </c>
    </row>
    <row r="8" spans="1:9" x14ac:dyDescent="0.25">
      <c r="A8" s="55">
        <f t="shared" si="2"/>
        <v>1995</v>
      </c>
      <c r="B8" s="55">
        <f t="shared" si="3"/>
        <v>6</v>
      </c>
      <c r="C8" s="55">
        <v>0</v>
      </c>
      <c r="E8">
        <f t="shared" si="0"/>
        <v>2025</v>
      </c>
      <c r="F8">
        <f t="shared" si="1"/>
        <v>7</v>
      </c>
      <c r="G8">
        <v>0</v>
      </c>
    </row>
    <row r="9" spans="1:9" x14ac:dyDescent="0.25">
      <c r="A9" s="55">
        <f t="shared" si="2"/>
        <v>1996</v>
      </c>
      <c r="B9" s="55">
        <f t="shared" si="3"/>
        <v>7</v>
      </c>
      <c r="C9" s="55">
        <v>0</v>
      </c>
      <c r="E9">
        <f t="shared" si="0"/>
        <v>2026</v>
      </c>
      <c r="F9">
        <f t="shared" si="1"/>
        <v>8</v>
      </c>
      <c r="G9">
        <v>0</v>
      </c>
      <c r="I9">
        <f>16*12/31</f>
        <v>6.193548387096774</v>
      </c>
    </row>
    <row r="10" spans="1:9" x14ac:dyDescent="0.25">
      <c r="A10" s="55">
        <f t="shared" si="2"/>
        <v>1997</v>
      </c>
      <c r="B10" s="55">
        <f t="shared" si="3"/>
        <v>8</v>
      </c>
      <c r="C10" s="55">
        <v>0</v>
      </c>
      <c r="E10">
        <f t="shared" si="0"/>
        <v>2027</v>
      </c>
      <c r="F10">
        <f t="shared" si="1"/>
        <v>9</v>
      </c>
      <c r="G10">
        <v>0</v>
      </c>
    </row>
    <row r="11" spans="1:9" x14ac:dyDescent="0.25">
      <c r="A11" s="55">
        <f t="shared" si="2"/>
        <v>1998</v>
      </c>
      <c r="B11" s="55">
        <f t="shared" si="3"/>
        <v>9</v>
      </c>
      <c r="C11" s="55">
        <v>0</v>
      </c>
      <c r="E11">
        <f t="shared" si="0"/>
        <v>2028</v>
      </c>
      <c r="F11">
        <f t="shared" si="1"/>
        <v>10</v>
      </c>
      <c r="G11">
        <v>0</v>
      </c>
    </row>
    <row r="12" spans="1:9" x14ac:dyDescent="0.25">
      <c r="A12" s="55">
        <f t="shared" si="2"/>
        <v>1999</v>
      </c>
      <c r="B12" s="55">
        <f t="shared" si="3"/>
        <v>10</v>
      </c>
      <c r="C12" s="55">
        <v>0</v>
      </c>
      <c r="E12">
        <f t="shared" si="0"/>
        <v>2029</v>
      </c>
      <c r="F12">
        <f t="shared" si="1"/>
        <v>11</v>
      </c>
      <c r="G12">
        <v>0</v>
      </c>
    </row>
    <row r="13" spans="1:9" x14ac:dyDescent="0.25">
      <c r="A13">
        <f t="shared" si="2"/>
        <v>2000</v>
      </c>
      <c r="B13">
        <f t="shared" si="3"/>
        <v>11</v>
      </c>
      <c r="C13">
        <v>0</v>
      </c>
      <c r="E13" s="49">
        <f t="shared" si="0"/>
        <v>2030</v>
      </c>
      <c r="F13" s="49">
        <f t="shared" si="1"/>
        <v>12</v>
      </c>
      <c r="G13" s="49">
        <v>1</v>
      </c>
    </row>
    <row r="14" spans="1:9" x14ac:dyDescent="0.25">
      <c r="A14">
        <f t="shared" si="2"/>
        <v>2001</v>
      </c>
      <c r="B14">
        <f t="shared" si="3"/>
        <v>12</v>
      </c>
      <c r="C14">
        <v>0</v>
      </c>
      <c r="E14">
        <f t="shared" si="0"/>
        <v>2031</v>
      </c>
      <c r="F14">
        <f t="shared" si="1"/>
        <v>13</v>
      </c>
      <c r="G14">
        <v>0</v>
      </c>
    </row>
    <row r="15" spans="1:9" x14ac:dyDescent="0.25">
      <c r="A15">
        <f t="shared" si="2"/>
        <v>2002</v>
      </c>
      <c r="B15">
        <f t="shared" si="3"/>
        <v>13</v>
      </c>
      <c r="C15">
        <v>0</v>
      </c>
      <c r="E15">
        <f t="shared" si="0"/>
        <v>2032</v>
      </c>
      <c r="F15">
        <f t="shared" si="1"/>
        <v>14</v>
      </c>
      <c r="G15">
        <v>0</v>
      </c>
    </row>
    <row r="16" spans="1:9" x14ac:dyDescent="0.25">
      <c r="A16">
        <f t="shared" si="2"/>
        <v>2003</v>
      </c>
      <c r="B16">
        <f t="shared" si="3"/>
        <v>14</v>
      </c>
      <c r="C16">
        <v>0</v>
      </c>
      <c r="E16">
        <f t="shared" si="0"/>
        <v>2033</v>
      </c>
      <c r="F16">
        <f t="shared" si="1"/>
        <v>15</v>
      </c>
      <c r="G16">
        <v>0</v>
      </c>
    </row>
    <row r="17" spans="1:10" x14ac:dyDescent="0.25">
      <c r="A17">
        <f t="shared" si="2"/>
        <v>2004</v>
      </c>
      <c r="B17">
        <f t="shared" si="3"/>
        <v>15</v>
      </c>
      <c r="C17">
        <v>0</v>
      </c>
      <c r="E17">
        <f t="shared" si="0"/>
        <v>2034</v>
      </c>
      <c r="F17">
        <f t="shared" si="1"/>
        <v>16</v>
      </c>
      <c r="G17">
        <v>0</v>
      </c>
    </row>
    <row r="18" spans="1:10" x14ac:dyDescent="0.25">
      <c r="A18" s="49">
        <f t="shared" si="2"/>
        <v>2005</v>
      </c>
      <c r="B18" s="49">
        <f t="shared" si="3"/>
        <v>16</v>
      </c>
      <c r="C18" s="49">
        <v>0</v>
      </c>
      <c r="E18">
        <f t="shared" si="0"/>
        <v>2035</v>
      </c>
      <c r="F18">
        <f t="shared" si="1"/>
        <v>17</v>
      </c>
      <c r="G18">
        <v>0</v>
      </c>
    </row>
    <row r="19" spans="1:10" x14ac:dyDescent="0.25">
      <c r="A19">
        <f t="shared" si="2"/>
        <v>2006</v>
      </c>
      <c r="B19">
        <f t="shared" si="3"/>
        <v>17</v>
      </c>
      <c r="C19">
        <v>0</v>
      </c>
      <c r="E19">
        <f t="shared" si="0"/>
        <v>2036</v>
      </c>
      <c r="F19">
        <f t="shared" si="1"/>
        <v>18</v>
      </c>
      <c r="G19">
        <v>0</v>
      </c>
    </row>
    <row r="20" spans="1:10" x14ac:dyDescent="0.25">
      <c r="A20">
        <f t="shared" si="2"/>
        <v>2007</v>
      </c>
      <c r="B20">
        <f t="shared" si="3"/>
        <v>18</v>
      </c>
      <c r="C20">
        <v>0</v>
      </c>
      <c r="E20">
        <f t="shared" si="0"/>
        <v>2037</v>
      </c>
      <c r="F20">
        <f t="shared" si="1"/>
        <v>19</v>
      </c>
      <c r="G20">
        <v>0</v>
      </c>
      <c r="J20">
        <f>10/(1-(12/31))</f>
        <v>16.315789473684209</v>
      </c>
    </row>
    <row r="21" spans="1:10" x14ac:dyDescent="0.25">
      <c r="A21">
        <f t="shared" si="2"/>
        <v>2008</v>
      </c>
      <c r="B21">
        <f t="shared" si="3"/>
        <v>19</v>
      </c>
      <c r="C21">
        <v>1</v>
      </c>
      <c r="E21">
        <f t="shared" si="0"/>
        <v>2038</v>
      </c>
      <c r="F21">
        <f t="shared" si="1"/>
        <v>20</v>
      </c>
      <c r="G21">
        <v>0</v>
      </c>
    </row>
    <row r="22" spans="1:10" x14ac:dyDescent="0.25">
      <c r="A22">
        <f t="shared" si="2"/>
        <v>2009</v>
      </c>
      <c r="B22">
        <f t="shared" si="3"/>
        <v>20</v>
      </c>
      <c r="C22">
        <v>0</v>
      </c>
      <c r="E22">
        <f t="shared" si="0"/>
        <v>2039</v>
      </c>
      <c r="F22">
        <f t="shared" si="1"/>
        <v>21</v>
      </c>
      <c r="G22">
        <v>0</v>
      </c>
    </row>
    <row r="23" spans="1:10" x14ac:dyDescent="0.25">
      <c r="A23">
        <f t="shared" si="2"/>
        <v>2010</v>
      </c>
      <c r="B23">
        <f t="shared" si="3"/>
        <v>21</v>
      </c>
      <c r="C23">
        <v>0</v>
      </c>
      <c r="E23">
        <f t="shared" si="0"/>
        <v>2040</v>
      </c>
      <c r="F23">
        <f t="shared" si="1"/>
        <v>22</v>
      </c>
      <c r="G23">
        <v>0</v>
      </c>
    </row>
    <row r="24" spans="1:10" x14ac:dyDescent="0.25">
      <c r="A24">
        <f t="shared" si="2"/>
        <v>2011</v>
      </c>
      <c r="B24">
        <f t="shared" si="3"/>
        <v>22</v>
      </c>
      <c r="C24">
        <v>0</v>
      </c>
      <c r="E24">
        <f t="shared" si="0"/>
        <v>2041</v>
      </c>
      <c r="F24">
        <f t="shared" si="1"/>
        <v>23</v>
      </c>
      <c r="G24">
        <v>0</v>
      </c>
    </row>
    <row r="25" spans="1:10" x14ac:dyDescent="0.25">
      <c r="A25">
        <f t="shared" si="2"/>
        <v>2012</v>
      </c>
      <c r="B25">
        <f t="shared" si="3"/>
        <v>23</v>
      </c>
      <c r="C25">
        <v>0</v>
      </c>
      <c r="E25">
        <f t="shared" si="0"/>
        <v>2042</v>
      </c>
      <c r="F25">
        <f t="shared" si="1"/>
        <v>24</v>
      </c>
      <c r="G25">
        <v>0</v>
      </c>
    </row>
    <row r="26" spans="1:10" x14ac:dyDescent="0.25">
      <c r="A26">
        <f t="shared" si="2"/>
        <v>2013</v>
      </c>
      <c r="B26">
        <f t="shared" si="3"/>
        <v>24</v>
      </c>
      <c r="C26">
        <v>0</v>
      </c>
      <c r="E26">
        <f t="shared" si="0"/>
        <v>2043</v>
      </c>
      <c r="F26">
        <f t="shared" si="1"/>
        <v>25</v>
      </c>
      <c r="G26">
        <v>0</v>
      </c>
    </row>
    <row r="27" spans="1:10" x14ac:dyDescent="0.25">
      <c r="A27">
        <f t="shared" si="2"/>
        <v>2014</v>
      </c>
      <c r="B27">
        <f t="shared" si="3"/>
        <v>25</v>
      </c>
      <c r="C27">
        <v>0</v>
      </c>
      <c r="E27">
        <f t="shared" si="0"/>
        <v>2044</v>
      </c>
      <c r="F27">
        <f t="shared" si="1"/>
        <v>26</v>
      </c>
      <c r="G27">
        <v>0</v>
      </c>
    </row>
    <row r="28" spans="1:10" x14ac:dyDescent="0.25">
      <c r="A28">
        <f t="shared" si="2"/>
        <v>2015</v>
      </c>
      <c r="B28">
        <f t="shared" si="3"/>
        <v>26</v>
      </c>
      <c r="C28">
        <v>0</v>
      </c>
      <c r="E28">
        <f t="shared" si="0"/>
        <v>2045</v>
      </c>
      <c r="F28">
        <f t="shared" si="1"/>
        <v>27</v>
      </c>
      <c r="G28">
        <v>0</v>
      </c>
    </row>
    <row r="29" spans="1:10" x14ac:dyDescent="0.25">
      <c r="A29" s="55">
        <f t="shared" si="2"/>
        <v>2016</v>
      </c>
      <c r="B29" s="55">
        <f t="shared" si="3"/>
        <v>27</v>
      </c>
      <c r="C29" s="55">
        <v>0</v>
      </c>
      <c r="E29">
        <f t="shared" si="0"/>
        <v>2046</v>
      </c>
      <c r="F29">
        <f t="shared" si="1"/>
        <v>28</v>
      </c>
      <c r="G29">
        <v>0</v>
      </c>
    </row>
    <row r="30" spans="1:10" x14ac:dyDescent="0.25">
      <c r="A30" s="55">
        <f t="shared" si="2"/>
        <v>2017</v>
      </c>
      <c r="B30" s="55">
        <f t="shared" si="3"/>
        <v>28</v>
      </c>
      <c r="C30" s="55">
        <v>0</v>
      </c>
      <c r="E30">
        <f t="shared" si="0"/>
        <v>2047</v>
      </c>
      <c r="F30">
        <f t="shared" si="1"/>
        <v>29</v>
      </c>
      <c r="G30">
        <v>0</v>
      </c>
    </row>
    <row r="31" spans="1:10" x14ac:dyDescent="0.25">
      <c r="A31" s="55">
        <f t="shared" si="2"/>
        <v>2018</v>
      </c>
      <c r="B31" s="55">
        <f>B30+1</f>
        <v>29</v>
      </c>
      <c r="C31" s="55">
        <v>0</v>
      </c>
      <c r="E31">
        <f t="shared" si="0"/>
        <v>2048</v>
      </c>
      <c r="F31">
        <f t="shared" si="1"/>
        <v>30</v>
      </c>
      <c r="G31">
        <v>0</v>
      </c>
    </row>
    <row r="32" spans="1:10" x14ac:dyDescent="0.25">
      <c r="A32" s="55">
        <f t="shared" si="2"/>
        <v>2019</v>
      </c>
      <c r="B32" s="55">
        <f t="shared" si="3"/>
        <v>30</v>
      </c>
      <c r="C32" s="55">
        <v>0</v>
      </c>
      <c r="E32">
        <f t="shared" si="0"/>
        <v>2049</v>
      </c>
      <c r="F32">
        <f t="shared" si="1"/>
        <v>31</v>
      </c>
      <c r="G32">
        <v>0</v>
      </c>
    </row>
    <row r="33" spans="1:3" x14ac:dyDescent="0.25">
      <c r="A33" s="55">
        <f t="shared" si="2"/>
        <v>2020</v>
      </c>
      <c r="B33" s="55">
        <f t="shared" si="3"/>
        <v>31</v>
      </c>
      <c r="C33" s="5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10F3-B38C-4941-9C2E-A115E29D88E0}">
  <dimension ref="C3:T68"/>
  <sheetViews>
    <sheetView tabSelected="1" workbookViewId="0">
      <selection activeCell="T34" sqref="T34"/>
    </sheetView>
  </sheetViews>
  <sheetFormatPr defaultColWidth="10.85546875" defaultRowHeight="15" x14ac:dyDescent="0.25"/>
  <cols>
    <col min="5" max="5" width="11.28515625" bestFit="1" customWidth="1"/>
    <col min="18" max="18" width="11.42578125" bestFit="1" customWidth="1"/>
    <col min="20" max="20" width="11.85546875" bestFit="1" customWidth="1"/>
  </cols>
  <sheetData>
    <row r="3" spans="3:19" x14ac:dyDescent="0.25">
      <c r="C3" s="1" t="s">
        <v>100</v>
      </c>
      <c r="D3" s="1" t="s">
        <v>48</v>
      </c>
      <c r="E3" s="1" t="s">
        <v>86</v>
      </c>
      <c r="F3" s="1" t="s">
        <v>87</v>
      </c>
      <c r="G3" s="1" t="s">
        <v>65</v>
      </c>
      <c r="L3" s="16" t="s">
        <v>100</v>
      </c>
      <c r="M3" s="16" t="s">
        <v>145</v>
      </c>
      <c r="N3" s="16" t="s">
        <v>146</v>
      </c>
      <c r="O3" s="16" t="s">
        <v>117</v>
      </c>
      <c r="P3" s="16" t="s">
        <v>118</v>
      </c>
      <c r="R3" s="48">
        <v>867029</v>
      </c>
      <c r="S3">
        <v>2019</v>
      </c>
    </row>
    <row r="4" spans="3:19" x14ac:dyDescent="0.25">
      <c r="C4" s="32">
        <v>1</v>
      </c>
      <c r="D4" s="17">
        <v>502.45</v>
      </c>
      <c r="E4" s="17">
        <v>359365.85405000002</v>
      </c>
      <c r="F4" s="17">
        <v>301498.30672999995</v>
      </c>
      <c r="G4" s="17">
        <v>168.35</v>
      </c>
      <c r="H4">
        <f>(D4+G4)/SUM(D4:G4)*100</f>
        <v>0.10140053659584004</v>
      </c>
      <c r="L4" s="16">
        <v>200</v>
      </c>
      <c r="M4" s="17">
        <v>39056.074766355101</v>
      </c>
      <c r="N4" s="17">
        <v>44584.11214953271</v>
      </c>
      <c r="O4" s="17">
        <v>47376</v>
      </c>
      <c r="P4" s="17">
        <v>88898.148148148146</v>
      </c>
      <c r="R4" s="48">
        <f>R3*1.0156</f>
        <v>880554.65240000002</v>
      </c>
      <c r="S4">
        <f>S3+1</f>
        <v>2020</v>
      </c>
    </row>
    <row r="5" spans="3:19" x14ac:dyDescent="0.25">
      <c r="C5" s="32">
        <f>C4+1</f>
        <v>2</v>
      </c>
      <c r="D5" s="17">
        <v>505.8</v>
      </c>
      <c r="E5" s="17">
        <v>369099.41530000011</v>
      </c>
      <c r="F5" s="17">
        <v>303692.27377999999</v>
      </c>
      <c r="G5" s="17">
        <v>161.19999999999999</v>
      </c>
      <c r="H5">
        <f t="shared" ref="H5:H34" si="0">(D5+G5)/SUM(D5:G5)*100</f>
        <v>9.9040967295436766E-2</v>
      </c>
      <c r="L5" s="16">
        <v>150</v>
      </c>
      <c r="M5" s="17">
        <v>39056.074766355145</v>
      </c>
      <c r="N5" s="17">
        <v>44584.11214953271</v>
      </c>
      <c r="O5" s="17">
        <v>44282</v>
      </c>
      <c r="P5" s="17">
        <v>81242.592592592584</v>
      </c>
      <c r="R5" s="48">
        <f t="shared" ref="R5:R34" si="1">R4*1.0156</f>
        <v>894291.30497744004</v>
      </c>
      <c r="S5">
        <f t="shared" ref="S5:S33" si="2">S4+1</f>
        <v>2021</v>
      </c>
    </row>
    <row r="6" spans="3:19" x14ac:dyDescent="0.25">
      <c r="C6" s="32">
        <f t="shared" ref="C6:C34" si="3">C5+1</f>
        <v>3</v>
      </c>
      <c r="D6" s="17">
        <v>508.7</v>
      </c>
      <c r="E6" s="17">
        <v>384162.49200000003</v>
      </c>
      <c r="F6" s="17">
        <v>309807.61368499999</v>
      </c>
      <c r="G6" s="17">
        <v>163.15</v>
      </c>
      <c r="H6">
        <f t="shared" si="0"/>
        <v>9.6718891581703492E-2</v>
      </c>
      <c r="L6" s="16">
        <v>100</v>
      </c>
      <c r="M6" s="17">
        <v>39056.074766355145</v>
      </c>
      <c r="N6" s="17">
        <v>44584.11214953271</v>
      </c>
      <c r="O6" s="17">
        <v>41188</v>
      </c>
      <c r="P6" s="17">
        <v>73587.037037037022</v>
      </c>
      <c r="R6" s="48">
        <f t="shared" si="1"/>
        <v>908242.24933508819</v>
      </c>
      <c r="S6">
        <f t="shared" si="2"/>
        <v>2022</v>
      </c>
    </row>
    <row r="7" spans="3:19" x14ac:dyDescent="0.25">
      <c r="C7" s="32">
        <f t="shared" si="3"/>
        <v>4</v>
      </c>
      <c r="D7" s="17">
        <v>517.1</v>
      </c>
      <c r="E7" s="17">
        <v>394462.80685000005</v>
      </c>
      <c r="F7" s="17">
        <v>309220.74231</v>
      </c>
      <c r="G7" s="17">
        <v>139.75</v>
      </c>
      <c r="H7">
        <f t="shared" si="0"/>
        <v>9.3257464825723849E-2</v>
      </c>
      <c r="L7" s="16">
        <v>50</v>
      </c>
      <c r="M7" s="17">
        <v>39056.074766355145</v>
      </c>
      <c r="N7" s="17">
        <v>44584.11214953271</v>
      </c>
      <c r="O7" s="17">
        <v>38094</v>
      </c>
      <c r="P7" s="17">
        <v>65931.481481481474</v>
      </c>
      <c r="R7" s="48">
        <f t="shared" si="1"/>
        <v>922410.82842471567</v>
      </c>
      <c r="S7">
        <f t="shared" si="2"/>
        <v>2023</v>
      </c>
    </row>
    <row r="8" spans="3:19" x14ac:dyDescent="0.25">
      <c r="C8" s="32">
        <f t="shared" si="3"/>
        <v>5</v>
      </c>
      <c r="D8" s="17">
        <v>543.25</v>
      </c>
      <c r="E8" s="17">
        <v>403778.30150000006</v>
      </c>
      <c r="F8" s="17">
        <v>308029.21076499997</v>
      </c>
      <c r="G8" s="17">
        <v>132.6</v>
      </c>
      <c r="H8">
        <f t="shared" si="0"/>
        <v>9.4858355407971676E-2</v>
      </c>
      <c r="L8" s="16">
        <v>10</v>
      </c>
      <c r="M8" s="17">
        <v>39056.074766355145</v>
      </c>
      <c r="N8" s="17">
        <v>44584.11214953271</v>
      </c>
      <c r="O8" s="17">
        <v>35618.799999999996</v>
      </c>
      <c r="P8" s="17">
        <v>59807.037037037029</v>
      </c>
      <c r="R8" s="48">
        <f t="shared" si="1"/>
        <v>936800.43734814133</v>
      </c>
      <c r="S8">
        <f t="shared" si="2"/>
        <v>2024</v>
      </c>
    </row>
    <row r="9" spans="3:19" x14ac:dyDescent="0.25">
      <c r="C9" s="32">
        <f t="shared" si="3"/>
        <v>6</v>
      </c>
      <c r="D9" s="17">
        <v>575.20000000000005</v>
      </c>
      <c r="E9" s="17">
        <v>414744.06154999998</v>
      </c>
      <c r="F9" s="17">
        <v>308305.80012500001</v>
      </c>
      <c r="G9" s="17">
        <v>132.6</v>
      </c>
      <c r="H9">
        <f t="shared" si="0"/>
        <v>9.7795165078036067E-2</v>
      </c>
      <c r="L9" s="16">
        <v>0</v>
      </c>
      <c r="M9" s="17">
        <v>39056.074766355145</v>
      </c>
      <c r="N9" s="17">
        <v>44584.11214953271</v>
      </c>
      <c r="O9" s="17">
        <v>35000</v>
      </c>
      <c r="P9" s="17">
        <v>58275.925925925927</v>
      </c>
      <c r="R9" s="48">
        <f t="shared" si="1"/>
        <v>951414.52417077241</v>
      </c>
      <c r="S9">
        <f t="shared" si="2"/>
        <v>2025</v>
      </c>
    </row>
    <row r="10" spans="3:19" x14ac:dyDescent="0.25">
      <c r="C10" s="32">
        <f t="shared" si="3"/>
        <v>7</v>
      </c>
      <c r="D10" s="17">
        <v>624.9</v>
      </c>
      <c r="E10" s="17">
        <v>437256.82874999999</v>
      </c>
      <c r="F10" s="17">
        <v>311183.19159</v>
      </c>
      <c r="G10" s="17">
        <v>131.94999999999999</v>
      </c>
      <c r="H10">
        <f t="shared" si="0"/>
        <v>0.1010215111625502</v>
      </c>
      <c r="L10" s="16"/>
      <c r="M10" s="17"/>
      <c r="N10" s="17"/>
      <c r="O10" s="17"/>
      <c r="P10" s="17"/>
      <c r="R10" s="48">
        <f t="shared" si="1"/>
        <v>966256.59074783651</v>
      </c>
      <c r="S10">
        <f t="shared" si="2"/>
        <v>2026</v>
      </c>
    </row>
    <row r="11" spans="3:19" x14ac:dyDescent="0.25">
      <c r="C11" s="32">
        <f t="shared" si="3"/>
        <v>8</v>
      </c>
      <c r="D11" s="17">
        <v>671.4</v>
      </c>
      <c r="E11" s="17">
        <v>452130.25970000005</v>
      </c>
      <c r="F11" s="17">
        <v>310360.25073000003</v>
      </c>
      <c r="G11" s="17">
        <v>128.69999999999999</v>
      </c>
      <c r="H11">
        <f t="shared" si="0"/>
        <v>0.1048224606810325</v>
      </c>
      <c r="L11" s="16" t="s">
        <v>100</v>
      </c>
      <c r="M11" s="16" t="s">
        <v>145</v>
      </c>
      <c r="N11" s="16" t="s">
        <v>146</v>
      </c>
      <c r="O11" s="16" t="s">
        <v>117</v>
      </c>
      <c r="P11" s="16" t="s">
        <v>118</v>
      </c>
      <c r="R11" s="48">
        <f t="shared" si="1"/>
        <v>981330.19356350286</v>
      </c>
      <c r="S11">
        <f t="shared" si="2"/>
        <v>2027</v>
      </c>
    </row>
    <row r="12" spans="3:19" x14ac:dyDescent="0.25">
      <c r="C12" s="32">
        <f t="shared" si="3"/>
        <v>9</v>
      </c>
      <c r="D12" s="17">
        <v>687.65</v>
      </c>
      <c r="E12" s="17">
        <v>485203.7435000001</v>
      </c>
      <c r="F12" s="17">
        <v>312930.59753999999</v>
      </c>
      <c r="G12" s="17">
        <v>115.05</v>
      </c>
      <c r="H12">
        <f t="shared" si="0"/>
        <v>0.10047099568134948</v>
      </c>
      <c r="L12" s="16">
        <v>200</v>
      </c>
      <c r="M12" s="35">
        <f t="shared" ref="M12:P17" si="4">M4/1000</f>
        <v>39.056074766355103</v>
      </c>
      <c r="N12" s="35">
        <f t="shared" si="4"/>
        <v>44.584112149532707</v>
      </c>
      <c r="O12" s="35">
        <f t="shared" si="4"/>
        <v>47.375999999999998</v>
      </c>
      <c r="P12" s="35">
        <f t="shared" si="4"/>
        <v>88.898148148148152</v>
      </c>
      <c r="R12" s="48">
        <f t="shared" si="1"/>
        <v>996638.94458309351</v>
      </c>
      <c r="S12">
        <f t="shared" si="2"/>
        <v>2028</v>
      </c>
    </row>
    <row r="13" spans="3:19" x14ac:dyDescent="0.25">
      <c r="C13" s="32">
        <f t="shared" si="3"/>
        <v>10</v>
      </c>
      <c r="D13" s="17">
        <v>695.2</v>
      </c>
      <c r="E13" s="17">
        <v>508165.91944999993</v>
      </c>
      <c r="F13" s="17">
        <v>312357.59045999998</v>
      </c>
      <c r="G13" s="17">
        <v>111.15</v>
      </c>
      <c r="H13">
        <f t="shared" si="0"/>
        <v>9.817614570695854E-2</v>
      </c>
      <c r="L13" s="16">
        <v>150</v>
      </c>
      <c r="M13" s="35">
        <f t="shared" si="4"/>
        <v>39.056074766355145</v>
      </c>
      <c r="N13" s="35">
        <f t="shared" si="4"/>
        <v>44.584112149532707</v>
      </c>
      <c r="O13" s="35">
        <f t="shared" si="4"/>
        <v>44.281999999999996</v>
      </c>
      <c r="P13" s="35">
        <f t="shared" si="4"/>
        <v>81.242592592592587</v>
      </c>
      <c r="R13" s="48">
        <f t="shared" si="1"/>
        <v>1012186.5121185898</v>
      </c>
      <c r="S13">
        <f t="shared" si="2"/>
        <v>2029</v>
      </c>
    </row>
    <row r="14" spans="3:19" x14ac:dyDescent="0.25">
      <c r="C14" s="32">
        <f t="shared" si="3"/>
        <v>11</v>
      </c>
      <c r="D14" s="17">
        <v>866.44979999999998</v>
      </c>
      <c r="E14" s="17">
        <v>528327.88610000012</v>
      </c>
      <c r="F14" s="17">
        <v>298872.62846499996</v>
      </c>
      <c r="G14" s="17">
        <v>152.1</v>
      </c>
      <c r="H14">
        <f t="shared" si="0"/>
        <v>0.12298072379931602</v>
      </c>
      <c r="L14" s="16">
        <v>100</v>
      </c>
      <c r="M14" s="35">
        <f t="shared" si="4"/>
        <v>39.056074766355145</v>
      </c>
      <c r="N14" s="35">
        <f t="shared" si="4"/>
        <v>44.584112149532707</v>
      </c>
      <c r="O14" s="35">
        <f t="shared" si="4"/>
        <v>41.188000000000002</v>
      </c>
      <c r="P14" s="35">
        <f t="shared" si="4"/>
        <v>73.587037037037021</v>
      </c>
      <c r="R14" s="48">
        <f t="shared" si="1"/>
        <v>1027976.6217076399</v>
      </c>
      <c r="S14">
        <f t="shared" si="2"/>
        <v>2030</v>
      </c>
    </row>
    <row r="15" spans="3:19" x14ac:dyDescent="0.25">
      <c r="C15" s="32">
        <f t="shared" si="3"/>
        <v>12</v>
      </c>
      <c r="D15" s="17">
        <v>1183.4497999999999</v>
      </c>
      <c r="E15" s="17">
        <v>551610.35824999993</v>
      </c>
      <c r="F15" s="17">
        <v>294551.10888999997</v>
      </c>
      <c r="G15" s="17">
        <v>152.1</v>
      </c>
      <c r="H15">
        <f t="shared" si="0"/>
        <v>0.15758755173229741</v>
      </c>
      <c r="L15" s="16">
        <v>50</v>
      </c>
      <c r="M15" s="35">
        <f t="shared" si="4"/>
        <v>39.056074766355145</v>
      </c>
      <c r="N15" s="35">
        <f t="shared" si="4"/>
        <v>44.584112149532707</v>
      </c>
      <c r="O15" s="35">
        <f t="shared" si="4"/>
        <v>38.094000000000001</v>
      </c>
      <c r="P15" s="35">
        <f t="shared" si="4"/>
        <v>65.93148148148147</v>
      </c>
      <c r="R15" s="48">
        <f t="shared" si="1"/>
        <v>1044013.0570062791</v>
      </c>
      <c r="S15">
        <f t="shared" si="2"/>
        <v>2031</v>
      </c>
    </row>
    <row r="16" spans="3:19" x14ac:dyDescent="0.25">
      <c r="C16" s="32">
        <f t="shared" si="3"/>
        <v>13</v>
      </c>
      <c r="D16" s="17">
        <v>1115.9000000000001</v>
      </c>
      <c r="E16" s="17">
        <v>571574.21614999999</v>
      </c>
      <c r="F16" s="17">
        <v>289677.45376</v>
      </c>
      <c r="G16" s="17">
        <v>153.4</v>
      </c>
      <c r="H16">
        <f t="shared" si="0"/>
        <v>0.14716163945932184</v>
      </c>
      <c r="L16" s="16">
        <v>10</v>
      </c>
      <c r="M16" s="35">
        <f t="shared" si="4"/>
        <v>39.056074766355145</v>
      </c>
      <c r="N16" s="35">
        <f t="shared" si="4"/>
        <v>44.584112149532707</v>
      </c>
      <c r="O16" s="35">
        <f t="shared" si="4"/>
        <v>35.618799999999993</v>
      </c>
      <c r="P16" s="35">
        <f t="shared" si="4"/>
        <v>59.807037037037027</v>
      </c>
      <c r="R16" s="48">
        <f t="shared" si="1"/>
        <v>1060299.660695577</v>
      </c>
      <c r="S16">
        <f t="shared" si="2"/>
        <v>2032</v>
      </c>
    </row>
    <row r="17" spans="3:19" x14ac:dyDescent="0.25">
      <c r="C17" s="32">
        <f t="shared" si="3"/>
        <v>14</v>
      </c>
      <c r="D17" s="17">
        <v>1125.0508</v>
      </c>
      <c r="E17" s="17">
        <v>596959.46029999992</v>
      </c>
      <c r="F17" s="17">
        <v>279668.54902000003</v>
      </c>
      <c r="G17" s="17">
        <v>167.7</v>
      </c>
      <c r="H17">
        <f t="shared" si="0"/>
        <v>0.14725142162298321</v>
      </c>
      <c r="L17" s="16">
        <v>0</v>
      </c>
      <c r="M17" s="35">
        <f t="shared" si="4"/>
        <v>39.056074766355145</v>
      </c>
      <c r="N17" s="35">
        <f t="shared" si="4"/>
        <v>44.584112149532707</v>
      </c>
      <c r="O17" s="35">
        <f t="shared" si="4"/>
        <v>35</v>
      </c>
      <c r="P17" s="35">
        <f t="shared" si="4"/>
        <v>58.275925925925925</v>
      </c>
      <c r="R17" s="48">
        <f t="shared" si="1"/>
        <v>1076840.3354024282</v>
      </c>
      <c r="S17">
        <f t="shared" si="2"/>
        <v>2033</v>
      </c>
    </row>
    <row r="18" spans="3:19" x14ac:dyDescent="0.25">
      <c r="C18" s="32">
        <f t="shared" si="3"/>
        <v>15</v>
      </c>
      <c r="D18" s="17">
        <v>1162.1708000000001</v>
      </c>
      <c r="E18" s="17">
        <v>633729.46735000005</v>
      </c>
      <c r="F18" s="17">
        <v>270876.75181499997</v>
      </c>
      <c r="G18" s="17">
        <v>200.85</v>
      </c>
      <c r="H18">
        <f t="shared" si="0"/>
        <v>0.15044890487150064</v>
      </c>
      <c r="R18" s="48">
        <f t="shared" si="1"/>
        <v>1093639.0446347061</v>
      </c>
      <c r="S18">
        <f t="shared" si="2"/>
        <v>2034</v>
      </c>
    </row>
    <row r="19" spans="3:19" x14ac:dyDescent="0.25">
      <c r="C19" s="32">
        <f t="shared" si="3"/>
        <v>16</v>
      </c>
      <c r="D19" s="17">
        <v>1313.1863999999998</v>
      </c>
      <c r="E19" s="17">
        <v>651858.27560000005</v>
      </c>
      <c r="F19" s="17">
        <v>258670.06527000002</v>
      </c>
      <c r="G19" s="17">
        <v>197.31465</v>
      </c>
      <c r="H19">
        <f t="shared" si="0"/>
        <v>0.165618061487396</v>
      </c>
      <c r="R19" s="48">
        <f t="shared" si="1"/>
        <v>1110699.8137310075</v>
      </c>
      <c r="S19">
        <f t="shared" si="2"/>
        <v>2035</v>
      </c>
    </row>
    <row r="20" spans="3:19" x14ac:dyDescent="0.25">
      <c r="C20" s="32">
        <f t="shared" si="3"/>
        <v>17</v>
      </c>
      <c r="D20" s="17">
        <v>1582.8232</v>
      </c>
      <c r="E20" s="17">
        <v>685038.32565000001</v>
      </c>
      <c r="F20" s="17">
        <v>250524.21138999998</v>
      </c>
      <c r="G20" s="17">
        <v>200.68035</v>
      </c>
      <c r="H20">
        <f t="shared" si="0"/>
        <v>0.19027162571438372</v>
      </c>
      <c r="R20" s="48">
        <f t="shared" si="1"/>
        <v>1128026.7308252114</v>
      </c>
      <c r="S20">
        <f t="shared" si="2"/>
        <v>2036</v>
      </c>
    </row>
    <row r="21" spans="3:19" x14ac:dyDescent="0.25">
      <c r="C21" s="32">
        <f t="shared" si="3"/>
        <v>18</v>
      </c>
      <c r="D21" s="17">
        <v>1750.9704000000002</v>
      </c>
      <c r="E21" s="17">
        <v>713957.8075</v>
      </c>
      <c r="F21" s="17">
        <v>242596.50166499999</v>
      </c>
      <c r="G21" s="17">
        <v>199.71770000000001</v>
      </c>
      <c r="H21">
        <f t="shared" si="0"/>
        <v>0.20351360770847279</v>
      </c>
      <c r="R21" s="48">
        <f t="shared" si="1"/>
        <v>1145623.9478260847</v>
      </c>
      <c r="S21">
        <f>S20+1</f>
        <v>2037</v>
      </c>
    </row>
    <row r="22" spans="3:19" x14ac:dyDescent="0.25">
      <c r="C22" s="32">
        <f t="shared" si="3"/>
        <v>19</v>
      </c>
      <c r="D22" s="17">
        <v>1899.8554000000001</v>
      </c>
      <c r="E22" s="17">
        <v>715835.43534999993</v>
      </c>
      <c r="F22" s="17">
        <v>232087.68213</v>
      </c>
      <c r="G22" s="17">
        <v>198.99815000000001</v>
      </c>
      <c r="H22">
        <f t="shared" si="0"/>
        <v>0.22092684316810632</v>
      </c>
      <c r="R22" s="48">
        <f t="shared" si="1"/>
        <v>1163495.6814121716</v>
      </c>
      <c r="S22">
        <f t="shared" si="2"/>
        <v>2038</v>
      </c>
    </row>
    <row r="23" spans="3:19" x14ac:dyDescent="0.25">
      <c r="C23" s="32">
        <f t="shared" si="3"/>
        <v>20</v>
      </c>
      <c r="D23" s="17">
        <v>2203.3978000000002</v>
      </c>
      <c r="E23" s="17">
        <v>703872.73074999999</v>
      </c>
      <c r="F23" s="17">
        <v>224418.55841499998</v>
      </c>
      <c r="G23" s="17">
        <v>226.72259999999997</v>
      </c>
      <c r="H23">
        <f t="shared" si="0"/>
        <v>0.26110073057584315</v>
      </c>
      <c r="R23" s="48">
        <f t="shared" si="1"/>
        <v>1181646.2140422014</v>
      </c>
      <c r="S23">
        <f t="shared" si="2"/>
        <v>2039</v>
      </c>
    </row>
    <row r="24" spans="3:19" x14ac:dyDescent="0.25">
      <c r="C24" s="32">
        <f t="shared" si="3"/>
        <v>21</v>
      </c>
      <c r="D24" s="17">
        <v>2520.5225999999998</v>
      </c>
      <c r="E24" s="17">
        <v>717798.46845000004</v>
      </c>
      <c r="F24" s="17">
        <v>213005.062905</v>
      </c>
      <c r="G24" s="17">
        <v>264.70859999999999</v>
      </c>
      <c r="H24">
        <f t="shared" si="0"/>
        <v>0.29833598172042208</v>
      </c>
      <c r="R24" s="48">
        <f t="shared" si="1"/>
        <v>1200079.8949812597</v>
      </c>
      <c r="S24">
        <f t="shared" si="2"/>
        <v>2040</v>
      </c>
    </row>
    <row r="25" spans="3:19" x14ac:dyDescent="0.25">
      <c r="C25" s="32">
        <f t="shared" si="3"/>
        <v>22</v>
      </c>
      <c r="D25" s="17">
        <v>2787.1264000000001</v>
      </c>
      <c r="E25" s="17">
        <v>723065.61600000004</v>
      </c>
      <c r="F25" s="17">
        <v>205479.93966999999</v>
      </c>
      <c r="G25" s="17">
        <v>313.82715000000002</v>
      </c>
      <c r="H25">
        <f t="shared" si="0"/>
        <v>0.3328465806839338</v>
      </c>
      <c r="R25" s="48">
        <f t="shared" si="1"/>
        <v>1218801.1413429675</v>
      </c>
      <c r="S25">
        <f t="shared" si="2"/>
        <v>2041</v>
      </c>
    </row>
    <row r="26" spans="3:19" x14ac:dyDescent="0.25">
      <c r="C26" s="32">
        <f t="shared" si="3"/>
        <v>23</v>
      </c>
      <c r="D26" s="17">
        <v>2965.4369999999999</v>
      </c>
      <c r="E26" s="17">
        <v>705058.13804999995</v>
      </c>
      <c r="F26" s="17">
        <v>191049.59641</v>
      </c>
      <c r="G26" s="17">
        <v>313.64515</v>
      </c>
      <c r="H26">
        <f t="shared" si="0"/>
        <v>0.36459086228989102</v>
      </c>
      <c r="L26" s="16" t="s">
        <v>130</v>
      </c>
      <c r="M26" s="16" t="s">
        <v>144</v>
      </c>
      <c r="N26" s="16" t="s">
        <v>143</v>
      </c>
      <c r="O26" s="16" t="s">
        <v>117</v>
      </c>
      <c r="P26" s="16" t="s">
        <v>118</v>
      </c>
      <c r="R26" s="48">
        <f t="shared" si="1"/>
        <v>1237814.4391479178</v>
      </c>
      <c r="S26">
        <f t="shared" si="2"/>
        <v>2042</v>
      </c>
    </row>
    <row r="27" spans="3:19" x14ac:dyDescent="0.25">
      <c r="C27" s="32">
        <f t="shared" si="3"/>
        <v>24</v>
      </c>
      <c r="D27" s="17">
        <v>3169.4722000000002</v>
      </c>
      <c r="E27" s="17">
        <v>705067.40359999996</v>
      </c>
      <c r="F27" s="17">
        <v>184831.41627500003</v>
      </c>
      <c r="G27" s="17">
        <v>401.73250000000002</v>
      </c>
      <c r="H27">
        <f t="shared" si="0"/>
        <v>0.39970056093361694</v>
      </c>
      <c r="L27" s="16">
        <v>200</v>
      </c>
      <c r="M27" s="17">
        <v>112770.09345794393</v>
      </c>
      <c r="N27" s="17">
        <v>140155.1401869159</v>
      </c>
      <c r="O27" s="17">
        <v>143152</v>
      </c>
      <c r="P27" s="17">
        <v>280287.03703703702</v>
      </c>
      <c r="R27" s="48">
        <f t="shared" si="1"/>
        <v>1257124.3443986254</v>
      </c>
      <c r="S27">
        <f>S26+1</f>
        <v>2043</v>
      </c>
    </row>
    <row r="28" spans="3:19" x14ac:dyDescent="0.25">
      <c r="C28" s="32">
        <f t="shared" si="3"/>
        <v>25</v>
      </c>
      <c r="D28" s="17">
        <v>3385.2065999999995</v>
      </c>
      <c r="E28" s="17">
        <v>722737.69050000003</v>
      </c>
      <c r="F28" s="17">
        <v>184110.19399</v>
      </c>
      <c r="G28" s="17">
        <v>465.64114999999998</v>
      </c>
      <c r="H28">
        <f t="shared" si="0"/>
        <v>0.42284540580486618</v>
      </c>
      <c r="L28" s="16">
        <f>L27-50</f>
        <v>150</v>
      </c>
      <c r="M28" s="17">
        <v>112770.09345794393</v>
      </c>
      <c r="N28" s="17">
        <v>140155.1401869159</v>
      </c>
      <c r="O28" s="17">
        <v>127863.99999999999</v>
      </c>
      <c r="P28" s="17">
        <v>242298.14814814815</v>
      </c>
      <c r="R28" s="48">
        <f t="shared" si="1"/>
        <v>1276735.4841712441</v>
      </c>
      <c r="S28">
        <f t="shared" si="2"/>
        <v>2044</v>
      </c>
    </row>
    <row r="29" spans="3:19" x14ac:dyDescent="0.25">
      <c r="C29" s="32">
        <f t="shared" si="3"/>
        <v>26</v>
      </c>
      <c r="D29" s="17">
        <v>3603.7705999999998</v>
      </c>
      <c r="E29" s="17">
        <v>739421.05020000006</v>
      </c>
      <c r="F29" s="17">
        <v>181593.15175999998</v>
      </c>
      <c r="G29" s="17">
        <v>609.54984999999999</v>
      </c>
      <c r="H29">
        <f t="shared" si="0"/>
        <v>0.45538209229069315</v>
      </c>
      <c r="L29" s="16">
        <v>100</v>
      </c>
      <c r="M29" s="17">
        <v>112770.09345794393</v>
      </c>
      <c r="N29" s="17">
        <v>140155.1401869159</v>
      </c>
      <c r="O29" s="17">
        <v>112575.99999999999</v>
      </c>
      <c r="P29" s="17">
        <v>204309.25925925921</v>
      </c>
      <c r="R29" s="48">
        <f t="shared" si="1"/>
        <v>1296652.5577243157</v>
      </c>
      <c r="S29">
        <f t="shared" si="2"/>
        <v>2045</v>
      </c>
    </row>
    <row r="30" spans="3:19" x14ac:dyDescent="0.25">
      <c r="C30" s="32">
        <f t="shared" si="3"/>
        <v>27</v>
      </c>
      <c r="D30" s="17">
        <v>3678.3233999999998</v>
      </c>
      <c r="E30" s="17">
        <v>761194.31954999978</v>
      </c>
      <c r="F30" s="17">
        <v>182090.74875000003</v>
      </c>
      <c r="G30" s="17">
        <v>652.53044999999997</v>
      </c>
      <c r="H30">
        <f t="shared" si="0"/>
        <v>0.45702628552018582</v>
      </c>
      <c r="L30" s="16">
        <v>50</v>
      </c>
      <c r="M30" s="17">
        <v>112770.09345794393</v>
      </c>
      <c r="N30" s="17">
        <v>140155.1401869159</v>
      </c>
      <c r="O30" s="17">
        <v>97287.999999999985</v>
      </c>
      <c r="P30" s="17">
        <v>166320.37037037034</v>
      </c>
      <c r="R30" s="48">
        <f t="shared" si="1"/>
        <v>1316880.3376248151</v>
      </c>
      <c r="S30">
        <f t="shared" si="2"/>
        <v>2046</v>
      </c>
    </row>
    <row r="31" spans="3:19" x14ac:dyDescent="0.25">
      <c r="C31" s="32">
        <f t="shared" si="3"/>
        <v>28</v>
      </c>
      <c r="D31" s="17">
        <v>3556.4377999999997</v>
      </c>
      <c r="E31" s="17">
        <v>779364.42429999996</v>
      </c>
      <c r="F31" s="17">
        <v>183454.654675</v>
      </c>
      <c r="G31" s="17">
        <v>802.74479999999994</v>
      </c>
      <c r="H31">
        <f t="shared" si="0"/>
        <v>0.45071139139348482</v>
      </c>
      <c r="L31" s="16">
        <v>10</v>
      </c>
      <c r="M31" s="17">
        <v>112770.09345794393</v>
      </c>
      <c r="N31" s="17">
        <v>140155.1401869159</v>
      </c>
      <c r="O31" s="17">
        <v>85057.599999999991</v>
      </c>
      <c r="P31" s="17">
        <v>135929.25925925924</v>
      </c>
      <c r="R31" s="48">
        <f t="shared" si="1"/>
        <v>1337423.6708917622</v>
      </c>
      <c r="S31">
        <f>S30+1</f>
        <v>2047</v>
      </c>
    </row>
    <row r="32" spans="3:19" x14ac:dyDescent="0.25">
      <c r="C32" s="32">
        <f t="shared" si="3"/>
        <v>29</v>
      </c>
      <c r="D32" s="17">
        <v>3727.3896000000004</v>
      </c>
      <c r="E32" s="17">
        <v>783120.0699</v>
      </c>
      <c r="F32" s="17">
        <v>184218.43757499999</v>
      </c>
      <c r="G32" s="17">
        <v>1031.18145</v>
      </c>
      <c r="H32">
        <f t="shared" si="0"/>
        <v>0.48951603241317848</v>
      </c>
      <c r="L32" s="16">
        <v>0</v>
      </c>
      <c r="M32" s="17">
        <v>112770.09345794393</v>
      </c>
      <c r="N32" s="17">
        <v>140155.1401869159</v>
      </c>
      <c r="O32" s="17">
        <v>82000</v>
      </c>
      <c r="P32" s="17">
        <v>128331.48148148147</v>
      </c>
      <c r="R32" s="48">
        <f t="shared" si="1"/>
        <v>1358287.4801576738</v>
      </c>
      <c r="S32">
        <f t="shared" si="2"/>
        <v>2048</v>
      </c>
    </row>
    <row r="33" spans="3:20" x14ac:dyDescent="0.25">
      <c r="C33" s="32">
        <f t="shared" si="3"/>
        <v>30</v>
      </c>
      <c r="D33" s="17">
        <v>4289.2255999999998</v>
      </c>
      <c r="E33" s="17">
        <v>785850.64529999986</v>
      </c>
      <c r="F33" s="17">
        <v>188388.7887</v>
      </c>
      <c r="G33" s="17">
        <v>1546.9804999999999</v>
      </c>
      <c r="H33">
        <f t="shared" si="0"/>
        <v>0.59548527289225495</v>
      </c>
      <c r="L33" s="16"/>
      <c r="M33" s="17"/>
      <c r="N33" s="17"/>
      <c r="O33" s="17"/>
      <c r="P33" s="17"/>
      <c r="R33" s="48">
        <f t="shared" si="1"/>
        <v>1379476.7648481335</v>
      </c>
      <c r="S33">
        <f t="shared" si="2"/>
        <v>2049</v>
      </c>
    </row>
    <row r="34" spans="3:20" x14ac:dyDescent="0.25">
      <c r="C34" s="32">
        <f t="shared" si="3"/>
        <v>31</v>
      </c>
      <c r="D34" s="17">
        <v>4141.2847999999994</v>
      </c>
      <c r="E34" s="17">
        <v>697848.55489999999</v>
      </c>
      <c r="F34" s="17">
        <v>162905.13208000001</v>
      </c>
      <c r="G34" s="17">
        <v>2134.2424999999998</v>
      </c>
      <c r="H34">
        <f t="shared" si="0"/>
        <v>0.72379652226728419</v>
      </c>
      <c r="R34" s="48">
        <f t="shared" si="1"/>
        <v>1400996.6023797644</v>
      </c>
      <c r="S34">
        <f>S33+1</f>
        <v>2050</v>
      </c>
      <c r="T34" s="48">
        <f>R34/2</f>
        <v>700498.30118988222</v>
      </c>
    </row>
    <row r="35" spans="3:20" x14ac:dyDescent="0.25">
      <c r="L35" s="16" t="s">
        <v>130</v>
      </c>
      <c r="M35" s="16" t="s">
        <v>144</v>
      </c>
      <c r="N35" s="16" t="s">
        <v>143</v>
      </c>
      <c r="O35" s="16" t="s">
        <v>117</v>
      </c>
      <c r="P35" s="16" t="s">
        <v>118</v>
      </c>
    </row>
    <row r="36" spans="3:20" x14ac:dyDescent="0.25">
      <c r="L36" s="16">
        <v>200</v>
      </c>
      <c r="M36" s="35">
        <f t="shared" ref="M36:P41" si="5">M27/1000</f>
        <v>112.77009345794393</v>
      </c>
      <c r="N36" s="35">
        <f t="shared" si="5"/>
        <v>140.1551401869159</v>
      </c>
      <c r="O36" s="35">
        <f t="shared" si="5"/>
        <v>143.15199999999999</v>
      </c>
      <c r="P36" s="35">
        <f t="shared" si="5"/>
        <v>280.28703703703701</v>
      </c>
    </row>
    <row r="37" spans="3:20" x14ac:dyDescent="0.25">
      <c r="C37" t="s">
        <v>100</v>
      </c>
      <c r="D37" t="s">
        <v>224</v>
      </c>
      <c r="L37" s="16">
        <f>L36-50</f>
        <v>150</v>
      </c>
      <c r="M37" s="35">
        <f t="shared" si="5"/>
        <v>112.77009345794393</v>
      </c>
      <c r="N37" s="35">
        <f t="shared" si="5"/>
        <v>140.1551401869159</v>
      </c>
      <c r="O37" s="35">
        <f t="shared" si="5"/>
        <v>127.86399999999999</v>
      </c>
      <c r="P37" s="35">
        <f t="shared" si="5"/>
        <v>242.29814814814816</v>
      </c>
    </row>
    <row r="38" spans="3:20" x14ac:dyDescent="0.25">
      <c r="C38">
        <v>1990</v>
      </c>
      <c r="D38" s="14">
        <v>2.8387323823146691E-3</v>
      </c>
      <c r="L38" s="16">
        <v>100</v>
      </c>
      <c r="M38" s="35">
        <f t="shared" si="5"/>
        <v>112.77009345794393</v>
      </c>
      <c r="N38" s="35">
        <f t="shared" si="5"/>
        <v>140.1551401869159</v>
      </c>
      <c r="O38" s="35">
        <f t="shared" si="5"/>
        <v>112.57599999999998</v>
      </c>
      <c r="P38" s="35">
        <f t="shared" si="5"/>
        <v>204.30925925925922</v>
      </c>
    </row>
    <row r="39" spans="3:20" x14ac:dyDescent="0.25">
      <c r="C39">
        <f>C38+1</f>
        <v>1991</v>
      </c>
      <c r="D39" s="14">
        <v>3.1062861898334166E-3</v>
      </c>
      <c r="L39" s="16">
        <v>50</v>
      </c>
      <c r="M39" s="35">
        <f t="shared" si="5"/>
        <v>112.77009345794393</v>
      </c>
      <c r="N39" s="35">
        <f t="shared" si="5"/>
        <v>140.1551401869159</v>
      </c>
      <c r="O39" s="35">
        <f t="shared" si="5"/>
        <v>97.287999999999982</v>
      </c>
      <c r="P39" s="35">
        <f t="shared" si="5"/>
        <v>166.32037037037034</v>
      </c>
    </row>
    <row r="40" spans="3:20" x14ac:dyDescent="0.25">
      <c r="C40">
        <f t="shared" ref="C40:C68" si="6">C39+1</f>
        <v>1992</v>
      </c>
      <c r="D40" s="14">
        <v>1.0440156857140991E-2</v>
      </c>
      <c r="L40" s="16">
        <v>10</v>
      </c>
      <c r="M40" s="35">
        <f t="shared" si="5"/>
        <v>112.77009345794393</v>
      </c>
      <c r="N40" s="35">
        <f t="shared" si="5"/>
        <v>140.1551401869159</v>
      </c>
      <c r="O40" s="35">
        <f t="shared" si="5"/>
        <v>85.057599999999994</v>
      </c>
      <c r="P40" s="35">
        <f t="shared" si="5"/>
        <v>135.92925925925925</v>
      </c>
    </row>
    <row r="41" spans="3:20" x14ac:dyDescent="0.25">
      <c r="C41">
        <f t="shared" si="6"/>
        <v>1993</v>
      </c>
      <c r="D41" s="14">
        <v>2.442633518792512E-2</v>
      </c>
      <c r="L41" s="16">
        <v>0</v>
      </c>
      <c r="M41" s="35">
        <f t="shared" si="5"/>
        <v>112.77009345794393</v>
      </c>
      <c r="N41" s="35">
        <f t="shared" si="5"/>
        <v>140.1551401869159</v>
      </c>
      <c r="O41" s="35">
        <f t="shared" si="5"/>
        <v>82</v>
      </c>
      <c r="P41" s="35">
        <f t="shared" si="5"/>
        <v>128.33148148148146</v>
      </c>
    </row>
    <row r="42" spans="3:20" x14ac:dyDescent="0.25">
      <c r="C42">
        <f t="shared" si="6"/>
        <v>1994</v>
      </c>
      <c r="D42" s="14">
        <v>6.4845724346720937E-2</v>
      </c>
    </row>
    <row r="43" spans="3:20" x14ac:dyDescent="0.25">
      <c r="C43">
        <f t="shared" si="6"/>
        <v>1995</v>
      </c>
      <c r="D43" s="14">
        <v>9.9575891968822536E-2</v>
      </c>
    </row>
    <row r="44" spans="3:20" x14ac:dyDescent="0.25">
      <c r="C44">
        <f t="shared" si="6"/>
        <v>1996</v>
      </c>
      <c r="D44" s="14">
        <v>0.1417613100202022</v>
      </c>
    </row>
    <row r="45" spans="3:20" x14ac:dyDescent="0.25">
      <c r="C45">
        <f t="shared" si="6"/>
        <v>1997</v>
      </c>
      <c r="D45" s="14">
        <v>0.1900387061462977</v>
      </c>
    </row>
    <row r="46" spans="3:20" x14ac:dyDescent="0.25">
      <c r="C46">
        <f t="shared" si="6"/>
        <v>1998</v>
      </c>
      <c r="D46" s="14">
        <v>0.17250395738108454</v>
      </c>
    </row>
    <row r="47" spans="3:20" x14ac:dyDescent="0.25">
      <c r="C47">
        <f t="shared" si="6"/>
        <v>1999</v>
      </c>
      <c r="D47" s="14">
        <v>0.18804975518925077</v>
      </c>
    </row>
    <row r="48" spans="3:20" x14ac:dyDescent="0.25">
      <c r="C48">
        <f t="shared" si="6"/>
        <v>2000</v>
      </c>
      <c r="D48" s="14">
        <v>0.29250209310668995</v>
      </c>
    </row>
    <row r="49" spans="3:16" x14ac:dyDescent="0.25">
      <c r="C49">
        <f t="shared" si="6"/>
        <v>2001</v>
      </c>
      <c r="D49" s="14">
        <v>0.33838956484565963</v>
      </c>
      <c r="L49" s="16" t="s">
        <v>130</v>
      </c>
      <c r="M49" s="16" t="s">
        <v>144</v>
      </c>
      <c r="N49" s="16" t="s">
        <v>143</v>
      </c>
      <c r="O49" s="16" t="s">
        <v>117</v>
      </c>
      <c r="P49" s="16" t="s">
        <v>118</v>
      </c>
    </row>
    <row r="50" spans="3:16" x14ac:dyDescent="0.25">
      <c r="C50">
        <f t="shared" si="6"/>
        <v>2002</v>
      </c>
      <c r="D50" s="14">
        <v>0.44292226797185663</v>
      </c>
      <c r="L50" s="16">
        <v>200</v>
      </c>
      <c r="M50" s="17">
        <v>592242.99065420567</v>
      </c>
      <c r="N50" s="17">
        <v>813364.48598130851</v>
      </c>
      <c r="O50" s="17">
        <v>882856</v>
      </c>
      <c r="P50" s="17">
        <v>1598518.5185185189</v>
      </c>
    </row>
    <row r="51" spans="3:16" x14ac:dyDescent="0.25">
      <c r="C51">
        <f t="shared" si="6"/>
        <v>2003</v>
      </c>
      <c r="D51" s="14">
        <v>0.54334542816902598</v>
      </c>
      <c r="L51" s="16">
        <v>150</v>
      </c>
      <c r="M51" s="17">
        <v>592242.99065420567</v>
      </c>
      <c r="N51" s="17">
        <v>813364.48598130851</v>
      </c>
      <c r="O51" s="17">
        <v>759642</v>
      </c>
      <c r="P51" s="17">
        <v>1292874.0740740739</v>
      </c>
    </row>
    <row r="52" spans="3:16" x14ac:dyDescent="0.25">
      <c r="C52">
        <f t="shared" si="6"/>
        <v>2004</v>
      </c>
      <c r="D52" s="14">
        <v>0.72282734166985985</v>
      </c>
      <c r="L52" s="16">
        <v>100</v>
      </c>
      <c r="M52" s="17">
        <v>592242.99065420567</v>
      </c>
      <c r="N52" s="17">
        <v>813364.48598130851</v>
      </c>
      <c r="O52" s="17">
        <v>636427.99999999988</v>
      </c>
      <c r="P52" s="17">
        <v>987229.62962962943</v>
      </c>
    </row>
    <row r="53" spans="3:16" x14ac:dyDescent="0.25">
      <c r="C53">
        <f t="shared" si="6"/>
        <v>2005</v>
      </c>
      <c r="D53" s="14">
        <v>1.2024963649503719</v>
      </c>
      <c r="L53" s="16">
        <v>50</v>
      </c>
      <c r="M53" s="17">
        <v>592242.99065420567</v>
      </c>
      <c r="N53" s="17">
        <v>813364.48598130851</v>
      </c>
      <c r="O53" s="17">
        <v>513213.99999999994</v>
      </c>
      <c r="P53" s="17">
        <v>681585.18518518505</v>
      </c>
    </row>
    <row r="54" spans="3:16" x14ac:dyDescent="0.25">
      <c r="C54">
        <f t="shared" si="6"/>
        <v>2006</v>
      </c>
      <c r="D54" s="14">
        <v>1.9466677274927582</v>
      </c>
      <c r="L54" s="16">
        <v>10</v>
      </c>
      <c r="M54" s="17">
        <v>592242.99065420567</v>
      </c>
      <c r="N54" s="17">
        <v>813364.48598130851</v>
      </c>
      <c r="O54" s="17">
        <v>414642.79999999993</v>
      </c>
      <c r="P54" s="17">
        <v>437069.62962962943</v>
      </c>
    </row>
    <row r="55" spans="3:16" x14ac:dyDescent="0.25">
      <c r="C55">
        <f t="shared" si="6"/>
        <v>2007</v>
      </c>
      <c r="D55" s="14">
        <v>2.6778269298566646</v>
      </c>
      <c r="L55" s="16">
        <v>0</v>
      </c>
      <c r="M55" s="17">
        <v>592242.99065420567</v>
      </c>
      <c r="N55" s="17">
        <v>813364.48598130851</v>
      </c>
      <c r="O55" s="17">
        <v>390000</v>
      </c>
      <c r="P55" s="17">
        <v>375940.74074074073</v>
      </c>
    </row>
    <row r="56" spans="3:16" x14ac:dyDescent="0.25">
      <c r="C56">
        <f t="shared" si="6"/>
        <v>2008</v>
      </c>
      <c r="D56" s="14">
        <v>3.3468759970900019</v>
      </c>
      <c r="L56" s="16"/>
      <c r="M56" s="17"/>
      <c r="N56" s="17"/>
      <c r="O56" s="17"/>
      <c r="P56" s="17"/>
    </row>
    <row r="57" spans="3:16" x14ac:dyDescent="0.25">
      <c r="C57">
        <f t="shared" si="6"/>
        <v>2009</v>
      </c>
      <c r="D57" s="14">
        <v>4.0419886523809776</v>
      </c>
      <c r="L57" s="16" t="s">
        <v>130</v>
      </c>
      <c r="M57" s="16" t="s">
        <v>144</v>
      </c>
      <c r="N57" s="16" t="s">
        <v>143</v>
      </c>
      <c r="O57" s="16" t="s">
        <v>117</v>
      </c>
      <c r="P57" s="16" t="s">
        <v>118</v>
      </c>
    </row>
    <row r="58" spans="3:16" x14ac:dyDescent="0.25">
      <c r="C58">
        <f t="shared" si="6"/>
        <v>2010</v>
      </c>
      <c r="D58" s="14">
        <v>4.5976293512192425</v>
      </c>
      <c r="L58" s="16">
        <v>200</v>
      </c>
      <c r="M58" s="35">
        <f t="shared" ref="M58:P63" si="7">M50/1000</f>
        <v>592.24299065420564</v>
      </c>
      <c r="N58" s="35">
        <f t="shared" si="7"/>
        <v>813.36448598130846</v>
      </c>
      <c r="O58" s="35">
        <f t="shared" si="7"/>
        <v>882.85599999999999</v>
      </c>
      <c r="P58" s="35">
        <f t="shared" si="7"/>
        <v>1598.5185185185189</v>
      </c>
    </row>
    <row r="59" spans="3:16" x14ac:dyDescent="0.25">
      <c r="C59">
        <f t="shared" si="6"/>
        <v>2011</v>
      </c>
      <c r="D59" s="14">
        <v>4.8787216238790965</v>
      </c>
      <c r="L59" s="16">
        <v>150</v>
      </c>
      <c r="M59" s="35">
        <f t="shared" si="7"/>
        <v>592.24299065420564</v>
      </c>
      <c r="N59" s="35">
        <f t="shared" si="7"/>
        <v>813.36448598130846</v>
      </c>
      <c r="O59" s="35">
        <f t="shared" si="7"/>
        <v>759.64200000000005</v>
      </c>
      <c r="P59" s="35">
        <f t="shared" si="7"/>
        <v>1292.8740740740739</v>
      </c>
    </row>
    <row r="60" spans="3:16" x14ac:dyDescent="0.25">
      <c r="C60">
        <f t="shared" si="6"/>
        <v>2012</v>
      </c>
      <c r="D60" s="14">
        <v>5.3740580503461661</v>
      </c>
      <c r="L60" s="16">
        <v>100</v>
      </c>
      <c r="M60" s="35">
        <f t="shared" si="7"/>
        <v>592.24299065420564</v>
      </c>
      <c r="N60" s="35">
        <f t="shared" si="7"/>
        <v>813.36448598130846</v>
      </c>
      <c r="O60" s="35">
        <f t="shared" si="7"/>
        <v>636.42799999999988</v>
      </c>
      <c r="P60" s="35">
        <f t="shared" si="7"/>
        <v>987.22962962962947</v>
      </c>
    </row>
    <row r="61" spans="3:16" x14ac:dyDescent="0.25">
      <c r="C61">
        <f t="shared" si="6"/>
        <v>2013</v>
      </c>
      <c r="D61" s="14">
        <v>4.8424949953973018</v>
      </c>
      <c r="L61" s="16">
        <v>50</v>
      </c>
      <c r="M61" s="35">
        <f t="shared" si="7"/>
        <v>592.24299065420564</v>
      </c>
      <c r="N61" s="35">
        <f t="shared" si="7"/>
        <v>813.36448598130846</v>
      </c>
      <c r="O61" s="35">
        <f t="shared" si="7"/>
        <v>513.21399999999994</v>
      </c>
      <c r="P61" s="35">
        <f t="shared" si="7"/>
        <v>681.58518518518508</v>
      </c>
    </row>
    <row r="62" spans="3:16" x14ac:dyDescent="0.25">
      <c r="C62">
        <f t="shared" si="6"/>
        <v>2014</v>
      </c>
      <c r="D62" s="14">
        <v>5.136742826190047</v>
      </c>
      <c r="L62" s="16">
        <v>10</v>
      </c>
      <c r="M62" s="35">
        <f t="shared" si="7"/>
        <v>592.24299065420564</v>
      </c>
      <c r="N62" s="35">
        <f t="shared" si="7"/>
        <v>813.36448598130846</v>
      </c>
      <c r="O62" s="35">
        <f t="shared" si="7"/>
        <v>414.64279999999991</v>
      </c>
      <c r="P62" s="35">
        <f t="shared" si="7"/>
        <v>437.06962962962945</v>
      </c>
    </row>
    <row r="63" spans="3:16" x14ac:dyDescent="0.25">
      <c r="C63">
        <f t="shared" si="6"/>
        <v>2015</v>
      </c>
      <c r="D63" s="14">
        <v>5.0774564812953304</v>
      </c>
      <c r="L63" s="16">
        <v>0</v>
      </c>
      <c r="M63" s="35">
        <f t="shared" si="7"/>
        <v>592.24299065420564</v>
      </c>
      <c r="N63" s="35">
        <f t="shared" si="7"/>
        <v>813.36448598130846</v>
      </c>
      <c r="O63" s="35">
        <f t="shared" si="7"/>
        <v>390</v>
      </c>
      <c r="P63" s="35">
        <f t="shared" si="7"/>
        <v>375.94074074074075</v>
      </c>
    </row>
    <row r="64" spans="3:16" x14ac:dyDescent="0.25">
      <c r="C64">
        <f t="shared" si="6"/>
        <v>2016</v>
      </c>
      <c r="D64" s="14">
        <v>4.8396513277490403</v>
      </c>
    </row>
    <row r="65" spans="3:4" x14ac:dyDescent="0.25">
      <c r="C65">
        <f t="shared" si="6"/>
        <v>2017</v>
      </c>
      <c r="D65" s="14">
        <v>5.1797766065714175</v>
      </c>
    </row>
    <row r="66" spans="3:4" x14ac:dyDescent="0.25">
      <c r="C66">
        <f t="shared" si="6"/>
        <v>2018</v>
      </c>
      <c r="D66" s="14">
        <v>5.6914055186085006</v>
      </c>
    </row>
    <row r="67" spans="3:4" x14ac:dyDescent="0.25">
      <c r="C67">
        <f t="shared" si="6"/>
        <v>2019</v>
      </c>
      <c r="D67" s="14">
        <v>5.8424460960148963</v>
      </c>
    </row>
    <row r="68" spans="3:4" x14ac:dyDescent="0.25">
      <c r="C68">
        <f t="shared" si="6"/>
        <v>2020</v>
      </c>
      <c r="D68" s="14">
        <v>6.6930009642973936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5F18-E22A-4C44-BBBD-A04AE785725D}">
  <dimension ref="A2:AJ88"/>
  <sheetViews>
    <sheetView topLeftCell="R1" zoomScale="85" zoomScaleNormal="85" workbookViewId="0">
      <selection activeCell="X3" sqref="X3"/>
    </sheetView>
  </sheetViews>
  <sheetFormatPr defaultColWidth="10.85546875" defaultRowHeight="15" x14ac:dyDescent="0.25"/>
  <cols>
    <col min="13" max="13" width="21.7109375" bestFit="1" customWidth="1"/>
    <col min="21" max="21" width="11.140625" bestFit="1" customWidth="1"/>
    <col min="22" max="22" width="13.28515625" bestFit="1" customWidth="1"/>
    <col min="23" max="23" width="12.140625" bestFit="1" customWidth="1"/>
    <col min="24" max="24" width="11.28515625" customWidth="1"/>
    <col min="26" max="26" width="11.140625" bestFit="1" customWidth="1"/>
  </cols>
  <sheetData>
    <row r="2" spans="2:34" x14ac:dyDescent="0.25">
      <c r="U2" s="61" t="s">
        <v>85</v>
      </c>
      <c r="V2" s="61"/>
      <c r="W2" s="61"/>
      <c r="X2" s="61"/>
      <c r="Y2" s="61"/>
    </row>
    <row r="3" spans="2:34" x14ac:dyDescent="0.25">
      <c r="U3" s="16">
        <f>(14+26)/2</f>
        <v>20</v>
      </c>
      <c r="V3" s="16">
        <f>(28+42)/2</f>
        <v>35</v>
      </c>
      <c r="W3" s="16">
        <f>(14+33)/2</f>
        <v>23.5</v>
      </c>
      <c r="X3" s="16">
        <f>(50+80)/2</f>
        <v>65</v>
      </c>
    </row>
    <row r="4" spans="2:34" x14ac:dyDescent="0.25">
      <c r="U4" s="16" t="s">
        <v>94</v>
      </c>
      <c r="V4" s="16" t="s">
        <v>93</v>
      </c>
      <c r="W4" s="16" t="s">
        <v>92</v>
      </c>
      <c r="X4" s="16" t="s">
        <v>95</v>
      </c>
    </row>
    <row r="5" spans="2:34" ht="15.75" thickBot="1" x14ac:dyDescent="0.3">
      <c r="C5" s="61" t="s">
        <v>83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 t="s">
        <v>84</v>
      </c>
      <c r="V5" s="61"/>
      <c r="W5" s="61"/>
      <c r="X5" s="61"/>
      <c r="Y5" s="61"/>
    </row>
    <row r="6" spans="2:34" x14ac:dyDescent="0.25">
      <c r="B6" s="1" t="s">
        <v>82</v>
      </c>
      <c r="C6" s="28" t="s">
        <v>48</v>
      </c>
      <c r="D6" s="1" t="s">
        <v>49</v>
      </c>
      <c r="E6" s="21" t="s">
        <v>90</v>
      </c>
      <c r="F6" s="22" t="s">
        <v>91</v>
      </c>
      <c r="G6" s="22" t="s">
        <v>87</v>
      </c>
      <c r="H6" s="22" t="s">
        <v>88</v>
      </c>
      <c r="I6" s="22" t="s">
        <v>86</v>
      </c>
      <c r="J6" s="22" t="s">
        <v>89</v>
      </c>
      <c r="K6" s="29" t="s">
        <v>101</v>
      </c>
      <c r="L6" s="30" t="s">
        <v>102</v>
      </c>
      <c r="M6" s="17" t="s">
        <v>58</v>
      </c>
      <c r="N6" s="20" t="s">
        <v>59</v>
      </c>
      <c r="O6" s="17" t="s">
        <v>60</v>
      </c>
      <c r="P6" s="20" t="s">
        <v>61</v>
      </c>
      <c r="Q6" s="17" t="s">
        <v>62</v>
      </c>
      <c r="R6" s="20" t="s">
        <v>63</v>
      </c>
      <c r="S6" s="20"/>
      <c r="T6" s="28" t="s">
        <v>65</v>
      </c>
      <c r="U6" s="1" t="s">
        <v>48</v>
      </c>
      <c r="V6" s="1" t="s">
        <v>86</v>
      </c>
      <c r="W6" s="1" t="s">
        <v>87</v>
      </c>
      <c r="X6" s="1" t="s">
        <v>65</v>
      </c>
      <c r="Y6" s="1" t="s">
        <v>47</v>
      </c>
      <c r="Z6" s="1" t="s">
        <v>96</v>
      </c>
      <c r="AA6" s="1" t="s">
        <v>82</v>
      </c>
    </row>
    <row r="7" spans="2:34" x14ac:dyDescent="0.25">
      <c r="B7" s="1" t="s">
        <v>14</v>
      </c>
      <c r="C7" s="17">
        <v>2512.25</v>
      </c>
      <c r="D7" s="17">
        <v>2341905.9350000001</v>
      </c>
      <c r="E7" s="23">
        <f>D7-G7-I7</f>
        <v>32241.395000000135</v>
      </c>
      <c r="F7" s="35">
        <f>E7/D7</f>
        <v>1.3767160549939053E-2</v>
      </c>
      <c r="G7" s="17">
        <v>1282971.5179999999</v>
      </c>
      <c r="H7" s="20">
        <f>G7/D7</f>
        <v>0.5478322159852248</v>
      </c>
      <c r="I7" s="17">
        <v>1026693.022</v>
      </c>
      <c r="J7" s="20">
        <f>I7/D7</f>
        <v>0.4384006234648361</v>
      </c>
      <c r="K7" s="17">
        <f>G7+N7+O7</f>
        <v>1282971.5179999999</v>
      </c>
      <c r="L7" s="27">
        <f>I7+P7+Q7</f>
        <v>1026759.583</v>
      </c>
      <c r="M7" s="17">
        <v>66.561000000000007</v>
      </c>
      <c r="N7" s="20">
        <v>0</v>
      </c>
      <c r="O7" s="17">
        <v>0</v>
      </c>
      <c r="P7" s="20">
        <v>66.561000000000007</v>
      </c>
      <c r="Q7" s="17">
        <v>0</v>
      </c>
      <c r="R7" s="20">
        <v>0</v>
      </c>
      <c r="S7" s="20">
        <f>R7/M7*100</f>
        <v>0</v>
      </c>
      <c r="T7" s="17">
        <v>259</v>
      </c>
      <c r="U7" s="17">
        <f>C7*U$3/100</f>
        <v>502.45</v>
      </c>
      <c r="V7" s="17">
        <f>L7*V$3/100</f>
        <v>359365.85405000002</v>
      </c>
      <c r="W7" s="17">
        <f>K7*W$3/100</f>
        <v>301498.30672999995</v>
      </c>
      <c r="X7" s="17">
        <f>T7*X$3/100</f>
        <v>168.35</v>
      </c>
      <c r="Y7" s="17">
        <f>SUM(U7:X7)</f>
        <v>661534.96077999996</v>
      </c>
      <c r="Z7" s="16"/>
      <c r="AA7" s="32" t="s">
        <v>14</v>
      </c>
    </row>
    <row r="8" spans="2:34" x14ac:dyDescent="0.25">
      <c r="B8" s="1" t="s">
        <v>15</v>
      </c>
      <c r="C8" s="17">
        <v>2529</v>
      </c>
      <c r="D8" s="17">
        <v>2377869.8020000001</v>
      </c>
      <c r="E8" s="23">
        <f t="shared" ref="E8:E37" si="0">D8-G8-I8</f>
        <v>31066.448000000091</v>
      </c>
      <c r="F8" s="35">
        <f t="shared" ref="F8:F37" si="1">E8/D8</f>
        <v>1.3064822966282865E-2</v>
      </c>
      <c r="G8" s="17">
        <v>1292307.548</v>
      </c>
      <c r="H8" s="20">
        <f t="shared" ref="H8:H37" si="2">G8/D8</f>
        <v>0.54347279523590997</v>
      </c>
      <c r="I8" s="17">
        <v>1054495.8060000001</v>
      </c>
      <c r="J8" s="20">
        <f t="shared" ref="J8:J37" si="3">I8/D8</f>
        <v>0.44346238179780711</v>
      </c>
      <c r="K8" s="17">
        <f t="shared" ref="K8:K37" si="4">G8+N8+O8</f>
        <v>1292307.548</v>
      </c>
      <c r="L8" s="27">
        <f t="shared" ref="L8:L37" si="5">I8+P8+Q8</f>
        <v>1054569.7580000001</v>
      </c>
      <c r="M8" s="17">
        <v>73.951999999999998</v>
      </c>
      <c r="N8" s="20">
        <v>0</v>
      </c>
      <c r="O8" s="17">
        <v>0</v>
      </c>
      <c r="P8" s="20">
        <v>73.951999999999998</v>
      </c>
      <c r="Q8" s="17">
        <v>0</v>
      </c>
      <c r="R8" s="20">
        <v>0</v>
      </c>
      <c r="S8" s="20">
        <f t="shared" ref="S8:S37" si="6">R8/M8*100</f>
        <v>0</v>
      </c>
      <c r="T8" s="17">
        <v>248</v>
      </c>
      <c r="U8" s="17">
        <f t="shared" ref="U8:U37" si="7">C8*U$3/100</f>
        <v>505.8</v>
      </c>
      <c r="V8" s="17">
        <f t="shared" ref="V8:V37" si="8">L8*V$3/100</f>
        <v>369099.41530000011</v>
      </c>
      <c r="W8" s="17">
        <f t="shared" ref="W8:W37" si="9">K8*W$3/100</f>
        <v>303692.27377999999</v>
      </c>
      <c r="X8" s="17">
        <f t="shared" ref="X8:X37" si="10">T8*X$3/100</f>
        <v>161.19999999999999</v>
      </c>
      <c r="Y8" s="17">
        <f t="shared" ref="Y8:Y37" si="11">SUM(U8:X8)</f>
        <v>673458.68908000004</v>
      </c>
      <c r="Z8" s="20">
        <f>(Y8-Y7)/Y7*100</f>
        <v>1.8024335835465286</v>
      </c>
      <c r="AA8" s="32" t="s">
        <v>15</v>
      </c>
      <c r="AD8" s="20">
        <v>1.7319497740995857</v>
      </c>
      <c r="AG8">
        <v>2019</v>
      </c>
      <c r="AH8" s="48">
        <f>Y37</f>
        <v>867029.21428000007</v>
      </c>
    </row>
    <row r="9" spans="2:34" x14ac:dyDescent="0.25">
      <c r="B9" s="1" t="s">
        <v>16</v>
      </c>
      <c r="C9" s="17">
        <v>2543.5</v>
      </c>
      <c r="D9" s="17">
        <v>2446357.4210000001</v>
      </c>
      <c r="E9" s="23">
        <f t="shared" si="0"/>
        <v>30654.863000000129</v>
      </c>
      <c r="F9" s="35">
        <f t="shared" si="1"/>
        <v>1.2530819387573099E-2</v>
      </c>
      <c r="G9" s="17">
        <v>1318270.2709999999</v>
      </c>
      <c r="H9" s="20">
        <f t="shared" si="2"/>
        <v>0.53887067346893625</v>
      </c>
      <c r="I9" s="17">
        <v>1097432.287</v>
      </c>
      <c r="J9" s="20">
        <f t="shared" si="3"/>
        <v>0.4485985071434907</v>
      </c>
      <c r="K9" s="17">
        <f t="shared" si="4"/>
        <v>1318330.2709999999</v>
      </c>
      <c r="L9" s="27">
        <f t="shared" si="5"/>
        <v>1097607.1200000001</v>
      </c>
      <c r="M9" s="17">
        <v>255.72200000000001</v>
      </c>
      <c r="N9" s="20">
        <v>0</v>
      </c>
      <c r="O9" s="17">
        <v>60</v>
      </c>
      <c r="P9" s="20">
        <v>133.72200000000001</v>
      </c>
      <c r="Q9" s="17">
        <v>41.110999999999997</v>
      </c>
      <c r="R9" s="20">
        <v>20.888999999999999</v>
      </c>
      <c r="S9" s="20">
        <f t="shared" si="6"/>
        <v>8.16863625343146</v>
      </c>
      <c r="T9" s="17">
        <v>251</v>
      </c>
      <c r="U9" s="17">
        <f t="shared" si="7"/>
        <v>508.7</v>
      </c>
      <c r="V9" s="17">
        <f t="shared" si="8"/>
        <v>384162.49200000003</v>
      </c>
      <c r="W9" s="17">
        <f t="shared" si="9"/>
        <v>309807.61368499999</v>
      </c>
      <c r="X9" s="17">
        <f t="shared" si="10"/>
        <v>163.15</v>
      </c>
      <c r="Y9" s="17">
        <f t="shared" si="11"/>
        <v>694641.95568500005</v>
      </c>
      <c r="Z9" s="20">
        <f t="shared" ref="Z9:Z37" si="12">(Y9-Y8)/Y8*100</f>
        <v>3.1454441005042333</v>
      </c>
      <c r="AA9" s="32" t="s">
        <v>16</v>
      </c>
      <c r="AD9" s="20">
        <v>3.0914153044896056</v>
      </c>
      <c r="AG9">
        <f>AG8+1</f>
        <v>2020</v>
      </c>
      <c r="AH9">
        <f>AH8*(1+$AB$31/100)</f>
        <v>880521.80053675151</v>
      </c>
    </row>
    <row r="10" spans="2:34" x14ac:dyDescent="0.25">
      <c r="B10" s="1" t="s">
        <v>17</v>
      </c>
      <c r="C10" s="17">
        <v>2585.5</v>
      </c>
      <c r="D10" s="17">
        <v>2473118.358</v>
      </c>
      <c r="E10" s="23">
        <f t="shared" si="0"/>
        <v>30822.412000000011</v>
      </c>
      <c r="F10" s="35">
        <f t="shared" si="1"/>
        <v>1.2462974891717661E-2</v>
      </c>
      <c r="G10" s="17">
        <v>1315547.946</v>
      </c>
      <c r="H10" s="20">
        <f t="shared" si="2"/>
        <v>0.53193893520885827</v>
      </c>
      <c r="I10" s="17">
        <v>1126748</v>
      </c>
      <c r="J10" s="20">
        <f t="shared" si="3"/>
        <v>0.45559808989942407</v>
      </c>
      <c r="K10" s="17">
        <f t="shared" si="4"/>
        <v>1315832.946</v>
      </c>
      <c r="L10" s="27">
        <f t="shared" si="5"/>
        <v>1127036.591</v>
      </c>
      <c r="M10" s="17">
        <v>604.92399999999998</v>
      </c>
      <c r="N10" s="20">
        <v>0</v>
      </c>
      <c r="O10" s="17">
        <v>285</v>
      </c>
      <c r="P10" s="20">
        <v>144.702</v>
      </c>
      <c r="Q10" s="17">
        <v>143.88900000000001</v>
      </c>
      <c r="R10" s="20">
        <v>31.332999999999998</v>
      </c>
      <c r="S10" s="20">
        <f t="shared" si="6"/>
        <v>5.1796589323617512</v>
      </c>
      <c r="T10" s="17">
        <v>215</v>
      </c>
      <c r="U10" s="17">
        <f t="shared" si="7"/>
        <v>517.1</v>
      </c>
      <c r="V10" s="17">
        <f t="shared" si="8"/>
        <v>394462.80685000005</v>
      </c>
      <c r="W10" s="17">
        <f t="shared" si="9"/>
        <v>309220.74231</v>
      </c>
      <c r="X10" s="17">
        <f t="shared" si="10"/>
        <v>139.75</v>
      </c>
      <c r="Y10" s="17">
        <f t="shared" si="11"/>
        <v>704340.39916000003</v>
      </c>
      <c r="Z10" s="20">
        <f t="shared" si="12"/>
        <v>1.3961787645602479</v>
      </c>
      <c r="AA10" s="32" t="s">
        <v>17</v>
      </c>
      <c r="AD10" s="20">
        <v>1.3902529042269456</v>
      </c>
      <c r="AG10">
        <f t="shared" ref="AG10:AG38" si="13">AG9+1</f>
        <v>2021</v>
      </c>
      <c r="AH10">
        <f t="shared" ref="AH10:AH39" si="14">AH9*(1+$AB$31/100)</f>
        <v>894224.35651643435</v>
      </c>
    </row>
    <row r="11" spans="2:34" x14ac:dyDescent="0.25">
      <c r="B11" s="1" t="s">
        <v>18</v>
      </c>
      <c r="C11" s="17">
        <v>2716.25</v>
      </c>
      <c r="D11" s="17">
        <v>2495009.9730000002</v>
      </c>
      <c r="E11" s="23">
        <f t="shared" si="0"/>
        <v>32184.602000000188</v>
      </c>
      <c r="F11" s="35">
        <f t="shared" si="1"/>
        <v>1.2899588517997553E-2</v>
      </c>
      <c r="G11" s="17">
        <v>1310470.0989999999</v>
      </c>
      <c r="H11" s="20">
        <f t="shared" si="2"/>
        <v>0.52523641716120695</v>
      </c>
      <c r="I11" s="17">
        <v>1152355.2720000001</v>
      </c>
      <c r="J11" s="20">
        <f t="shared" si="3"/>
        <v>0.46186399432079545</v>
      </c>
      <c r="K11" s="17">
        <f t="shared" si="4"/>
        <v>1310762.5989999999</v>
      </c>
      <c r="L11" s="27">
        <f t="shared" si="5"/>
        <v>1153652.2900000003</v>
      </c>
      <c r="M11" s="17">
        <v>1620.8520000000001</v>
      </c>
      <c r="N11" s="20">
        <v>0</v>
      </c>
      <c r="O11" s="17">
        <v>292.5</v>
      </c>
      <c r="P11" s="20">
        <v>351.46199999999999</v>
      </c>
      <c r="Q11" s="17">
        <v>945.55600000000004</v>
      </c>
      <c r="R11" s="20">
        <v>31.332999999999998</v>
      </c>
      <c r="S11" s="20">
        <f t="shared" si="6"/>
        <v>1.9331191250033932</v>
      </c>
      <c r="T11" s="17">
        <v>204</v>
      </c>
      <c r="U11" s="17">
        <f t="shared" si="7"/>
        <v>543.25</v>
      </c>
      <c r="V11" s="17">
        <f t="shared" si="8"/>
        <v>403778.30150000006</v>
      </c>
      <c r="W11" s="17">
        <f t="shared" si="9"/>
        <v>308029.21076499997</v>
      </c>
      <c r="X11" s="17">
        <f t="shared" si="10"/>
        <v>132.6</v>
      </c>
      <c r="Y11" s="17">
        <f t="shared" si="11"/>
        <v>712483.362265</v>
      </c>
      <c r="Z11" s="20">
        <f t="shared" si="12"/>
        <v>1.1561118906016628</v>
      </c>
      <c r="AA11" s="32" t="s">
        <v>18</v>
      </c>
      <c r="AD11" s="20">
        <v>1.1899433300073405</v>
      </c>
      <c r="AG11">
        <f t="shared" si="13"/>
        <v>2022</v>
      </c>
      <c r="AH11">
        <f t="shared" si="14"/>
        <v>908140.14973824099</v>
      </c>
    </row>
    <row r="12" spans="2:34" x14ac:dyDescent="0.25">
      <c r="B12" s="1" t="s">
        <v>19</v>
      </c>
      <c r="C12" s="17">
        <v>2876</v>
      </c>
      <c r="D12" s="17">
        <v>2529677.807</v>
      </c>
      <c r="E12" s="23">
        <f t="shared" si="0"/>
        <v>35227.506999999983</v>
      </c>
      <c r="F12" s="35">
        <f t="shared" si="1"/>
        <v>1.3925689233039938E-2</v>
      </c>
      <c r="G12" s="17">
        <v>1311654.575</v>
      </c>
      <c r="H12" s="20">
        <f t="shared" si="2"/>
        <v>0.51850657477820061</v>
      </c>
      <c r="I12" s="17">
        <v>1182795.7250000001</v>
      </c>
      <c r="J12" s="20">
        <f t="shared" si="3"/>
        <v>0.4675677359887595</v>
      </c>
      <c r="K12" s="17">
        <f t="shared" si="4"/>
        <v>1311939.575</v>
      </c>
      <c r="L12" s="27">
        <f t="shared" si="5"/>
        <v>1184983.0330000001</v>
      </c>
      <c r="M12" s="17">
        <v>2524.5300000000002</v>
      </c>
      <c r="N12" s="20">
        <v>0</v>
      </c>
      <c r="O12" s="17">
        <v>285</v>
      </c>
      <c r="P12" s="20">
        <v>481.197</v>
      </c>
      <c r="Q12" s="17">
        <v>1706.1110000000001</v>
      </c>
      <c r="R12" s="20">
        <v>52.222000000000001</v>
      </c>
      <c r="S12" s="20">
        <f t="shared" si="6"/>
        <v>2.0685830629859816</v>
      </c>
      <c r="T12" s="17">
        <v>204</v>
      </c>
      <c r="U12" s="17">
        <f t="shared" si="7"/>
        <v>575.20000000000005</v>
      </c>
      <c r="V12" s="17">
        <f t="shared" si="8"/>
        <v>414744.06154999998</v>
      </c>
      <c r="W12" s="17">
        <f t="shared" si="9"/>
        <v>308305.80012500001</v>
      </c>
      <c r="X12" s="17">
        <f t="shared" si="10"/>
        <v>132.6</v>
      </c>
      <c r="Y12" s="17">
        <f t="shared" si="11"/>
        <v>723757.66167499998</v>
      </c>
      <c r="Z12" s="20">
        <f t="shared" si="12"/>
        <v>1.5823947627575101</v>
      </c>
      <c r="AA12" s="32" t="s">
        <v>19</v>
      </c>
      <c r="AD12" s="20">
        <v>1.6775577147864995</v>
      </c>
      <c r="AG12">
        <f t="shared" si="13"/>
        <v>2023</v>
      </c>
      <c r="AH12">
        <f t="shared" si="14"/>
        <v>922272.49857003626</v>
      </c>
    </row>
    <row r="13" spans="2:34" x14ac:dyDescent="0.25">
      <c r="B13" s="1" t="s">
        <v>20</v>
      </c>
      <c r="C13" s="17">
        <v>3124.5</v>
      </c>
      <c r="D13" s="17">
        <v>2606600.1129999999</v>
      </c>
      <c r="E13" s="23">
        <f t="shared" si="0"/>
        <v>36763.990999999922</v>
      </c>
      <c r="F13" s="35">
        <f t="shared" si="1"/>
        <v>1.4104192974075853E-2</v>
      </c>
      <c r="G13" s="17">
        <v>1323726.294</v>
      </c>
      <c r="H13" s="20">
        <f t="shared" si="2"/>
        <v>0.50783635257212156</v>
      </c>
      <c r="I13" s="17">
        <v>1246109.828</v>
      </c>
      <c r="J13" s="20">
        <f t="shared" si="3"/>
        <v>0.47805945445380255</v>
      </c>
      <c r="K13" s="17">
        <f t="shared" si="4"/>
        <v>1324183.794</v>
      </c>
      <c r="L13" s="27">
        <f t="shared" si="5"/>
        <v>1249305.2250000001</v>
      </c>
      <c r="M13" s="17">
        <v>3705.12</v>
      </c>
      <c r="N13" s="20">
        <v>0</v>
      </c>
      <c r="O13" s="17">
        <v>457.5</v>
      </c>
      <c r="P13" s="20">
        <v>697.89700000000005</v>
      </c>
      <c r="Q13" s="17">
        <v>2497.5</v>
      </c>
      <c r="R13" s="20">
        <v>52.222000000000001</v>
      </c>
      <c r="S13" s="20">
        <f t="shared" si="6"/>
        <v>1.4094550243986699</v>
      </c>
      <c r="T13" s="17">
        <v>203</v>
      </c>
      <c r="U13" s="17">
        <f t="shared" si="7"/>
        <v>624.9</v>
      </c>
      <c r="V13" s="17">
        <f t="shared" si="8"/>
        <v>437256.82874999999</v>
      </c>
      <c r="W13" s="17">
        <f t="shared" si="9"/>
        <v>311183.19159</v>
      </c>
      <c r="X13" s="17">
        <f t="shared" si="10"/>
        <v>131.94999999999999</v>
      </c>
      <c r="Y13" s="17">
        <f t="shared" si="11"/>
        <v>749196.87033999991</v>
      </c>
      <c r="Z13" s="20">
        <f t="shared" si="12"/>
        <v>3.5148793597743331</v>
      </c>
      <c r="AA13" s="32" t="s">
        <v>20</v>
      </c>
      <c r="AD13" s="20">
        <v>3.5257699636562583</v>
      </c>
      <c r="AG13">
        <f t="shared" si="13"/>
        <v>2024</v>
      </c>
      <c r="AH13">
        <f t="shared" si="14"/>
        <v>936624.77301965724</v>
      </c>
    </row>
    <row r="14" spans="2:34" x14ac:dyDescent="0.25">
      <c r="B14" s="1" t="s">
        <v>21</v>
      </c>
      <c r="C14" s="17">
        <v>3357</v>
      </c>
      <c r="D14" s="17">
        <v>2647492.09</v>
      </c>
      <c r="E14" s="23">
        <f t="shared" si="0"/>
        <v>39952.593999999808</v>
      </c>
      <c r="F14" s="35">
        <f t="shared" si="1"/>
        <v>1.5090732150213832E-2</v>
      </c>
      <c r="G14" s="17">
        <v>1320036.9180000001</v>
      </c>
      <c r="H14" s="20">
        <f t="shared" si="2"/>
        <v>0.49859900355736292</v>
      </c>
      <c r="I14" s="17">
        <v>1287502.578</v>
      </c>
      <c r="J14" s="20">
        <f t="shared" si="3"/>
        <v>0.48631026429242324</v>
      </c>
      <c r="K14" s="17">
        <f t="shared" si="4"/>
        <v>1320681.9180000001</v>
      </c>
      <c r="L14" s="27">
        <f t="shared" si="5"/>
        <v>1291800.7420000001</v>
      </c>
      <c r="M14" s="17">
        <v>5047.6080000000002</v>
      </c>
      <c r="N14" s="20">
        <v>0</v>
      </c>
      <c r="O14" s="17">
        <v>645</v>
      </c>
      <c r="P14" s="20">
        <v>1070.941</v>
      </c>
      <c r="Q14" s="17">
        <v>3227.223</v>
      </c>
      <c r="R14" s="20">
        <v>104.444</v>
      </c>
      <c r="S14" s="20">
        <f t="shared" si="6"/>
        <v>2.0691781136728529</v>
      </c>
      <c r="T14" s="17">
        <v>198</v>
      </c>
      <c r="U14" s="17">
        <f t="shared" si="7"/>
        <v>671.4</v>
      </c>
      <c r="V14" s="17">
        <f t="shared" si="8"/>
        <v>452130.25970000005</v>
      </c>
      <c r="W14" s="17">
        <f t="shared" si="9"/>
        <v>310360.25073000003</v>
      </c>
      <c r="X14" s="17">
        <f t="shared" si="10"/>
        <v>128.69999999999999</v>
      </c>
      <c r="Y14" s="17">
        <f t="shared" si="11"/>
        <v>763290.61043000012</v>
      </c>
      <c r="Z14" s="20">
        <f t="shared" si="12"/>
        <v>1.8811797870437179</v>
      </c>
      <c r="AA14" s="32" t="s">
        <v>21</v>
      </c>
      <c r="AD14" s="20">
        <v>1.9741208170519906</v>
      </c>
      <c r="AG14">
        <f t="shared" si="13"/>
        <v>2025</v>
      </c>
      <c r="AH14">
        <f t="shared" si="14"/>
        <v>951200.3955385274</v>
      </c>
    </row>
    <row r="15" spans="2:34" x14ac:dyDescent="0.25">
      <c r="B15" s="1" t="s">
        <v>22</v>
      </c>
      <c r="C15" s="17">
        <v>3438.25</v>
      </c>
      <c r="D15" s="17">
        <v>2754212.602</v>
      </c>
      <c r="E15" s="23">
        <f t="shared" si="0"/>
        <v>40947.321999999927</v>
      </c>
      <c r="F15" s="35">
        <f t="shared" si="1"/>
        <v>1.4867160933860228E-2</v>
      </c>
      <c r="G15" s="17">
        <v>1330877.064</v>
      </c>
      <c r="H15" s="20">
        <f t="shared" si="2"/>
        <v>0.48321508043118017</v>
      </c>
      <c r="I15" s="17">
        <v>1382388.216</v>
      </c>
      <c r="J15" s="20">
        <f t="shared" si="3"/>
        <v>0.50191775863495958</v>
      </c>
      <c r="K15" s="17">
        <f t="shared" si="4"/>
        <v>1331619.564</v>
      </c>
      <c r="L15" s="27">
        <f t="shared" si="5"/>
        <v>1386296.4100000001</v>
      </c>
      <c r="M15" s="17">
        <v>4765.5829999999996</v>
      </c>
      <c r="N15" s="20">
        <v>0</v>
      </c>
      <c r="O15" s="17">
        <v>742.5</v>
      </c>
      <c r="P15" s="20">
        <v>1184.5830000000001</v>
      </c>
      <c r="Q15" s="17">
        <v>2723.6109999999999</v>
      </c>
      <c r="R15" s="20">
        <v>114.889</v>
      </c>
      <c r="S15" s="20">
        <f t="shared" si="6"/>
        <v>2.4108068204876507</v>
      </c>
      <c r="T15" s="17">
        <v>177</v>
      </c>
      <c r="U15" s="17">
        <f t="shared" si="7"/>
        <v>687.65</v>
      </c>
      <c r="V15" s="17">
        <f t="shared" si="8"/>
        <v>485203.7435000001</v>
      </c>
      <c r="W15" s="17">
        <f t="shared" si="9"/>
        <v>312930.59753999999</v>
      </c>
      <c r="X15" s="17">
        <f t="shared" si="10"/>
        <v>115.05</v>
      </c>
      <c r="Y15" s="17">
        <f t="shared" si="11"/>
        <v>798937.04104000016</v>
      </c>
      <c r="Z15" s="20">
        <f t="shared" si="12"/>
        <v>4.6700994513634342</v>
      </c>
      <c r="AA15" s="32" t="s">
        <v>22</v>
      </c>
      <c r="AD15" s="20">
        <v>4.6541206614798272</v>
      </c>
      <c r="AG15">
        <f t="shared" si="13"/>
        <v>2026</v>
      </c>
      <c r="AH15">
        <f t="shared" si="14"/>
        <v>966002.84183777624</v>
      </c>
    </row>
    <row r="16" spans="2:34" x14ac:dyDescent="0.25">
      <c r="B16" s="1" t="s">
        <v>23</v>
      </c>
      <c r="C16" s="17">
        <v>3476</v>
      </c>
      <c r="D16" s="17">
        <v>2816586.452</v>
      </c>
      <c r="E16" s="23">
        <f t="shared" si="0"/>
        <v>40669.800000000047</v>
      </c>
      <c r="F16" s="35">
        <f t="shared" si="1"/>
        <v>1.4439393461940874E-2</v>
      </c>
      <c r="G16" s="17">
        <v>1328483.736</v>
      </c>
      <c r="H16" s="20">
        <f t="shared" si="2"/>
        <v>0.47166446286662744</v>
      </c>
      <c r="I16" s="17">
        <v>1447432.916</v>
      </c>
      <c r="J16" s="20">
        <f t="shared" si="3"/>
        <v>0.51389614367143166</v>
      </c>
      <c r="K16" s="17">
        <f t="shared" si="4"/>
        <v>1329181.236</v>
      </c>
      <c r="L16" s="27">
        <f t="shared" si="5"/>
        <v>1451902.6269999999</v>
      </c>
      <c r="M16" s="17">
        <v>5313.4340000000002</v>
      </c>
      <c r="N16" s="20">
        <v>0</v>
      </c>
      <c r="O16" s="17">
        <v>697.5</v>
      </c>
      <c r="P16" s="20">
        <v>1509.711</v>
      </c>
      <c r="Q16" s="17">
        <v>2960</v>
      </c>
      <c r="R16" s="20">
        <v>146.22200000000001</v>
      </c>
      <c r="S16" s="20">
        <f t="shared" si="6"/>
        <v>2.7519302959253844</v>
      </c>
      <c r="T16" s="17">
        <v>171</v>
      </c>
      <c r="U16" s="17">
        <f t="shared" si="7"/>
        <v>695.2</v>
      </c>
      <c r="V16" s="17">
        <f t="shared" si="8"/>
        <v>508165.91944999993</v>
      </c>
      <c r="W16" s="17">
        <f t="shared" si="9"/>
        <v>312357.59045999998</v>
      </c>
      <c r="X16" s="17">
        <f t="shared" si="10"/>
        <v>111.15</v>
      </c>
      <c r="Y16" s="17">
        <f t="shared" si="11"/>
        <v>821329.85991</v>
      </c>
      <c r="Z16" s="20">
        <f t="shared" si="12"/>
        <v>2.8028264706378416</v>
      </c>
      <c r="AA16" s="32" t="s">
        <v>23</v>
      </c>
      <c r="AD16" s="20">
        <v>2.7575340369520371</v>
      </c>
      <c r="AG16">
        <f t="shared" si="13"/>
        <v>2027</v>
      </c>
      <c r="AH16">
        <f t="shared" si="14"/>
        <v>981035.64171705919</v>
      </c>
    </row>
    <row r="17" spans="2:34" x14ac:dyDescent="0.25">
      <c r="B17" s="1" t="s">
        <v>24</v>
      </c>
      <c r="C17" s="17">
        <v>4332.2489999999998</v>
      </c>
      <c r="D17" s="17">
        <v>2815103.0920000002</v>
      </c>
      <c r="E17" s="23">
        <f t="shared" si="0"/>
        <v>41901.103000000119</v>
      </c>
      <c r="F17" s="35">
        <f t="shared" si="1"/>
        <v>1.4884393796829419E-2</v>
      </c>
      <c r="G17" s="17">
        <v>1271115.919</v>
      </c>
      <c r="H17" s="20">
        <f t="shared" si="2"/>
        <v>0.45153441187012838</v>
      </c>
      <c r="I17" s="17">
        <v>1502086.07</v>
      </c>
      <c r="J17" s="20">
        <f t="shared" si="3"/>
        <v>0.53358119433304219</v>
      </c>
      <c r="K17" s="17">
        <f t="shared" si="4"/>
        <v>1271798.419</v>
      </c>
      <c r="L17" s="27">
        <f t="shared" si="5"/>
        <v>1509508.2460000003</v>
      </c>
      <c r="M17" s="17">
        <v>8271.7870000000003</v>
      </c>
      <c r="N17" s="20">
        <v>0</v>
      </c>
      <c r="O17" s="17">
        <v>682.5</v>
      </c>
      <c r="P17" s="20">
        <v>2766.3429999999998</v>
      </c>
      <c r="Q17" s="17">
        <v>4655.8329999999996</v>
      </c>
      <c r="R17" s="20">
        <v>167.11099999999999</v>
      </c>
      <c r="S17" s="20">
        <f t="shared" si="6"/>
        <v>2.0202526975126411</v>
      </c>
      <c r="T17" s="17">
        <v>234</v>
      </c>
      <c r="U17" s="17">
        <f t="shared" si="7"/>
        <v>866.44979999999998</v>
      </c>
      <c r="V17" s="17">
        <f t="shared" si="8"/>
        <v>528327.88610000012</v>
      </c>
      <c r="W17" s="17">
        <f t="shared" si="9"/>
        <v>298872.62846499996</v>
      </c>
      <c r="X17" s="17">
        <f t="shared" si="10"/>
        <v>152.1</v>
      </c>
      <c r="Y17" s="17">
        <f t="shared" si="11"/>
        <v>828219.064365</v>
      </c>
      <c r="Z17" s="20">
        <f t="shared" si="12"/>
        <v>0.8387865571762978</v>
      </c>
      <c r="AA17" s="32" t="s">
        <v>24</v>
      </c>
      <c r="AD17" s="20">
        <v>0.86265546261952675</v>
      </c>
      <c r="AG17">
        <f t="shared" si="13"/>
        <v>2028</v>
      </c>
      <c r="AH17">
        <f t="shared" si="14"/>
        <v>996302.37990627566</v>
      </c>
    </row>
    <row r="18" spans="2:34" x14ac:dyDescent="0.25">
      <c r="B18" s="1" t="s">
        <v>25</v>
      </c>
      <c r="C18" s="17">
        <v>5917.2489999999998</v>
      </c>
      <c r="D18" s="17">
        <v>2864029.6570000001</v>
      </c>
      <c r="E18" s="23">
        <f t="shared" si="0"/>
        <v>44127.569000000134</v>
      </c>
      <c r="F18" s="35">
        <f t="shared" si="1"/>
        <v>1.5407511193938775E-2</v>
      </c>
      <c r="G18" s="17">
        <v>1252643.9739999999</v>
      </c>
      <c r="H18" s="20">
        <f t="shared" si="2"/>
        <v>0.43737116022468614</v>
      </c>
      <c r="I18" s="17">
        <v>1567258.1140000001</v>
      </c>
      <c r="J18" s="20">
        <f t="shared" si="3"/>
        <v>0.54722132858137507</v>
      </c>
      <c r="K18" s="17">
        <f t="shared" si="4"/>
        <v>1253408.9739999999</v>
      </c>
      <c r="L18" s="27">
        <f t="shared" si="5"/>
        <v>1576029.595</v>
      </c>
      <c r="M18" s="17">
        <v>9745.3700000000008</v>
      </c>
      <c r="N18" s="20">
        <v>0</v>
      </c>
      <c r="O18" s="17">
        <v>765</v>
      </c>
      <c r="P18" s="20">
        <v>3817.9769999999999</v>
      </c>
      <c r="Q18" s="17">
        <v>4953.5039999999999</v>
      </c>
      <c r="R18" s="20">
        <v>208.88900000000001</v>
      </c>
      <c r="S18" s="20">
        <f t="shared" si="6"/>
        <v>2.1434691550962151</v>
      </c>
      <c r="T18" s="17">
        <v>234</v>
      </c>
      <c r="U18" s="17">
        <f t="shared" si="7"/>
        <v>1183.4497999999999</v>
      </c>
      <c r="V18" s="17">
        <f t="shared" si="8"/>
        <v>551610.35824999993</v>
      </c>
      <c r="W18" s="17">
        <f t="shared" si="9"/>
        <v>294551.10888999997</v>
      </c>
      <c r="X18" s="17">
        <f t="shared" si="10"/>
        <v>152.1</v>
      </c>
      <c r="Y18" s="17">
        <f t="shared" si="11"/>
        <v>847497.01693999988</v>
      </c>
      <c r="Z18" s="20">
        <f t="shared" si="12"/>
        <v>2.3276393172355183</v>
      </c>
      <c r="AA18" s="32" t="s">
        <v>25</v>
      </c>
      <c r="AB18" s="14">
        <f>AVERAGE(Z19:Z24)</f>
        <v>2.0758560609067351</v>
      </c>
      <c r="AD18" s="20">
        <v>2.3743010090094345</v>
      </c>
      <c r="AE18" s="14">
        <f>AVERAGE(AD18:AD30)</f>
        <v>1.8742127092738845</v>
      </c>
      <c r="AG18">
        <f t="shared" si="13"/>
        <v>2029</v>
      </c>
      <c r="AH18">
        <f t="shared" si="14"/>
        <v>1011806.6969203859</v>
      </c>
    </row>
    <row r="19" spans="2:34" x14ac:dyDescent="0.25">
      <c r="B19" s="1" t="s">
        <v>26</v>
      </c>
      <c r="C19" s="17">
        <v>5579.5</v>
      </c>
      <c r="D19" s="17">
        <v>2899912.145</v>
      </c>
      <c r="E19" s="23">
        <f t="shared" si="0"/>
        <v>46849.64599999995</v>
      </c>
      <c r="F19" s="35">
        <f t="shared" si="1"/>
        <v>1.6155539774119588E-2</v>
      </c>
      <c r="G19" s="17">
        <v>1230817.3640000001</v>
      </c>
      <c r="H19" s="20">
        <f t="shared" si="2"/>
        <v>0.4244326388032697</v>
      </c>
      <c r="I19" s="17">
        <v>1622245.135</v>
      </c>
      <c r="J19" s="20">
        <f t="shared" si="3"/>
        <v>0.5594118214226107</v>
      </c>
      <c r="K19" s="17">
        <f t="shared" si="4"/>
        <v>1232670.0160000001</v>
      </c>
      <c r="L19" s="27">
        <f t="shared" si="5"/>
        <v>1633069.189</v>
      </c>
      <c r="M19" s="17">
        <v>12927.373</v>
      </c>
      <c r="N19" s="20">
        <v>0</v>
      </c>
      <c r="O19" s="17">
        <v>1852.652</v>
      </c>
      <c r="P19" s="20">
        <v>5895.8879999999999</v>
      </c>
      <c r="Q19" s="17">
        <v>4928.1660000000002</v>
      </c>
      <c r="R19" s="20">
        <v>250.667</v>
      </c>
      <c r="S19" s="20">
        <f t="shared" si="6"/>
        <v>1.9390405150373553</v>
      </c>
      <c r="T19" s="17">
        <v>236</v>
      </c>
      <c r="U19" s="17">
        <f t="shared" si="7"/>
        <v>1115.9000000000001</v>
      </c>
      <c r="V19" s="17">
        <f t="shared" si="8"/>
        <v>571574.21614999999</v>
      </c>
      <c r="W19" s="17">
        <f t="shared" si="9"/>
        <v>289677.45376</v>
      </c>
      <c r="X19" s="17">
        <f t="shared" si="10"/>
        <v>153.4</v>
      </c>
      <c r="Y19" s="17">
        <f t="shared" si="11"/>
        <v>862520.9699100001</v>
      </c>
      <c r="Z19" s="20">
        <f t="shared" si="12"/>
        <v>1.7727440533355725</v>
      </c>
      <c r="AA19" s="32" t="s">
        <v>26</v>
      </c>
      <c r="AD19" s="20">
        <v>1.8440680021595262</v>
      </c>
      <c r="AG19">
        <f t="shared" si="13"/>
        <v>2030</v>
      </c>
      <c r="AH19">
        <f t="shared" si="14"/>
        <v>1027552.2899275302</v>
      </c>
    </row>
    <row r="20" spans="2:34" x14ac:dyDescent="0.25">
      <c r="B20" s="1" t="s">
        <v>27</v>
      </c>
      <c r="C20" s="17">
        <v>5625.2539999999999</v>
      </c>
      <c r="D20" s="17">
        <v>2928222.7519999999</v>
      </c>
      <c r="E20" s="23">
        <f t="shared" si="0"/>
        <v>48534.87099999981</v>
      </c>
      <c r="F20" s="35">
        <f t="shared" si="1"/>
        <v>1.6574856187716629E-2</v>
      </c>
      <c r="G20" s="17">
        <v>1187258.0190000001</v>
      </c>
      <c r="H20" s="20">
        <f t="shared" si="2"/>
        <v>0.40545345062601307</v>
      </c>
      <c r="I20" s="17">
        <v>1692429.862</v>
      </c>
      <c r="J20" s="20">
        <f t="shared" si="3"/>
        <v>0.57797169318627029</v>
      </c>
      <c r="K20" s="17">
        <f t="shared" si="4"/>
        <v>1190078.932</v>
      </c>
      <c r="L20" s="27">
        <f t="shared" si="5"/>
        <v>1705598.4579999999</v>
      </c>
      <c r="M20" s="17">
        <v>16029.425999999999</v>
      </c>
      <c r="N20" s="20">
        <v>0</v>
      </c>
      <c r="O20" s="17">
        <v>2820.913</v>
      </c>
      <c r="P20" s="20">
        <v>8172.1260000000002</v>
      </c>
      <c r="Q20" s="17">
        <v>4996.47</v>
      </c>
      <c r="R20" s="20">
        <v>39.917999999999999</v>
      </c>
      <c r="S20" s="20">
        <f t="shared" si="6"/>
        <v>0.24902950361416562</v>
      </c>
      <c r="T20" s="17">
        <v>258</v>
      </c>
      <c r="U20" s="17">
        <f t="shared" si="7"/>
        <v>1125.0508</v>
      </c>
      <c r="V20" s="17">
        <f t="shared" si="8"/>
        <v>596959.46029999992</v>
      </c>
      <c r="W20" s="17">
        <f t="shared" si="9"/>
        <v>279668.54902000003</v>
      </c>
      <c r="X20" s="17">
        <f t="shared" si="10"/>
        <v>167.7</v>
      </c>
      <c r="Y20" s="17">
        <f t="shared" si="11"/>
        <v>877920.76011999988</v>
      </c>
      <c r="Z20" s="20">
        <f t="shared" si="12"/>
        <v>1.7854395136163086</v>
      </c>
      <c r="AA20" s="32" t="s">
        <v>27</v>
      </c>
      <c r="AD20" s="20">
        <v>1.8149061601430643</v>
      </c>
      <c r="AG20">
        <f t="shared" si="13"/>
        <v>2031</v>
      </c>
      <c r="AH20">
        <f t="shared" si="14"/>
        <v>1043542.9136306575</v>
      </c>
    </row>
    <row r="21" spans="2:34" x14ac:dyDescent="0.25">
      <c r="B21" s="1" t="s">
        <v>28</v>
      </c>
      <c r="C21" s="17">
        <v>5810.8540000000003</v>
      </c>
      <c r="D21" s="17">
        <v>2993895.0759999999</v>
      </c>
      <c r="E21" s="23">
        <f t="shared" si="0"/>
        <v>52302.561999999918</v>
      </c>
      <c r="F21" s="35">
        <f t="shared" si="1"/>
        <v>1.7469737807204275E-2</v>
      </c>
      <c r="G21" s="17">
        <v>1149104.9609999999</v>
      </c>
      <c r="H21" s="20">
        <f t="shared" si="2"/>
        <v>0.38381604292401061</v>
      </c>
      <c r="I21" s="17">
        <v>1792487.5530000001</v>
      </c>
      <c r="J21" s="20">
        <f t="shared" si="3"/>
        <v>0.5987142192687851</v>
      </c>
      <c r="K21" s="17">
        <f t="shared" si="4"/>
        <v>1152667.0289999999</v>
      </c>
      <c r="L21" s="27">
        <f t="shared" si="5"/>
        <v>1810655.621</v>
      </c>
      <c r="M21" s="17">
        <v>21842.813999999998</v>
      </c>
      <c r="N21" s="20">
        <v>157.01599999999999</v>
      </c>
      <c r="O21" s="17">
        <v>3405.0520000000001</v>
      </c>
      <c r="P21" s="20">
        <v>7465.8310000000001</v>
      </c>
      <c r="Q21" s="17">
        <v>10702.236999999999</v>
      </c>
      <c r="R21" s="20">
        <v>112.678</v>
      </c>
      <c r="S21" s="20">
        <f t="shared" si="6"/>
        <v>0.51585844204872144</v>
      </c>
      <c r="T21" s="17">
        <v>309</v>
      </c>
      <c r="U21" s="17">
        <f t="shared" si="7"/>
        <v>1162.1708000000001</v>
      </c>
      <c r="V21" s="17">
        <f t="shared" si="8"/>
        <v>633729.46735000005</v>
      </c>
      <c r="W21" s="17">
        <f t="shared" si="9"/>
        <v>270876.75181499997</v>
      </c>
      <c r="X21" s="17">
        <f t="shared" si="10"/>
        <v>200.85</v>
      </c>
      <c r="Y21" s="17">
        <f t="shared" si="11"/>
        <v>905969.23996499996</v>
      </c>
      <c r="Z21" s="20">
        <f t="shared" si="12"/>
        <v>3.1948760206064879</v>
      </c>
      <c r="AA21" s="32" t="s">
        <v>28</v>
      </c>
      <c r="AD21" s="20">
        <v>3.2669679123855841</v>
      </c>
      <c r="AG21">
        <f t="shared" si="13"/>
        <v>2032</v>
      </c>
      <c r="AH21">
        <f t="shared" si="14"/>
        <v>1059782.3811628739</v>
      </c>
    </row>
    <row r="22" spans="2:34" x14ac:dyDescent="0.25">
      <c r="B22" s="1" t="s">
        <v>29</v>
      </c>
      <c r="C22" s="17">
        <v>6565.9319999999998</v>
      </c>
      <c r="D22" s="17">
        <v>2982399.7850000001</v>
      </c>
      <c r="E22" s="23">
        <f t="shared" si="0"/>
        <v>53910.940000000177</v>
      </c>
      <c r="F22" s="35">
        <f t="shared" si="1"/>
        <v>1.8076362622860158E-2</v>
      </c>
      <c r="G22" s="17">
        <v>1094403.121</v>
      </c>
      <c r="H22" s="20">
        <f t="shared" si="2"/>
        <v>0.36695386262576463</v>
      </c>
      <c r="I22" s="17">
        <v>1834085.7239999999</v>
      </c>
      <c r="J22" s="20">
        <f t="shared" si="3"/>
        <v>0.61496977475137515</v>
      </c>
      <c r="K22" s="17">
        <f t="shared" si="4"/>
        <v>1100723.682</v>
      </c>
      <c r="L22" s="27">
        <f t="shared" si="5"/>
        <v>1862452.216</v>
      </c>
      <c r="M22" s="17">
        <v>36383.362999999998</v>
      </c>
      <c r="N22" s="20">
        <v>92.159000000000006</v>
      </c>
      <c r="O22" s="17">
        <v>6228.402</v>
      </c>
      <c r="P22" s="20">
        <v>11283.492</v>
      </c>
      <c r="Q22" s="17">
        <v>17083</v>
      </c>
      <c r="R22" s="20">
        <v>1696.31</v>
      </c>
      <c r="S22" s="20">
        <f t="shared" si="6"/>
        <v>4.6623232712160227</v>
      </c>
      <c r="T22" s="17">
        <v>303.56099999999998</v>
      </c>
      <c r="U22" s="17">
        <f t="shared" si="7"/>
        <v>1313.1863999999998</v>
      </c>
      <c r="V22" s="17">
        <f t="shared" si="8"/>
        <v>651858.27560000005</v>
      </c>
      <c r="W22" s="17">
        <f t="shared" si="9"/>
        <v>258670.06527000002</v>
      </c>
      <c r="X22" s="17">
        <f t="shared" si="10"/>
        <v>197.31465</v>
      </c>
      <c r="Y22" s="17">
        <f t="shared" si="11"/>
        <v>912038.84192000004</v>
      </c>
      <c r="Z22" s="20">
        <f t="shared" si="12"/>
        <v>0.6699567366365069</v>
      </c>
      <c r="AA22" s="32" t="s">
        <v>29</v>
      </c>
      <c r="AD22" s="20">
        <v>0.74358662007616172</v>
      </c>
      <c r="AG22">
        <f t="shared" si="13"/>
        <v>2033</v>
      </c>
      <c r="AH22">
        <f t="shared" si="14"/>
        <v>1076274.5649967252</v>
      </c>
    </row>
    <row r="23" spans="2:34" x14ac:dyDescent="0.25">
      <c r="B23" s="1" t="s">
        <v>30</v>
      </c>
      <c r="C23" s="17">
        <v>7914.116</v>
      </c>
      <c r="D23" s="17">
        <v>3025785.1719999998</v>
      </c>
      <c r="E23" s="23">
        <f t="shared" si="0"/>
        <v>55656.540999999736</v>
      </c>
      <c r="F23" s="35">
        <f t="shared" si="1"/>
        <v>1.8394082142722503E-2</v>
      </c>
      <c r="G23" s="17">
        <v>1056276.4720000001</v>
      </c>
      <c r="H23" s="20">
        <f t="shared" si="2"/>
        <v>0.34909169420703345</v>
      </c>
      <c r="I23" s="17">
        <v>1913852.159</v>
      </c>
      <c r="J23" s="20">
        <f t="shared" si="3"/>
        <v>0.63251422365024401</v>
      </c>
      <c r="K23" s="17">
        <f t="shared" si="4"/>
        <v>1066060.4739999999</v>
      </c>
      <c r="L23" s="27">
        <f t="shared" si="5"/>
        <v>1957252.3589999999</v>
      </c>
      <c r="M23" s="17">
        <v>60234.623</v>
      </c>
      <c r="N23" s="20">
        <v>106.67</v>
      </c>
      <c r="O23" s="17">
        <v>9677.3320000000003</v>
      </c>
      <c r="P23" s="20">
        <v>19615.939999999999</v>
      </c>
      <c r="Q23" s="17">
        <v>23784.26</v>
      </c>
      <c r="R23" s="20">
        <v>7050.42</v>
      </c>
      <c r="S23" s="20">
        <f t="shared" si="6"/>
        <v>11.704929239782908</v>
      </c>
      <c r="T23" s="17">
        <v>308.73899999999998</v>
      </c>
      <c r="U23" s="17">
        <f t="shared" si="7"/>
        <v>1582.8232</v>
      </c>
      <c r="V23" s="17">
        <f t="shared" si="8"/>
        <v>685038.32565000001</v>
      </c>
      <c r="W23" s="17">
        <f t="shared" si="9"/>
        <v>250524.21138999998</v>
      </c>
      <c r="X23" s="17">
        <f t="shared" si="10"/>
        <v>200.68035</v>
      </c>
      <c r="Y23" s="17">
        <f t="shared" si="11"/>
        <v>937346.04058999999</v>
      </c>
      <c r="Z23" s="20">
        <f t="shared" si="12"/>
        <v>2.7747939568805986</v>
      </c>
      <c r="AA23" s="32" t="s">
        <v>30</v>
      </c>
      <c r="AD23" s="20">
        <v>2.9286565723715516</v>
      </c>
      <c r="AG23">
        <f t="shared" si="13"/>
        <v>2034</v>
      </c>
      <c r="AH23">
        <f t="shared" si="14"/>
        <v>1093023.3978676279</v>
      </c>
    </row>
    <row r="24" spans="2:34" x14ac:dyDescent="0.25">
      <c r="B24" s="1" t="s">
        <v>31</v>
      </c>
      <c r="C24" s="17">
        <v>8754.8520000000008</v>
      </c>
      <c r="D24" s="17">
        <v>3051656.8859999999</v>
      </c>
      <c r="E24" s="23">
        <f t="shared" si="0"/>
        <v>55411.095999999903</v>
      </c>
      <c r="F24" s="35">
        <f t="shared" si="1"/>
        <v>1.8157708441669123E-2</v>
      </c>
      <c r="G24" s="17">
        <v>1019637.226</v>
      </c>
      <c r="H24" s="20">
        <f t="shared" si="2"/>
        <v>0.33412577628820622</v>
      </c>
      <c r="I24" s="17">
        <v>1976608.564</v>
      </c>
      <c r="J24" s="20">
        <f t="shared" si="3"/>
        <v>0.64771651527012464</v>
      </c>
      <c r="K24" s="17">
        <f t="shared" si="4"/>
        <v>1032325.539</v>
      </c>
      <c r="L24" s="27">
        <f t="shared" si="5"/>
        <v>2039879.4500000002</v>
      </c>
      <c r="M24" s="17">
        <v>84215.914000000004</v>
      </c>
      <c r="N24" s="20">
        <v>166.78899999999999</v>
      </c>
      <c r="O24" s="17">
        <v>12521.523999999999</v>
      </c>
      <c r="P24" s="20">
        <v>19535.293000000001</v>
      </c>
      <c r="Q24" s="17">
        <v>43735.593000000001</v>
      </c>
      <c r="R24" s="20">
        <v>8256.7150000000001</v>
      </c>
      <c r="S24" s="20">
        <f t="shared" si="6"/>
        <v>9.8042218006444717</v>
      </c>
      <c r="T24" s="17">
        <v>307.25799999999998</v>
      </c>
      <c r="U24" s="17">
        <f t="shared" si="7"/>
        <v>1750.9704000000002</v>
      </c>
      <c r="V24" s="17">
        <f t="shared" si="8"/>
        <v>713957.8075</v>
      </c>
      <c r="W24" s="17">
        <f t="shared" si="9"/>
        <v>242596.50166499999</v>
      </c>
      <c r="X24" s="17">
        <f t="shared" si="10"/>
        <v>199.71770000000001</v>
      </c>
      <c r="Y24" s="17">
        <f t="shared" si="11"/>
        <v>958504.99726500001</v>
      </c>
      <c r="Z24" s="20">
        <f t="shared" si="12"/>
        <v>2.2573260843649372</v>
      </c>
      <c r="AA24" s="32" t="s">
        <v>31</v>
      </c>
      <c r="AD24" s="20">
        <v>2.1963321901182744</v>
      </c>
      <c r="AG24">
        <f t="shared" si="13"/>
        <v>2035</v>
      </c>
      <c r="AH24">
        <f t="shared" si="14"/>
        <v>1110032.8737116724</v>
      </c>
    </row>
    <row r="25" spans="2:34" x14ac:dyDescent="0.25">
      <c r="B25" s="1" t="s">
        <v>32</v>
      </c>
      <c r="C25" s="17">
        <v>9499.277</v>
      </c>
      <c r="D25" s="17">
        <v>2989742.4180000001</v>
      </c>
      <c r="E25" s="23">
        <f t="shared" si="0"/>
        <v>57179.509000000078</v>
      </c>
      <c r="F25" s="35">
        <f t="shared" si="1"/>
        <v>1.9125229202270385E-2</v>
      </c>
      <c r="G25" s="17">
        <v>967935.56</v>
      </c>
      <c r="H25" s="20">
        <f t="shared" si="2"/>
        <v>0.32375215810314001</v>
      </c>
      <c r="I25" s="17">
        <v>1964627.3489999999</v>
      </c>
      <c r="J25" s="20">
        <f t="shared" si="3"/>
        <v>0.6571226126945896</v>
      </c>
      <c r="K25" s="17">
        <f t="shared" si="4"/>
        <v>987607.15800000005</v>
      </c>
      <c r="L25" s="27">
        <f t="shared" si="5"/>
        <v>2045244.101</v>
      </c>
      <c r="M25" s="17">
        <v>103867.462</v>
      </c>
      <c r="N25" s="20">
        <v>188.995</v>
      </c>
      <c r="O25" s="17">
        <v>19482.602999999999</v>
      </c>
      <c r="P25" s="20">
        <v>12420.581</v>
      </c>
      <c r="Q25" s="17">
        <v>68196.171000000002</v>
      </c>
      <c r="R25" s="20">
        <v>3357.4450000000002</v>
      </c>
      <c r="S25" s="20">
        <f t="shared" si="6"/>
        <v>3.2324319236759629</v>
      </c>
      <c r="T25" s="17">
        <v>306.15100000000001</v>
      </c>
      <c r="U25" s="17">
        <f t="shared" si="7"/>
        <v>1899.8554000000001</v>
      </c>
      <c r="V25" s="17">
        <f t="shared" si="8"/>
        <v>715835.43534999993</v>
      </c>
      <c r="W25" s="17">
        <f t="shared" si="9"/>
        <v>232087.68213</v>
      </c>
      <c r="X25" s="17">
        <f t="shared" si="10"/>
        <v>198.99815000000001</v>
      </c>
      <c r="Y25" s="19">
        <f t="shared" si="11"/>
        <v>950021.9710299999</v>
      </c>
      <c r="Z25" s="33">
        <f t="shared" si="12"/>
        <v>-0.88502681354876578</v>
      </c>
      <c r="AA25" s="34" t="s">
        <v>32</v>
      </c>
      <c r="AD25" s="20">
        <v>1.8647496719344614</v>
      </c>
      <c r="AG25">
        <f t="shared" si="13"/>
        <v>2036</v>
      </c>
      <c r="AH25">
        <f t="shared" si="14"/>
        <v>1127307.0486180182</v>
      </c>
    </row>
    <row r="26" spans="2:34" x14ac:dyDescent="0.25">
      <c r="B26" s="1" t="s">
        <v>33</v>
      </c>
      <c r="C26" s="17">
        <v>11016.989</v>
      </c>
      <c r="D26" s="17">
        <v>2903624.09</v>
      </c>
      <c r="E26" s="23">
        <f t="shared" si="0"/>
        <v>59230.503000000026</v>
      </c>
      <c r="F26" s="35">
        <f t="shared" si="1"/>
        <v>2.0398819256248844E-2</v>
      </c>
      <c r="G26" s="17">
        <v>930919.73800000001</v>
      </c>
      <c r="H26" s="20">
        <f t="shared" si="2"/>
        <v>0.32060614912448948</v>
      </c>
      <c r="I26" s="17">
        <v>1913473.8489999999</v>
      </c>
      <c r="J26" s="20">
        <f t="shared" si="3"/>
        <v>0.65899503161926176</v>
      </c>
      <c r="K26" s="17">
        <f t="shared" si="4"/>
        <v>954972.58900000004</v>
      </c>
      <c r="L26" s="27">
        <f t="shared" si="5"/>
        <v>2011064.9450000001</v>
      </c>
      <c r="M26" s="17">
        <v>122786.58</v>
      </c>
      <c r="N26" s="20">
        <v>188.33699999999999</v>
      </c>
      <c r="O26" s="17">
        <v>23864.513999999999</v>
      </c>
      <c r="P26" s="20">
        <v>5941.2120000000004</v>
      </c>
      <c r="Q26" s="17">
        <v>91649.884000000005</v>
      </c>
      <c r="R26" s="20">
        <v>883.452</v>
      </c>
      <c r="S26" s="20">
        <f t="shared" si="6"/>
        <v>0.71950208239369484</v>
      </c>
      <c r="T26" s="17">
        <v>348.80399999999997</v>
      </c>
      <c r="U26" s="17">
        <f t="shared" si="7"/>
        <v>2203.3978000000002</v>
      </c>
      <c r="V26" s="17">
        <f t="shared" si="8"/>
        <v>703872.73074999999</v>
      </c>
      <c r="W26" s="17">
        <f t="shared" si="9"/>
        <v>224418.55841499998</v>
      </c>
      <c r="X26" s="17">
        <f t="shared" si="10"/>
        <v>226.72259999999997</v>
      </c>
      <c r="Y26" s="19">
        <f t="shared" si="11"/>
        <v>930721.40956499998</v>
      </c>
      <c r="Z26" s="33">
        <f t="shared" si="12"/>
        <v>-2.0315910635281975</v>
      </c>
      <c r="AA26" s="34" t="s">
        <v>33</v>
      </c>
      <c r="AD26" s="20">
        <v>1.6380730811297115</v>
      </c>
      <c r="AG26">
        <f t="shared" si="13"/>
        <v>2037</v>
      </c>
      <c r="AH26">
        <f t="shared" si="14"/>
        <v>1144850.0417961124</v>
      </c>
    </row>
    <row r="27" spans="2:34" x14ac:dyDescent="0.25">
      <c r="B27" s="1" t="s">
        <v>34</v>
      </c>
      <c r="C27" s="17">
        <v>12602.612999999999</v>
      </c>
      <c r="D27" s="17">
        <v>2878594.5249999999</v>
      </c>
      <c r="E27" s="23">
        <f t="shared" si="0"/>
        <v>59765.040000000037</v>
      </c>
      <c r="F27" s="35">
        <f t="shared" si="1"/>
        <v>2.0761882050755322E-2</v>
      </c>
      <c r="G27" s="17">
        <v>877582.42799999996</v>
      </c>
      <c r="H27" s="20">
        <f t="shared" si="2"/>
        <v>0.30486489860880978</v>
      </c>
      <c r="I27" s="17">
        <v>1941247.057</v>
      </c>
      <c r="J27" s="20">
        <f t="shared" si="3"/>
        <v>0.67437321934043493</v>
      </c>
      <c r="K27" s="17">
        <f t="shared" si="4"/>
        <v>906404.52299999993</v>
      </c>
      <c r="L27" s="27">
        <f t="shared" si="5"/>
        <v>2050852.767</v>
      </c>
      <c r="M27" s="17">
        <v>139352.147</v>
      </c>
      <c r="N27" s="20">
        <v>266.15100000000001</v>
      </c>
      <c r="O27" s="17">
        <v>28555.944</v>
      </c>
      <c r="P27" s="20">
        <v>6419.3419999999996</v>
      </c>
      <c r="Q27" s="17">
        <v>103186.368</v>
      </c>
      <c r="R27" s="20">
        <v>602.65200000000004</v>
      </c>
      <c r="S27" s="20">
        <f t="shared" si="6"/>
        <v>0.43246696443076693</v>
      </c>
      <c r="T27" s="17">
        <v>407.24400000000003</v>
      </c>
      <c r="U27" s="17">
        <f t="shared" si="7"/>
        <v>2520.5225999999998</v>
      </c>
      <c r="V27" s="17">
        <f t="shared" si="8"/>
        <v>717798.46845000004</v>
      </c>
      <c r="W27" s="17">
        <f t="shared" si="9"/>
        <v>213005.062905</v>
      </c>
      <c r="X27" s="17">
        <f t="shared" si="10"/>
        <v>264.70859999999999</v>
      </c>
      <c r="Y27" s="19">
        <f t="shared" si="11"/>
        <v>933588.76255500014</v>
      </c>
      <c r="Z27" s="33">
        <f t="shared" si="12"/>
        <v>0.30807854644069071</v>
      </c>
      <c r="AA27" s="34" t="s">
        <v>34</v>
      </c>
      <c r="AD27" s="20">
        <v>2.4111540392169446</v>
      </c>
      <c r="AG27">
        <f t="shared" si="13"/>
        <v>2038</v>
      </c>
      <c r="AH27">
        <f t="shared" si="14"/>
        <v>1162666.036557958</v>
      </c>
    </row>
    <row r="28" spans="2:34" x14ac:dyDescent="0.25">
      <c r="B28" s="1" t="s">
        <v>35</v>
      </c>
      <c r="C28" s="17">
        <v>13935.632</v>
      </c>
      <c r="D28" s="17">
        <v>2855866.051</v>
      </c>
      <c r="E28" s="23">
        <f t="shared" si="0"/>
        <v>61783.007999999914</v>
      </c>
      <c r="F28" s="35">
        <f t="shared" si="1"/>
        <v>2.1633720523540029E-2</v>
      </c>
      <c r="G28" s="17">
        <v>844916.16599999997</v>
      </c>
      <c r="H28" s="20">
        <f t="shared" si="2"/>
        <v>0.29585286946639078</v>
      </c>
      <c r="I28" s="17">
        <v>1949166.8770000001</v>
      </c>
      <c r="J28" s="20">
        <f t="shared" si="3"/>
        <v>0.68251341001006915</v>
      </c>
      <c r="K28" s="17">
        <f t="shared" si="4"/>
        <v>874382.72199999995</v>
      </c>
      <c r="L28" s="27">
        <f t="shared" si="5"/>
        <v>2065901.7600000002</v>
      </c>
      <c r="M28" s="17">
        <v>147215.421</v>
      </c>
      <c r="N28" s="20">
        <v>323.48899999999998</v>
      </c>
      <c r="O28" s="17">
        <v>29143.066999999999</v>
      </c>
      <c r="P28" s="20">
        <v>4834.0730000000003</v>
      </c>
      <c r="Q28" s="17">
        <v>111900.81</v>
      </c>
      <c r="R28" s="20">
        <v>191.67500000000001</v>
      </c>
      <c r="S28" s="20">
        <f t="shared" si="6"/>
        <v>0.1302003544859611</v>
      </c>
      <c r="T28" s="17">
        <v>482.81099999999998</v>
      </c>
      <c r="U28" s="17">
        <f t="shared" si="7"/>
        <v>2787.1264000000001</v>
      </c>
      <c r="V28" s="17">
        <f t="shared" si="8"/>
        <v>723065.61600000004</v>
      </c>
      <c r="W28" s="17">
        <f t="shared" si="9"/>
        <v>205479.93966999999</v>
      </c>
      <c r="X28" s="17">
        <f t="shared" si="10"/>
        <v>313.82715000000002</v>
      </c>
      <c r="Y28" s="19">
        <f t="shared" si="11"/>
        <v>931646.50922000001</v>
      </c>
      <c r="Z28" s="33">
        <f t="shared" si="12"/>
        <v>-0.2080416359859204</v>
      </c>
      <c r="AA28" s="34" t="s">
        <v>35</v>
      </c>
      <c r="AD28" s="20">
        <v>2.0381882695991593</v>
      </c>
      <c r="AG28">
        <f t="shared" si="13"/>
        <v>2039</v>
      </c>
      <c r="AH28">
        <f t="shared" si="14"/>
        <v>1180759.2813156685</v>
      </c>
    </row>
    <row r="29" spans="2:34" x14ac:dyDescent="0.25">
      <c r="B29" s="1" t="s">
        <v>36</v>
      </c>
      <c r="C29" s="17">
        <v>14827.184999999999</v>
      </c>
      <c r="D29" s="17">
        <v>2733759.3730000001</v>
      </c>
      <c r="E29" s="23">
        <f t="shared" si="0"/>
        <v>61129.183000000194</v>
      </c>
      <c r="F29" s="35">
        <f t="shared" si="1"/>
        <v>2.2360849899132725E-2</v>
      </c>
      <c r="G29" s="17">
        <v>784269.61399999994</v>
      </c>
      <c r="H29" s="20">
        <f t="shared" si="2"/>
        <v>0.28688319160268677</v>
      </c>
      <c r="I29" s="17">
        <v>1888360.5759999999</v>
      </c>
      <c r="J29" s="20">
        <f t="shared" si="3"/>
        <v>0.69075595849818039</v>
      </c>
      <c r="K29" s="17">
        <f t="shared" si="4"/>
        <v>812977.00599999994</v>
      </c>
      <c r="L29" s="27">
        <f t="shared" si="5"/>
        <v>2014451.8229999999</v>
      </c>
      <c r="M29" s="17">
        <v>156126.92000000001</v>
      </c>
      <c r="N29" s="20">
        <v>338.24</v>
      </c>
      <c r="O29" s="17">
        <v>28369.151999999998</v>
      </c>
      <c r="P29" s="20">
        <v>3500.259</v>
      </c>
      <c r="Q29" s="17">
        <v>122590.988</v>
      </c>
      <c r="R29" s="20">
        <v>185.374</v>
      </c>
      <c r="S29" s="20">
        <f t="shared" si="6"/>
        <v>0.1187328873201367</v>
      </c>
      <c r="T29" s="17">
        <v>482.53100000000001</v>
      </c>
      <c r="U29" s="17">
        <f t="shared" si="7"/>
        <v>2965.4369999999999</v>
      </c>
      <c r="V29" s="17">
        <f t="shared" si="8"/>
        <v>705058.13804999995</v>
      </c>
      <c r="W29" s="17">
        <f t="shared" si="9"/>
        <v>191049.59641</v>
      </c>
      <c r="X29" s="17">
        <f t="shared" si="10"/>
        <v>313.64515</v>
      </c>
      <c r="Y29" s="19">
        <f t="shared" si="11"/>
        <v>899386.81660999998</v>
      </c>
      <c r="Z29" s="33">
        <f t="shared" si="12"/>
        <v>-3.4626537308671641</v>
      </c>
      <c r="AA29" s="34" t="s">
        <v>36</v>
      </c>
      <c r="AD29" s="20">
        <v>0.43228895401678008</v>
      </c>
      <c r="AG29">
        <f>AG28+1</f>
        <v>2040</v>
      </c>
      <c r="AH29">
        <f t="shared" si="14"/>
        <v>1199134.0905945476</v>
      </c>
    </row>
    <row r="30" spans="2:34" x14ac:dyDescent="0.25">
      <c r="B30" s="1" t="s">
        <v>37</v>
      </c>
      <c r="C30" s="17">
        <v>15847.361000000001</v>
      </c>
      <c r="D30" s="17">
        <v>2727828.2250000001</v>
      </c>
      <c r="E30" s="23">
        <f t="shared" si="0"/>
        <v>65084.442000000272</v>
      </c>
      <c r="F30" s="35">
        <f t="shared" si="1"/>
        <v>2.3859435650498216E-2</v>
      </c>
      <c r="G30" s="17">
        <v>759843.83999999997</v>
      </c>
      <c r="H30" s="20">
        <f t="shared" si="2"/>
        <v>0.2785526716954474</v>
      </c>
      <c r="I30" s="17">
        <v>1902899.943</v>
      </c>
      <c r="J30" s="20">
        <f t="shared" si="3"/>
        <v>0.69758789265405441</v>
      </c>
      <c r="K30" s="17">
        <f t="shared" si="4"/>
        <v>786516.66500000004</v>
      </c>
      <c r="L30" s="27">
        <f t="shared" si="5"/>
        <v>2014478.2959999999</v>
      </c>
      <c r="M30" s="17">
        <v>139655.07199999999</v>
      </c>
      <c r="N30" s="20">
        <v>292.13099999999997</v>
      </c>
      <c r="O30" s="17">
        <v>26380.694</v>
      </c>
      <c r="P30" s="20">
        <v>2296.5549999999998</v>
      </c>
      <c r="Q30" s="17">
        <v>109281.798</v>
      </c>
      <c r="R30" s="20">
        <v>48.134</v>
      </c>
      <c r="S30" s="20">
        <f t="shared" si="6"/>
        <v>3.4466345769382442E-2</v>
      </c>
      <c r="T30" s="17">
        <v>618.04999999999995</v>
      </c>
      <c r="U30" s="17">
        <f t="shared" si="7"/>
        <v>3169.4722000000002</v>
      </c>
      <c r="V30" s="17">
        <f t="shared" si="8"/>
        <v>705067.40359999996</v>
      </c>
      <c r="W30" s="17">
        <f t="shared" si="9"/>
        <v>184831.41627500003</v>
      </c>
      <c r="X30" s="17">
        <f t="shared" si="10"/>
        <v>401.73250000000002</v>
      </c>
      <c r="Y30" s="19">
        <f t="shared" si="11"/>
        <v>893470.02457500005</v>
      </c>
      <c r="Z30" s="33">
        <f t="shared" si="12"/>
        <v>-0.65786955353667642</v>
      </c>
      <c r="AA30" s="34" t="s">
        <v>37</v>
      </c>
      <c r="AD30" s="20">
        <v>0.8114927383998447</v>
      </c>
      <c r="AG30">
        <f t="shared" si="13"/>
        <v>2041</v>
      </c>
      <c r="AH30">
        <f t="shared" si="14"/>
        <v>1217794.8460619326</v>
      </c>
    </row>
    <row r="31" spans="2:34" x14ac:dyDescent="0.25">
      <c r="B31" s="1" t="s">
        <v>38</v>
      </c>
      <c r="C31" s="17">
        <v>16926.032999999999</v>
      </c>
      <c r="D31" s="17">
        <v>2764524.6850000001</v>
      </c>
      <c r="E31" s="23">
        <f t="shared" si="0"/>
        <v>65243.453999999911</v>
      </c>
      <c r="F31" s="35">
        <f t="shared" si="1"/>
        <v>2.3600242875024251E-2</v>
      </c>
      <c r="G31" s="17">
        <v>756900.21100000001</v>
      </c>
      <c r="H31" s="20">
        <f t="shared" si="2"/>
        <v>0.27379036081929575</v>
      </c>
      <c r="I31" s="17">
        <v>1942381.02</v>
      </c>
      <c r="J31" s="20">
        <f t="shared" si="3"/>
        <v>0.70260939630567998</v>
      </c>
      <c r="K31" s="17">
        <f t="shared" si="4"/>
        <v>783447.63399999996</v>
      </c>
      <c r="L31" s="27">
        <f t="shared" si="5"/>
        <v>2064964.83</v>
      </c>
      <c r="M31" s="17">
        <v>150651.34</v>
      </c>
      <c r="N31" s="20">
        <v>252.36</v>
      </c>
      <c r="O31" s="17">
        <v>26295.062999999998</v>
      </c>
      <c r="P31" s="20">
        <v>4171.3739999999998</v>
      </c>
      <c r="Q31" s="17">
        <v>118412.436</v>
      </c>
      <c r="R31" s="20">
        <v>90.676000000000002</v>
      </c>
      <c r="S31" s="20">
        <f t="shared" si="6"/>
        <v>6.0189308638077831E-2</v>
      </c>
      <c r="T31" s="17">
        <v>716.37099999999998</v>
      </c>
      <c r="U31" s="17">
        <f t="shared" si="7"/>
        <v>3385.2065999999995</v>
      </c>
      <c r="V31" s="17">
        <f t="shared" si="8"/>
        <v>722737.69050000003</v>
      </c>
      <c r="W31" s="17">
        <f t="shared" si="9"/>
        <v>184110.19399</v>
      </c>
      <c r="X31" s="17">
        <f t="shared" si="10"/>
        <v>465.64114999999998</v>
      </c>
      <c r="Y31" s="17">
        <f t="shared" si="11"/>
        <v>910698.73224000004</v>
      </c>
      <c r="Z31" s="20">
        <f t="shared" si="12"/>
        <v>1.9282916260335909</v>
      </c>
      <c r="AA31" s="32" t="s">
        <v>38</v>
      </c>
      <c r="AB31" s="14">
        <f>AVERAGE(Z31:Z36)</f>
        <v>1.5561858856112361</v>
      </c>
      <c r="AD31" s="20">
        <v>-12.696614613244634</v>
      </c>
      <c r="AG31">
        <f t="shared" si="13"/>
        <v>2042</v>
      </c>
      <c r="AH31">
        <f t="shared" si="14"/>
        <v>1236745.9975720495</v>
      </c>
    </row>
    <row r="32" spans="2:34" x14ac:dyDescent="0.25">
      <c r="B32" s="1" t="s">
        <v>39</v>
      </c>
      <c r="C32" s="17">
        <v>18018.852999999999</v>
      </c>
      <c r="D32" s="17">
        <v>2802672.5929999999</v>
      </c>
      <c r="E32" s="23">
        <f t="shared" si="0"/>
        <v>66708.976999999955</v>
      </c>
      <c r="F32" s="35">
        <f t="shared" si="1"/>
        <v>2.3801915773755868E-2</v>
      </c>
      <c r="G32" s="17">
        <v>745687.10699999996</v>
      </c>
      <c r="H32" s="20">
        <f t="shared" si="2"/>
        <v>0.26606286758661718</v>
      </c>
      <c r="I32" s="17">
        <v>1990276.5090000001</v>
      </c>
      <c r="J32" s="20">
        <f t="shared" si="3"/>
        <v>0.71013521663962698</v>
      </c>
      <c r="K32" s="17">
        <f t="shared" si="4"/>
        <v>772736.81599999999</v>
      </c>
      <c r="L32" s="27">
        <f t="shared" si="5"/>
        <v>2112631.5720000002</v>
      </c>
      <c r="M32" s="17">
        <v>150930.42199999999</v>
      </c>
      <c r="N32" s="20">
        <v>243.84899999999999</v>
      </c>
      <c r="O32" s="17">
        <v>26805.86</v>
      </c>
      <c r="P32" s="20">
        <v>4843.2049999999999</v>
      </c>
      <c r="Q32" s="17">
        <v>117511.85799999999</v>
      </c>
      <c r="R32" s="20">
        <v>45.262</v>
      </c>
      <c r="S32" s="20">
        <f t="shared" si="6"/>
        <v>2.9988652652147226E-2</v>
      </c>
      <c r="T32" s="17">
        <v>937.76900000000001</v>
      </c>
      <c r="U32" s="17">
        <f t="shared" si="7"/>
        <v>3603.7705999999998</v>
      </c>
      <c r="V32" s="17">
        <f t="shared" si="8"/>
        <v>739421.05020000006</v>
      </c>
      <c r="W32" s="17">
        <f t="shared" si="9"/>
        <v>181593.15175999998</v>
      </c>
      <c r="X32" s="17">
        <f t="shared" si="10"/>
        <v>609.54984999999999</v>
      </c>
      <c r="Y32" s="17">
        <f t="shared" si="11"/>
        <v>925227.52241000009</v>
      </c>
      <c r="Z32" s="20">
        <f t="shared" si="12"/>
        <v>1.5953453821401853</v>
      </c>
      <c r="AA32" s="32" t="s">
        <v>39</v>
      </c>
      <c r="AG32">
        <f t="shared" si="13"/>
        <v>2043</v>
      </c>
      <c r="AH32">
        <f t="shared" si="14"/>
        <v>1255992.0642271277</v>
      </c>
    </row>
    <row r="33" spans="2:34" x14ac:dyDescent="0.25">
      <c r="B33" s="1" t="s">
        <v>40</v>
      </c>
      <c r="C33" s="17">
        <v>18391.616999999998</v>
      </c>
      <c r="D33" s="17">
        <v>2871201.1630000002</v>
      </c>
      <c r="E33" s="23">
        <f t="shared" si="0"/>
        <v>66934.566000000108</v>
      </c>
      <c r="F33" s="35">
        <f t="shared" si="1"/>
        <v>2.3312391643803505E-2</v>
      </c>
      <c r="G33" s="17">
        <v>748210.00100000005</v>
      </c>
      <c r="H33" s="20">
        <f t="shared" si="2"/>
        <v>0.26059128515336283</v>
      </c>
      <c r="I33" s="17">
        <v>2056056.5959999999</v>
      </c>
      <c r="J33" s="20">
        <f t="shared" si="3"/>
        <v>0.71609632320283367</v>
      </c>
      <c r="K33" s="17">
        <f t="shared" si="4"/>
        <v>774854.25000000012</v>
      </c>
      <c r="L33" s="27">
        <f t="shared" si="5"/>
        <v>2174840.9129999997</v>
      </c>
      <c r="M33" s="17">
        <v>147009.54999999999</v>
      </c>
      <c r="N33" s="20">
        <v>123.65300000000001</v>
      </c>
      <c r="O33" s="17">
        <v>26520.596000000001</v>
      </c>
      <c r="P33" s="20">
        <v>3794.6729999999998</v>
      </c>
      <c r="Q33" s="17">
        <v>114989.644</v>
      </c>
      <c r="R33" s="20">
        <v>45.122999999999998</v>
      </c>
      <c r="S33" s="20">
        <f t="shared" si="6"/>
        <v>3.0693924306278063E-2</v>
      </c>
      <c r="T33" s="17">
        <v>1003.893</v>
      </c>
      <c r="U33" s="17">
        <f t="shared" si="7"/>
        <v>3678.3233999999998</v>
      </c>
      <c r="V33" s="17">
        <f t="shared" si="8"/>
        <v>761194.31954999978</v>
      </c>
      <c r="W33" s="17">
        <f t="shared" si="9"/>
        <v>182090.74875000003</v>
      </c>
      <c r="X33" s="17">
        <f t="shared" si="10"/>
        <v>652.53044999999997</v>
      </c>
      <c r="Y33" s="17">
        <f t="shared" si="11"/>
        <v>947615.92214999977</v>
      </c>
      <c r="Z33" s="20">
        <f t="shared" si="12"/>
        <v>2.4197723476365205</v>
      </c>
      <c r="AA33" s="32" t="s">
        <v>40</v>
      </c>
      <c r="AG33">
        <f t="shared" si="13"/>
        <v>2044</v>
      </c>
      <c r="AH33">
        <f t="shared" si="14"/>
        <v>1275537.6354550275</v>
      </c>
    </row>
    <row r="34" spans="2:34" x14ac:dyDescent="0.25">
      <c r="B34" s="1" t="s">
        <v>41</v>
      </c>
      <c r="C34" s="17">
        <v>17782.188999999998</v>
      </c>
      <c r="D34" s="17">
        <v>2916833.0070000002</v>
      </c>
      <c r="E34" s="23">
        <f t="shared" si="0"/>
        <v>68032.802000000374</v>
      </c>
      <c r="F34" s="35">
        <f t="shared" si="1"/>
        <v>2.332420191239298E-2</v>
      </c>
      <c r="G34" s="17">
        <v>752514.18099999998</v>
      </c>
      <c r="H34" s="20">
        <f t="shared" si="2"/>
        <v>0.25799014862834757</v>
      </c>
      <c r="I34" s="17">
        <v>2096286.024</v>
      </c>
      <c r="J34" s="20">
        <f t="shared" si="3"/>
        <v>0.7186856494592595</v>
      </c>
      <c r="K34" s="17">
        <f t="shared" si="4"/>
        <v>780658.10499999998</v>
      </c>
      <c r="L34" s="27">
        <f t="shared" si="5"/>
        <v>2226755.4979999997</v>
      </c>
      <c r="M34" s="17">
        <v>160377.68700000001</v>
      </c>
      <c r="N34" s="20">
        <v>88.557000000000002</v>
      </c>
      <c r="O34" s="17">
        <v>28055.366999999998</v>
      </c>
      <c r="P34" s="20">
        <v>5831.7849999999999</v>
      </c>
      <c r="Q34" s="17">
        <v>124637.689</v>
      </c>
      <c r="R34" s="20">
        <v>19.648</v>
      </c>
      <c r="S34" s="20">
        <f t="shared" si="6"/>
        <v>1.2251080787815578E-2</v>
      </c>
      <c r="T34" s="17">
        <v>1234.992</v>
      </c>
      <c r="U34" s="17">
        <f t="shared" si="7"/>
        <v>3556.4377999999997</v>
      </c>
      <c r="V34" s="17">
        <f t="shared" si="8"/>
        <v>779364.42429999996</v>
      </c>
      <c r="W34" s="17">
        <f t="shared" si="9"/>
        <v>183454.654675</v>
      </c>
      <c r="X34" s="17">
        <f t="shared" si="10"/>
        <v>802.74479999999994</v>
      </c>
      <c r="Y34" s="17">
        <f t="shared" si="11"/>
        <v>967178.26157499989</v>
      </c>
      <c r="Z34" s="20">
        <f t="shared" si="12"/>
        <v>2.0643742857988379</v>
      </c>
      <c r="AA34" s="32" t="s">
        <v>41</v>
      </c>
      <c r="AG34">
        <f t="shared" si="13"/>
        <v>2045</v>
      </c>
      <c r="AH34">
        <f t="shared" si="14"/>
        <v>1295387.372103638</v>
      </c>
    </row>
    <row r="35" spans="2:34" x14ac:dyDescent="0.25">
      <c r="B35" s="1" t="s">
        <v>42</v>
      </c>
      <c r="C35" s="17">
        <v>18636.948</v>
      </c>
      <c r="D35" s="17">
        <v>2913294.4410000001</v>
      </c>
      <c r="E35" s="23">
        <f t="shared" si="0"/>
        <v>67144.116000000155</v>
      </c>
      <c r="F35" s="35">
        <f t="shared" si="1"/>
        <v>2.304748708371292E-2</v>
      </c>
      <c r="G35" s="17">
        <v>753683.30099999998</v>
      </c>
      <c r="H35" s="20">
        <f t="shared" si="2"/>
        <v>0.25870481554940089</v>
      </c>
      <c r="I35" s="17">
        <v>2092467.024</v>
      </c>
      <c r="J35" s="20">
        <f t="shared" si="3"/>
        <v>0.71824769736688621</v>
      </c>
      <c r="K35" s="17">
        <f t="shared" si="4"/>
        <v>783908.245</v>
      </c>
      <c r="L35" s="27">
        <f t="shared" si="5"/>
        <v>2237485.9139999999</v>
      </c>
      <c r="M35" s="17">
        <v>177034.125</v>
      </c>
      <c r="N35" s="20">
        <v>69.613</v>
      </c>
      <c r="O35" s="17">
        <v>30155.330999999998</v>
      </c>
      <c r="P35" s="20">
        <v>5682.0910000000003</v>
      </c>
      <c r="Q35" s="17">
        <v>139336.799</v>
      </c>
      <c r="R35" s="20">
        <v>7.9740000000000002</v>
      </c>
      <c r="S35" s="20">
        <f t="shared" si="6"/>
        <v>4.5042163481193243E-3</v>
      </c>
      <c r="T35" s="17">
        <v>1586.433</v>
      </c>
      <c r="U35" s="17">
        <f t="shared" si="7"/>
        <v>3727.3896000000004</v>
      </c>
      <c r="V35" s="17">
        <f t="shared" si="8"/>
        <v>783120.0699</v>
      </c>
      <c r="W35" s="17">
        <f t="shared" si="9"/>
        <v>184218.43757499999</v>
      </c>
      <c r="X35" s="17">
        <f t="shared" si="10"/>
        <v>1031.18145</v>
      </c>
      <c r="Y35" s="17">
        <f t="shared" si="11"/>
        <v>972097.07852500002</v>
      </c>
      <c r="Z35" s="20">
        <f t="shared" si="12"/>
        <v>0.50857397704432317</v>
      </c>
      <c r="AA35" s="32" t="s">
        <v>42</v>
      </c>
      <c r="AG35">
        <f t="shared" si="13"/>
        <v>2046</v>
      </c>
      <c r="AH35">
        <f t="shared" si="14"/>
        <v>1315546.0075523052</v>
      </c>
    </row>
    <row r="36" spans="2:34" x14ac:dyDescent="0.25">
      <c r="B36" s="1" t="s">
        <v>43</v>
      </c>
      <c r="C36" s="17">
        <v>21446.128000000001</v>
      </c>
      <c r="D36" s="17">
        <v>2933290.0019999999</v>
      </c>
      <c r="E36" s="23">
        <f t="shared" si="0"/>
        <v>67952.358999999939</v>
      </c>
      <c r="F36" s="35">
        <f t="shared" si="1"/>
        <v>2.316591913982869E-2</v>
      </c>
      <c r="G36" s="17">
        <v>770208.89500000002</v>
      </c>
      <c r="H36" s="20">
        <f t="shared" si="2"/>
        <v>0.26257509297575415</v>
      </c>
      <c r="I36" s="17">
        <v>2095128.7479999999</v>
      </c>
      <c r="J36" s="20">
        <f t="shared" si="3"/>
        <v>0.71425898788441722</v>
      </c>
      <c r="K36" s="17">
        <f t="shared" si="4"/>
        <v>801654.42</v>
      </c>
      <c r="L36" s="27">
        <f t="shared" si="5"/>
        <v>2245287.5579999997</v>
      </c>
      <c r="M36" s="17">
        <v>183488.10800000001</v>
      </c>
      <c r="N36" s="20">
        <v>43.402000000000001</v>
      </c>
      <c r="O36" s="17">
        <v>31402.123</v>
      </c>
      <c r="P36" s="20">
        <v>5335.6570000000002</v>
      </c>
      <c r="Q36" s="17">
        <v>144823.15299999999</v>
      </c>
      <c r="R36" s="20">
        <v>15.18</v>
      </c>
      <c r="S36" s="20">
        <f t="shared" si="6"/>
        <v>8.2730157095521409E-3</v>
      </c>
      <c r="T36" s="17">
        <v>2379.9699999999998</v>
      </c>
      <c r="U36" s="17">
        <f t="shared" si="7"/>
        <v>4289.2255999999998</v>
      </c>
      <c r="V36" s="17">
        <f t="shared" si="8"/>
        <v>785850.64529999986</v>
      </c>
      <c r="W36" s="17">
        <f t="shared" si="9"/>
        <v>188388.7887</v>
      </c>
      <c r="X36" s="17">
        <f t="shared" si="10"/>
        <v>1546.9804999999999</v>
      </c>
      <c r="Y36" s="17">
        <f t="shared" si="11"/>
        <v>980075.64009999984</v>
      </c>
      <c r="Z36" s="20">
        <f t="shared" si="12"/>
        <v>0.82075769501395901</v>
      </c>
      <c r="AA36" s="32" t="s">
        <v>43</v>
      </c>
      <c r="AG36">
        <f t="shared" si="13"/>
        <v>2047</v>
      </c>
      <c r="AH36">
        <f t="shared" si="14"/>
        <v>1336018.3488405563</v>
      </c>
    </row>
    <row r="37" spans="2:34" ht="15.75" thickBot="1" x14ac:dyDescent="0.3">
      <c r="B37" s="1" t="s">
        <v>44</v>
      </c>
      <c r="C37" s="17">
        <v>20706.423999999999</v>
      </c>
      <c r="D37" s="17">
        <v>2561060.2850000001</v>
      </c>
      <c r="E37" s="24">
        <f t="shared" si="0"/>
        <v>57340.750000000233</v>
      </c>
      <c r="F37" s="35">
        <f t="shared" si="1"/>
        <v>2.2389457341493321E-2</v>
      </c>
      <c r="G37" s="26">
        <v>662359.97600000002</v>
      </c>
      <c r="H37" s="25">
        <f t="shared" si="2"/>
        <v>0.2586272489872295</v>
      </c>
      <c r="I37" s="26">
        <v>1841359.5589999999</v>
      </c>
      <c r="J37" s="25">
        <f t="shared" si="3"/>
        <v>0.71898329367127711</v>
      </c>
      <c r="K37" s="17">
        <f t="shared" si="4"/>
        <v>693213.3280000001</v>
      </c>
      <c r="L37" s="27">
        <f t="shared" si="5"/>
        <v>1993853.014</v>
      </c>
      <c r="M37" s="17">
        <v>185428.139</v>
      </c>
      <c r="N37" s="20">
        <v>40.207000000000001</v>
      </c>
      <c r="O37" s="17">
        <v>30813.145</v>
      </c>
      <c r="P37" s="20">
        <v>4944.4110000000001</v>
      </c>
      <c r="Q37" s="17">
        <v>147549.04399999999</v>
      </c>
      <c r="R37" s="20">
        <v>8.2010000000000005</v>
      </c>
      <c r="S37" s="20">
        <f t="shared" si="6"/>
        <v>4.4227375867693956E-3</v>
      </c>
      <c r="T37" s="17">
        <v>3283.45</v>
      </c>
      <c r="U37" s="17">
        <f t="shared" si="7"/>
        <v>4141.2847999999994</v>
      </c>
      <c r="V37" s="17">
        <f t="shared" si="8"/>
        <v>697848.55489999999</v>
      </c>
      <c r="W37" s="17">
        <f t="shared" si="9"/>
        <v>162905.13208000001</v>
      </c>
      <c r="X37" s="17">
        <f t="shared" si="10"/>
        <v>2134.2424999999998</v>
      </c>
      <c r="Y37" s="17">
        <f t="shared" si="11"/>
        <v>867029.21428000007</v>
      </c>
      <c r="Z37" s="20">
        <f t="shared" si="12"/>
        <v>-11.534459300352095</v>
      </c>
      <c r="AA37" s="32" t="s">
        <v>44</v>
      </c>
      <c r="AG37">
        <f t="shared" si="13"/>
        <v>2048</v>
      </c>
      <c r="AH37">
        <f t="shared" si="14"/>
        <v>1356809.2778143894</v>
      </c>
    </row>
    <row r="38" spans="2:34" x14ac:dyDescent="0.25">
      <c r="AG38">
        <f t="shared" si="13"/>
        <v>2049</v>
      </c>
      <c r="AH38">
        <f t="shared" si="14"/>
        <v>1377923.7522904007</v>
      </c>
    </row>
    <row r="39" spans="2:34" x14ac:dyDescent="0.25">
      <c r="AG39">
        <f>AG38+1</f>
        <v>2050</v>
      </c>
      <c r="AH39">
        <f t="shared" si="14"/>
        <v>1399366.8072380286</v>
      </c>
    </row>
    <row r="50" spans="1:36" x14ac:dyDescent="0.25">
      <c r="A50" s="7" t="s">
        <v>58</v>
      </c>
      <c r="B50" s="9">
        <v>66.561000000000007</v>
      </c>
      <c r="C50" s="9">
        <v>73.951999999999998</v>
      </c>
      <c r="D50" s="9">
        <v>255.72200000000001</v>
      </c>
      <c r="E50" s="9">
        <v>604.92399999999998</v>
      </c>
      <c r="F50" s="9">
        <v>1620.8520000000001</v>
      </c>
      <c r="G50" s="8">
        <v>2524.5300000000002</v>
      </c>
      <c r="H50" s="8">
        <v>3705.12</v>
      </c>
      <c r="I50" s="9">
        <v>5047.6080000000002</v>
      </c>
      <c r="J50" s="9">
        <v>4765.5829999999996</v>
      </c>
      <c r="K50" s="9">
        <v>5313.4340000000002</v>
      </c>
      <c r="L50" s="9">
        <v>8271.7870000000003</v>
      </c>
      <c r="M50" s="9"/>
      <c r="N50" s="9"/>
      <c r="O50" s="9"/>
      <c r="P50" s="9"/>
      <c r="Q50" s="8">
        <v>9745.3700000000008</v>
      </c>
      <c r="R50" s="9">
        <v>12927.373</v>
      </c>
      <c r="S50" s="9"/>
      <c r="T50" s="9">
        <v>21842.813999999998</v>
      </c>
      <c r="U50" s="9">
        <v>36383.362999999998</v>
      </c>
      <c r="V50" s="9">
        <v>60234.623</v>
      </c>
      <c r="W50" s="9">
        <v>84215.914000000004</v>
      </c>
      <c r="X50" s="9">
        <v>103867.462</v>
      </c>
      <c r="Y50" s="8">
        <v>122786.58</v>
      </c>
      <c r="Z50" s="9">
        <v>139352.147</v>
      </c>
      <c r="AA50" s="9">
        <v>147215.421</v>
      </c>
      <c r="AB50" s="8">
        <v>156126.92000000001</v>
      </c>
      <c r="AC50" s="9">
        <v>139655.07199999999</v>
      </c>
      <c r="AD50" s="8">
        <v>150651.34</v>
      </c>
      <c r="AE50" s="9">
        <v>150930.42199999999</v>
      </c>
      <c r="AF50" s="8">
        <v>147009.54999999999</v>
      </c>
      <c r="AG50" s="9">
        <v>160377.68700000001</v>
      </c>
      <c r="AH50" s="9">
        <v>177034.125</v>
      </c>
      <c r="AI50" s="9">
        <v>183488.10800000001</v>
      </c>
      <c r="AJ50" s="9">
        <v>185428.139</v>
      </c>
    </row>
    <row r="51" spans="1:36" x14ac:dyDescent="0.25">
      <c r="A51" s="7" t="s">
        <v>59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/>
      <c r="N51" s="12"/>
      <c r="O51" s="12"/>
      <c r="P51" s="12"/>
      <c r="Q51" s="12">
        <v>0</v>
      </c>
      <c r="R51" s="12">
        <v>0</v>
      </c>
      <c r="S51" s="12"/>
      <c r="T51" s="13">
        <v>157.01599999999999</v>
      </c>
      <c r="U51" s="13">
        <v>92.159000000000006</v>
      </c>
      <c r="V51" s="12">
        <v>106.67</v>
      </c>
      <c r="W51" s="13">
        <v>166.78899999999999</v>
      </c>
      <c r="X51" s="13">
        <v>188.995</v>
      </c>
      <c r="Y51" s="13">
        <v>188.33699999999999</v>
      </c>
      <c r="Z51" s="13">
        <v>266.15100000000001</v>
      </c>
      <c r="AA51" s="13">
        <v>323.48899999999998</v>
      </c>
      <c r="AB51" s="12">
        <v>338.24</v>
      </c>
      <c r="AC51" s="13">
        <v>292.13099999999997</v>
      </c>
      <c r="AD51" s="12">
        <v>252.36</v>
      </c>
      <c r="AE51" s="13">
        <v>243.84899999999999</v>
      </c>
      <c r="AF51" s="13">
        <v>123.65300000000001</v>
      </c>
      <c r="AG51" s="13">
        <v>88.557000000000002</v>
      </c>
      <c r="AH51" s="13">
        <v>69.613</v>
      </c>
      <c r="AI51" s="13">
        <v>43.402000000000001</v>
      </c>
      <c r="AJ51" s="13">
        <v>40.207000000000001</v>
      </c>
    </row>
    <row r="52" spans="1:36" x14ac:dyDescent="0.25">
      <c r="A52" s="7" t="s">
        <v>60</v>
      </c>
      <c r="B52" s="11">
        <v>0</v>
      </c>
      <c r="C52" s="11">
        <v>0</v>
      </c>
      <c r="D52" s="11">
        <v>60</v>
      </c>
      <c r="E52" s="11">
        <v>285</v>
      </c>
      <c r="F52" s="11">
        <v>292.5</v>
      </c>
      <c r="G52" s="11">
        <v>285</v>
      </c>
      <c r="H52" s="11">
        <v>457.5</v>
      </c>
      <c r="I52" s="11">
        <v>645</v>
      </c>
      <c r="J52" s="11">
        <v>742.5</v>
      </c>
      <c r="K52" s="11">
        <v>697.5</v>
      </c>
      <c r="L52" s="11">
        <v>682.5</v>
      </c>
      <c r="M52" s="11"/>
      <c r="N52" s="11"/>
      <c r="O52" s="11"/>
      <c r="P52" s="11"/>
      <c r="Q52" s="11">
        <v>765</v>
      </c>
      <c r="R52" s="10">
        <v>1852.652</v>
      </c>
      <c r="S52" s="10"/>
      <c r="T52" s="10">
        <v>3405.0520000000001</v>
      </c>
      <c r="U52" s="10">
        <v>6228.402</v>
      </c>
      <c r="V52" s="10">
        <v>9677.3320000000003</v>
      </c>
      <c r="W52" s="10">
        <v>12521.523999999999</v>
      </c>
      <c r="X52" s="10">
        <v>19482.602999999999</v>
      </c>
      <c r="Y52" s="10">
        <v>23864.513999999999</v>
      </c>
      <c r="Z52" s="10">
        <v>28555.944</v>
      </c>
      <c r="AA52" s="10">
        <v>29143.066999999999</v>
      </c>
      <c r="AB52" s="10">
        <v>28369.151999999998</v>
      </c>
      <c r="AC52" s="10">
        <v>26380.694</v>
      </c>
      <c r="AD52" s="10">
        <v>26295.062999999998</v>
      </c>
      <c r="AE52" s="11">
        <v>26805.86</v>
      </c>
      <c r="AF52" s="10">
        <v>26520.596000000001</v>
      </c>
      <c r="AG52" s="10">
        <v>28055.366999999998</v>
      </c>
      <c r="AH52" s="10">
        <v>30155.330999999998</v>
      </c>
      <c r="AI52" s="10">
        <v>31402.123</v>
      </c>
      <c r="AJ52" s="10">
        <v>30813.145</v>
      </c>
    </row>
    <row r="53" spans="1:36" x14ac:dyDescent="0.25">
      <c r="A53" s="7" t="s">
        <v>61</v>
      </c>
      <c r="B53" s="13">
        <v>66.561000000000007</v>
      </c>
      <c r="C53" s="13">
        <v>73.951999999999998</v>
      </c>
      <c r="D53" s="13">
        <v>133.72200000000001</v>
      </c>
      <c r="E53" s="13">
        <v>144.702</v>
      </c>
      <c r="F53" s="13">
        <v>351.46199999999999</v>
      </c>
      <c r="G53" s="13">
        <v>481.197</v>
      </c>
      <c r="H53" s="13">
        <v>697.89700000000005</v>
      </c>
      <c r="I53" s="13">
        <v>1070.941</v>
      </c>
      <c r="J53" s="13">
        <v>1184.5830000000001</v>
      </c>
      <c r="K53" s="13">
        <v>1509.711</v>
      </c>
      <c r="L53" s="13">
        <v>2766.3429999999998</v>
      </c>
      <c r="M53" s="13"/>
      <c r="N53" s="13"/>
      <c r="O53" s="13"/>
      <c r="P53" s="13"/>
      <c r="Q53" s="13">
        <v>3817.9769999999999</v>
      </c>
      <c r="R53" s="13">
        <v>5895.8879999999999</v>
      </c>
      <c r="S53" s="13"/>
      <c r="T53" s="13">
        <v>7465.8310000000001</v>
      </c>
      <c r="U53" s="13">
        <v>11283.492</v>
      </c>
      <c r="V53" s="12">
        <v>19615.939999999999</v>
      </c>
      <c r="W53" s="13">
        <v>19535.293000000001</v>
      </c>
      <c r="X53" s="13">
        <v>12420.581</v>
      </c>
      <c r="Y53" s="13">
        <v>5941.2120000000004</v>
      </c>
      <c r="Z53" s="13">
        <v>6419.3419999999996</v>
      </c>
      <c r="AA53" s="13">
        <v>4834.0730000000003</v>
      </c>
      <c r="AB53" s="13">
        <v>3500.259</v>
      </c>
      <c r="AC53" s="13">
        <v>2296.5549999999998</v>
      </c>
      <c r="AD53" s="13">
        <v>4171.3739999999998</v>
      </c>
      <c r="AE53" s="13">
        <v>4843.2049999999999</v>
      </c>
      <c r="AF53" s="13">
        <v>3794.6729999999998</v>
      </c>
      <c r="AG53" s="13">
        <v>5831.7849999999999</v>
      </c>
      <c r="AH53" s="13">
        <v>5682.0910000000003</v>
      </c>
      <c r="AI53" s="13">
        <v>5335.6570000000002</v>
      </c>
      <c r="AJ53" s="13">
        <v>4944.4110000000001</v>
      </c>
    </row>
    <row r="54" spans="1:36" x14ac:dyDescent="0.25">
      <c r="A54" s="7" t="s">
        <v>62</v>
      </c>
      <c r="B54" s="11">
        <v>0</v>
      </c>
      <c r="C54" s="11">
        <v>0</v>
      </c>
      <c r="D54" s="10">
        <v>41.110999999999997</v>
      </c>
      <c r="E54" s="10">
        <v>143.88900000000001</v>
      </c>
      <c r="F54" s="10">
        <v>945.55600000000004</v>
      </c>
      <c r="G54" s="10">
        <v>1706.1110000000001</v>
      </c>
      <c r="H54" s="11">
        <v>2497.5</v>
      </c>
      <c r="I54" s="10">
        <v>3227.223</v>
      </c>
      <c r="J54" s="10">
        <v>2723.6109999999999</v>
      </c>
      <c r="K54" s="11">
        <v>2960</v>
      </c>
      <c r="L54" s="10">
        <v>4655.8329999999996</v>
      </c>
      <c r="M54" s="10"/>
      <c r="N54" s="10"/>
      <c r="O54" s="10"/>
      <c r="P54" s="10"/>
      <c r="Q54" s="10">
        <v>4953.5039999999999</v>
      </c>
      <c r="R54" s="10">
        <v>4928.1660000000002</v>
      </c>
      <c r="S54" s="10"/>
      <c r="T54" s="10">
        <v>10702.236999999999</v>
      </c>
      <c r="U54" s="11">
        <v>17083</v>
      </c>
      <c r="V54" s="11">
        <v>23784.26</v>
      </c>
      <c r="W54" s="10">
        <v>43735.593000000001</v>
      </c>
      <c r="X54" s="10">
        <v>68196.171000000002</v>
      </c>
      <c r="Y54" s="10">
        <v>91649.884000000005</v>
      </c>
      <c r="Z54" s="10">
        <v>103186.368</v>
      </c>
      <c r="AA54" s="11">
        <v>111900.81</v>
      </c>
      <c r="AB54" s="10">
        <v>122590.988</v>
      </c>
      <c r="AC54" s="10">
        <v>109281.798</v>
      </c>
      <c r="AD54" s="10">
        <v>118412.436</v>
      </c>
      <c r="AE54" s="10">
        <v>117511.85799999999</v>
      </c>
      <c r="AF54" s="10">
        <v>114989.644</v>
      </c>
      <c r="AG54" s="10">
        <v>124637.689</v>
      </c>
      <c r="AH54" s="10">
        <v>139336.799</v>
      </c>
      <c r="AI54" s="10">
        <v>144823.15299999999</v>
      </c>
      <c r="AJ54" s="10">
        <v>147549.04399999999</v>
      </c>
    </row>
    <row r="55" spans="1:36" x14ac:dyDescent="0.25">
      <c r="A55" s="7" t="s">
        <v>63</v>
      </c>
      <c r="B55" s="12">
        <v>0</v>
      </c>
      <c r="C55" s="12">
        <v>0</v>
      </c>
      <c r="D55" s="13">
        <v>20.888999999999999</v>
      </c>
      <c r="E55" s="13">
        <v>31.332999999999998</v>
      </c>
      <c r="F55" s="13">
        <v>31.332999999999998</v>
      </c>
      <c r="G55" s="13">
        <v>52.222000000000001</v>
      </c>
      <c r="H55" s="13">
        <v>52.222000000000001</v>
      </c>
      <c r="I55" s="13">
        <v>104.444</v>
      </c>
      <c r="J55" s="13">
        <v>114.889</v>
      </c>
      <c r="K55" s="13">
        <v>146.22200000000001</v>
      </c>
      <c r="L55" s="13">
        <v>167.11099999999999</v>
      </c>
      <c r="M55" s="13"/>
      <c r="N55" s="13"/>
      <c r="O55" s="13"/>
      <c r="P55" s="13"/>
      <c r="Q55" s="13">
        <v>208.88900000000001</v>
      </c>
      <c r="R55" s="13">
        <v>250.667</v>
      </c>
      <c r="S55" s="13"/>
      <c r="T55" s="13">
        <v>112.678</v>
      </c>
      <c r="U55" s="12">
        <v>1696.31</v>
      </c>
      <c r="V55" s="12">
        <v>7050.42</v>
      </c>
      <c r="W55" s="13">
        <v>8256.7150000000001</v>
      </c>
      <c r="X55" s="13">
        <v>3357.4450000000002</v>
      </c>
      <c r="Y55" s="13">
        <v>883.452</v>
      </c>
      <c r="Z55" s="13">
        <v>602.65200000000004</v>
      </c>
      <c r="AA55" s="13">
        <v>191.67500000000001</v>
      </c>
      <c r="AB55" s="13">
        <v>185.374</v>
      </c>
      <c r="AC55" s="13">
        <v>48.134</v>
      </c>
      <c r="AD55" s="13">
        <v>90.676000000000002</v>
      </c>
      <c r="AE55" s="13">
        <v>45.262</v>
      </c>
      <c r="AF55" s="13">
        <v>45.122999999999998</v>
      </c>
      <c r="AG55" s="13">
        <v>19.648</v>
      </c>
      <c r="AH55" s="13">
        <v>7.9740000000000002</v>
      </c>
      <c r="AI55" s="12">
        <v>15.18</v>
      </c>
      <c r="AJ55" s="13">
        <v>8.2010000000000005</v>
      </c>
    </row>
    <row r="57" spans="1:36" x14ac:dyDescent="0.25">
      <c r="B57" s="7" t="s">
        <v>58</v>
      </c>
      <c r="C57" s="7" t="s">
        <v>59</v>
      </c>
      <c r="D57" s="7" t="s">
        <v>60</v>
      </c>
      <c r="E57" s="7" t="s">
        <v>61</v>
      </c>
      <c r="F57" s="7" t="s">
        <v>62</v>
      </c>
      <c r="G57" s="7" t="s">
        <v>63</v>
      </c>
    </row>
    <row r="58" spans="1:36" x14ac:dyDescent="0.25">
      <c r="B58" s="9">
        <v>66.561000000000007</v>
      </c>
      <c r="C58" s="12">
        <v>0</v>
      </c>
      <c r="D58" s="11">
        <v>0</v>
      </c>
      <c r="E58" s="13">
        <v>66.561000000000007</v>
      </c>
      <c r="F58" s="11">
        <v>0</v>
      </c>
      <c r="G58" s="12">
        <v>0</v>
      </c>
    </row>
    <row r="59" spans="1:36" x14ac:dyDescent="0.25">
      <c r="B59" s="9">
        <v>73.951999999999998</v>
      </c>
      <c r="C59" s="12">
        <v>0</v>
      </c>
      <c r="D59" s="11">
        <v>0</v>
      </c>
      <c r="E59" s="13">
        <v>73.951999999999998</v>
      </c>
      <c r="F59" s="11">
        <v>0</v>
      </c>
      <c r="G59" s="12">
        <v>0</v>
      </c>
    </row>
    <row r="60" spans="1:36" x14ac:dyDescent="0.25">
      <c r="B60" s="9">
        <v>255.72200000000001</v>
      </c>
      <c r="C60" s="12">
        <v>0</v>
      </c>
      <c r="D60" s="11">
        <v>60</v>
      </c>
      <c r="E60" s="13">
        <v>133.72200000000001</v>
      </c>
      <c r="F60" s="10">
        <v>41.110999999999997</v>
      </c>
      <c r="G60" s="13">
        <v>20.888999999999999</v>
      </c>
    </row>
    <row r="61" spans="1:36" x14ac:dyDescent="0.25">
      <c r="B61" s="9">
        <v>604.92399999999998</v>
      </c>
      <c r="C61" s="12">
        <v>0</v>
      </c>
      <c r="D61" s="11">
        <v>285</v>
      </c>
      <c r="E61" s="13">
        <v>144.702</v>
      </c>
      <c r="F61" s="10">
        <v>143.88900000000001</v>
      </c>
      <c r="G61" s="13">
        <v>31.332999999999998</v>
      </c>
    </row>
    <row r="62" spans="1:36" x14ac:dyDescent="0.25">
      <c r="B62" s="9">
        <v>1620.8520000000001</v>
      </c>
      <c r="C62" s="12">
        <v>0</v>
      </c>
      <c r="D62" s="11">
        <v>292.5</v>
      </c>
      <c r="E62" s="13">
        <v>351.46199999999999</v>
      </c>
      <c r="F62" s="10">
        <v>945.55600000000004</v>
      </c>
      <c r="G62" s="13">
        <v>31.332999999999998</v>
      </c>
    </row>
    <row r="63" spans="1:36" x14ac:dyDescent="0.25">
      <c r="B63" s="8">
        <v>2524.5300000000002</v>
      </c>
      <c r="C63" s="12">
        <v>0</v>
      </c>
      <c r="D63" s="11">
        <v>285</v>
      </c>
      <c r="E63" s="13">
        <v>481.197</v>
      </c>
      <c r="F63" s="10">
        <v>1706.1110000000001</v>
      </c>
      <c r="G63" s="13">
        <v>52.222000000000001</v>
      </c>
    </row>
    <row r="64" spans="1:36" x14ac:dyDescent="0.25">
      <c r="B64" s="8">
        <v>3705.12</v>
      </c>
      <c r="C64" s="12">
        <v>0</v>
      </c>
      <c r="D64" s="11">
        <v>457.5</v>
      </c>
      <c r="E64" s="13">
        <v>697.89700000000005</v>
      </c>
      <c r="F64" s="11">
        <v>2497.5</v>
      </c>
      <c r="G64" s="13">
        <v>52.222000000000001</v>
      </c>
    </row>
    <row r="65" spans="2:7" x14ac:dyDescent="0.25">
      <c r="B65" s="9">
        <v>5047.6080000000002</v>
      </c>
      <c r="C65" s="12">
        <v>0</v>
      </c>
      <c r="D65" s="11">
        <v>645</v>
      </c>
      <c r="E65" s="13">
        <v>1070.941</v>
      </c>
      <c r="F65" s="10">
        <v>3227.223</v>
      </c>
      <c r="G65" s="13">
        <v>104.444</v>
      </c>
    </row>
    <row r="66" spans="2:7" x14ac:dyDescent="0.25">
      <c r="B66" s="9">
        <v>4765.5829999999996</v>
      </c>
      <c r="C66" s="12">
        <v>0</v>
      </c>
      <c r="D66" s="11">
        <v>742.5</v>
      </c>
      <c r="E66" s="13">
        <v>1184.5830000000001</v>
      </c>
      <c r="F66" s="10">
        <v>2723.6109999999999</v>
      </c>
      <c r="G66" s="13">
        <v>114.889</v>
      </c>
    </row>
    <row r="67" spans="2:7" x14ac:dyDescent="0.25">
      <c r="B67" s="9">
        <v>5313.4340000000002</v>
      </c>
      <c r="C67" s="12">
        <v>0</v>
      </c>
      <c r="D67" s="11">
        <v>697.5</v>
      </c>
      <c r="E67" s="13">
        <v>1509.711</v>
      </c>
      <c r="F67" s="11">
        <v>2960</v>
      </c>
      <c r="G67" s="13">
        <v>146.22200000000001</v>
      </c>
    </row>
    <row r="68" spans="2:7" x14ac:dyDescent="0.25">
      <c r="B68" s="9">
        <v>8271.7870000000003</v>
      </c>
      <c r="C68" s="12">
        <v>0</v>
      </c>
      <c r="D68" s="11">
        <v>682.5</v>
      </c>
      <c r="E68" s="13">
        <v>2766.3429999999998</v>
      </c>
      <c r="F68" s="10">
        <v>4655.8329999999996</v>
      </c>
      <c r="G68" s="13">
        <v>167.11099999999999</v>
      </c>
    </row>
    <row r="69" spans="2:7" x14ac:dyDescent="0.25">
      <c r="B69" s="8">
        <v>9745.3700000000008</v>
      </c>
      <c r="C69" s="12">
        <v>0</v>
      </c>
      <c r="D69" s="11">
        <v>765</v>
      </c>
      <c r="E69" s="13">
        <v>3817.9769999999999</v>
      </c>
      <c r="F69" s="10">
        <v>4953.5039999999999</v>
      </c>
      <c r="G69" s="13">
        <v>208.88900000000001</v>
      </c>
    </row>
    <row r="70" spans="2:7" x14ac:dyDescent="0.25">
      <c r="B70" s="9">
        <v>12927.373</v>
      </c>
      <c r="C70" s="12">
        <v>0</v>
      </c>
      <c r="D70" s="10">
        <v>1852.652</v>
      </c>
      <c r="E70" s="13">
        <v>5895.8879999999999</v>
      </c>
      <c r="F70" s="10">
        <v>4928.1660000000002</v>
      </c>
      <c r="G70" s="13">
        <v>250.667</v>
      </c>
    </row>
    <row r="71" spans="2:7" x14ac:dyDescent="0.25">
      <c r="B71" s="9">
        <v>16029.425999999999</v>
      </c>
      <c r="C71" s="12">
        <v>0</v>
      </c>
      <c r="D71" s="10">
        <v>2820.913</v>
      </c>
      <c r="E71" s="13">
        <v>8172.1260000000002</v>
      </c>
      <c r="F71" s="11">
        <v>4996.47</v>
      </c>
      <c r="G71" s="13">
        <v>39.917999999999999</v>
      </c>
    </row>
    <row r="72" spans="2:7" x14ac:dyDescent="0.25">
      <c r="B72" s="9">
        <v>21842.813999999998</v>
      </c>
      <c r="C72" s="13">
        <v>157.01599999999999</v>
      </c>
      <c r="D72" s="10">
        <v>3405.0520000000001</v>
      </c>
      <c r="E72" s="13">
        <v>7465.8310000000001</v>
      </c>
      <c r="F72" s="10">
        <v>10702.236999999999</v>
      </c>
      <c r="G72" s="13">
        <v>112.678</v>
      </c>
    </row>
    <row r="73" spans="2:7" x14ac:dyDescent="0.25">
      <c r="B73" s="9">
        <v>36383.362999999998</v>
      </c>
      <c r="C73" s="13">
        <v>92.159000000000006</v>
      </c>
      <c r="D73" s="10">
        <v>6228.402</v>
      </c>
      <c r="E73" s="13">
        <v>11283.492</v>
      </c>
      <c r="F73" s="11">
        <v>17083</v>
      </c>
      <c r="G73" s="12">
        <v>1696.31</v>
      </c>
    </row>
    <row r="74" spans="2:7" x14ac:dyDescent="0.25">
      <c r="B74" s="9">
        <v>60234.623</v>
      </c>
      <c r="C74" s="12">
        <v>106.67</v>
      </c>
      <c r="D74" s="10">
        <v>9677.3320000000003</v>
      </c>
      <c r="E74" s="12">
        <v>19615.939999999999</v>
      </c>
      <c r="F74" s="11">
        <v>23784.26</v>
      </c>
      <c r="G74" s="12">
        <v>7050.42</v>
      </c>
    </row>
    <row r="75" spans="2:7" x14ac:dyDescent="0.25">
      <c r="B75" s="9">
        <v>84215.914000000004</v>
      </c>
      <c r="C75" s="13">
        <v>166.78899999999999</v>
      </c>
      <c r="D75" s="10">
        <v>12521.523999999999</v>
      </c>
      <c r="E75" s="13">
        <v>19535.293000000001</v>
      </c>
      <c r="F75" s="10">
        <v>43735.593000000001</v>
      </c>
      <c r="G75" s="13">
        <v>8256.7150000000001</v>
      </c>
    </row>
    <row r="76" spans="2:7" x14ac:dyDescent="0.25">
      <c r="B76" s="9">
        <v>103867.462</v>
      </c>
      <c r="C76" s="13">
        <v>188.995</v>
      </c>
      <c r="D76" s="10">
        <v>19482.602999999999</v>
      </c>
      <c r="E76" s="13">
        <v>12420.581</v>
      </c>
      <c r="F76" s="10">
        <v>68196.171000000002</v>
      </c>
      <c r="G76" s="13">
        <v>3357.4450000000002</v>
      </c>
    </row>
    <row r="77" spans="2:7" x14ac:dyDescent="0.25">
      <c r="B77" s="8">
        <v>122786.58</v>
      </c>
      <c r="C77" s="13">
        <v>188.33699999999999</v>
      </c>
      <c r="D77" s="10">
        <v>23864.513999999999</v>
      </c>
      <c r="E77" s="13">
        <v>5941.2120000000004</v>
      </c>
      <c r="F77" s="10">
        <v>91649.884000000005</v>
      </c>
      <c r="G77" s="13">
        <v>883.452</v>
      </c>
    </row>
    <row r="78" spans="2:7" x14ac:dyDescent="0.25">
      <c r="B78" s="9">
        <v>139352.147</v>
      </c>
      <c r="C78" s="13">
        <v>266.15100000000001</v>
      </c>
      <c r="D78" s="10">
        <v>28555.944</v>
      </c>
      <c r="E78" s="13">
        <v>6419.3419999999996</v>
      </c>
      <c r="F78" s="10">
        <v>103186.368</v>
      </c>
      <c r="G78" s="13">
        <v>602.65200000000004</v>
      </c>
    </row>
    <row r="79" spans="2:7" x14ac:dyDescent="0.25">
      <c r="B79" s="9">
        <v>147215.421</v>
      </c>
      <c r="C79" s="13">
        <v>323.48899999999998</v>
      </c>
      <c r="D79" s="10">
        <v>29143.066999999999</v>
      </c>
      <c r="E79" s="13">
        <v>4834.0730000000003</v>
      </c>
      <c r="F79" s="11">
        <v>111900.81</v>
      </c>
      <c r="G79" s="13">
        <v>191.67500000000001</v>
      </c>
    </row>
    <row r="80" spans="2:7" x14ac:dyDescent="0.25">
      <c r="B80" s="8">
        <v>156126.92000000001</v>
      </c>
      <c r="C80" s="12">
        <v>338.24</v>
      </c>
      <c r="D80" s="10">
        <v>28369.151999999998</v>
      </c>
      <c r="E80" s="13">
        <v>3500.259</v>
      </c>
      <c r="F80" s="10">
        <v>122590.988</v>
      </c>
      <c r="G80" s="13">
        <v>185.374</v>
      </c>
    </row>
    <row r="81" spans="2:7" x14ac:dyDescent="0.25">
      <c r="B81" s="9">
        <v>139655.07199999999</v>
      </c>
      <c r="C81" s="13">
        <v>292.13099999999997</v>
      </c>
      <c r="D81" s="10">
        <v>26380.694</v>
      </c>
      <c r="E81" s="13">
        <v>2296.5549999999998</v>
      </c>
      <c r="F81" s="10">
        <v>109281.798</v>
      </c>
      <c r="G81" s="13">
        <v>48.134</v>
      </c>
    </row>
    <row r="82" spans="2:7" x14ac:dyDescent="0.25">
      <c r="B82" s="8">
        <v>150651.34</v>
      </c>
      <c r="C82" s="12">
        <v>252.36</v>
      </c>
      <c r="D82" s="10">
        <v>26295.062999999998</v>
      </c>
      <c r="E82" s="13">
        <v>4171.3739999999998</v>
      </c>
      <c r="F82" s="10">
        <v>118412.436</v>
      </c>
      <c r="G82" s="13">
        <v>90.676000000000002</v>
      </c>
    </row>
    <row r="83" spans="2:7" x14ac:dyDescent="0.25">
      <c r="B83" s="9">
        <v>150930.42199999999</v>
      </c>
      <c r="C83" s="13">
        <v>243.84899999999999</v>
      </c>
      <c r="D83" s="11">
        <v>26805.86</v>
      </c>
      <c r="E83" s="13">
        <v>4843.2049999999999</v>
      </c>
      <c r="F83" s="10">
        <v>117511.85799999999</v>
      </c>
      <c r="G83" s="13">
        <v>45.262</v>
      </c>
    </row>
    <row r="84" spans="2:7" x14ac:dyDescent="0.25">
      <c r="B84" s="8">
        <v>147009.54999999999</v>
      </c>
      <c r="C84" s="13">
        <v>123.65300000000001</v>
      </c>
      <c r="D84" s="10">
        <v>26520.596000000001</v>
      </c>
      <c r="E84" s="13">
        <v>3794.6729999999998</v>
      </c>
      <c r="F84" s="10">
        <v>114989.644</v>
      </c>
      <c r="G84" s="13">
        <v>45.122999999999998</v>
      </c>
    </row>
    <row r="85" spans="2:7" x14ac:dyDescent="0.25">
      <c r="B85" s="9">
        <v>160377.68700000001</v>
      </c>
      <c r="C85" s="13">
        <v>88.557000000000002</v>
      </c>
      <c r="D85" s="10">
        <v>28055.366999999998</v>
      </c>
      <c r="E85" s="13">
        <v>5831.7849999999999</v>
      </c>
      <c r="F85" s="10">
        <v>124637.689</v>
      </c>
      <c r="G85" s="13">
        <v>19.648</v>
      </c>
    </row>
    <row r="86" spans="2:7" x14ac:dyDescent="0.25">
      <c r="B86" s="9">
        <v>177034.125</v>
      </c>
      <c r="C86" s="13">
        <v>69.613</v>
      </c>
      <c r="D86" s="10">
        <v>30155.330999999998</v>
      </c>
      <c r="E86" s="13">
        <v>5682.0910000000003</v>
      </c>
      <c r="F86" s="10">
        <v>139336.799</v>
      </c>
      <c r="G86" s="13">
        <v>7.9740000000000002</v>
      </c>
    </row>
    <row r="87" spans="2:7" x14ac:dyDescent="0.25">
      <c r="B87" s="9">
        <v>183488.10800000001</v>
      </c>
      <c r="C87" s="13">
        <v>43.402000000000001</v>
      </c>
      <c r="D87" s="10">
        <v>31402.123</v>
      </c>
      <c r="E87" s="13">
        <v>5335.6570000000002</v>
      </c>
      <c r="F87" s="10">
        <v>144823.15299999999</v>
      </c>
      <c r="G87" s="12">
        <v>15.18</v>
      </c>
    </row>
    <row r="88" spans="2:7" x14ac:dyDescent="0.25">
      <c r="B88" s="9">
        <v>185428.139</v>
      </c>
      <c r="C88" s="13">
        <v>40.207000000000001</v>
      </c>
      <c r="D88" s="10">
        <v>30813.145</v>
      </c>
      <c r="E88" s="13">
        <v>4944.4110000000001</v>
      </c>
      <c r="F88" s="10">
        <v>147549.04399999999</v>
      </c>
      <c r="G88" s="13">
        <v>8.2010000000000005</v>
      </c>
    </row>
  </sheetData>
  <mergeCells count="3">
    <mergeCell ref="C5:T5"/>
    <mergeCell ref="U5:Y5"/>
    <mergeCell ref="U2:Y2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2156-FF26-4AA1-AAAA-528142A4289D}">
  <dimension ref="A3:E36"/>
  <sheetViews>
    <sheetView zoomScale="70" zoomScaleNormal="70" workbookViewId="0">
      <selection activeCell="E5" sqref="E5"/>
    </sheetView>
  </sheetViews>
  <sheetFormatPr defaultColWidth="10.85546875" defaultRowHeight="15" x14ac:dyDescent="0.25"/>
  <cols>
    <col min="1" max="1" width="4.85546875" bestFit="1" customWidth="1"/>
    <col min="2" max="2" width="13.42578125" bestFit="1" customWidth="1"/>
    <col min="3" max="3" width="13.28515625" bestFit="1" customWidth="1"/>
    <col min="4" max="4" width="7.85546875" bestFit="1" customWidth="1"/>
    <col min="5" max="5" width="11.140625" bestFit="1" customWidth="1"/>
  </cols>
  <sheetData>
    <row r="3" spans="1:5" x14ac:dyDescent="0.25">
      <c r="A3" s="31" t="s">
        <v>97</v>
      </c>
      <c r="B3" s="1" t="s">
        <v>47</v>
      </c>
      <c r="C3" s="31" t="s">
        <v>98</v>
      </c>
      <c r="D3" s="31" t="s">
        <v>99</v>
      </c>
    </row>
    <row r="4" spans="1:5" x14ac:dyDescent="0.25">
      <c r="A4" s="16">
        <v>1990</v>
      </c>
      <c r="B4" s="17">
        <v>66153496.077999994</v>
      </c>
      <c r="C4" s="17"/>
      <c r="D4" s="17"/>
      <c r="E4" s="18">
        <f>CORREL(B14:B34,C14:C34)</f>
        <v>0.79288642284445543</v>
      </c>
    </row>
    <row r="5" spans="1:5" x14ac:dyDescent="0.25">
      <c r="A5" s="16">
        <f>1+A4</f>
        <v>1991</v>
      </c>
      <c r="B5" s="17">
        <v>67345868.908000007</v>
      </c>
      <c r="C5" s="17"/>
      <c r="D5" s="17"/>
      <c r="E5" s="18">
        <f>CORREL(B14:B34,D14:D34)</f>
        <v>0.6463180501851753</v>
      </c>
    </row>
    <row r="6" spans="1:5" x14ac:dyDescent="0.25">
      <c r="A6" s="16">
        <f t="shared" ref="A6:A34" si="0">1+A5</f>
        <v>1992</v>
      </c>
      <c r="B6" s="17">
        <v>69464195.568499997</v>
      </c>
      <c r="C6" s="17"/>
      <c r="D6" s="17"/>
    </row>
    <row r="7" spans="1:5" x14ac:dyDescent="0.25">
      <c r="A7" s="16">
        <f t="shared" si="0"/>
        <v>1993</v>
      </c>
      <c r="B7" s="17">
        <v>70434039.916000009</v>
      </c>
      <c r="C7" s="17"/>
      <c r="D7" s="17"/>
    </row>
    <row r="8" spans="1:5" x14ac:dyDescent="0.25">
      <c r="A8" s="16">
        <f t="shared" si="0"/>
        <v>1994</v>
      </c>
      <c r="B8" s="17">
        <v>71248336.226500005</v>
      </c>
      <c r="C8" s="17"/>
      <c r="D8" s="17"/>
    </row>
    <row r="9" spans="1:5" x14ac:dyDescent="0.25">
      <c r="A9" s="16">
        <f t="shared" si="0"/>
        <v>1995</v>
      </c>
      <c r="B9" s="17">
        <v>72375766.167500004</v>
      </c>
      <c r="C9" s="17"/>
      <c r="D9" s="17">
        <v>1519355.9</v>
      </c>
    </row>
    <row r="10" spans="1:5" x14ac:dyDescent="0.25">
      <c r="A10" s="16">
        <f t="shared" si="0"/>
        <v>1996</v>
      </c>
      <c r="B10" s="17">
        <v>74919687.033999994</v>
      </c>
      <c r="C10" s="17"/>
      <c r="D10" s="17">
        <v>1596835.6</v>
      </c>
    </row>
    <row r="11" spans="1:5" x14ac:dyDescent="0.25">
      <c r="A11" s="16">
        <f t="shared" si="0"/>
        <v>1997</v>
      </c>
      <c r="B11" s="17">
        <v>76329061.043000013</v>
      </c>
      <c r="C11" s="17"/>
      <c r="D11" s="17">
        <v>1621470.1</v>
      </c>
    </row>
    <row r="12" spans="1:5" x14ac:dyDescent="0.25">
      <c r="A12" s="16">
        <f t="shared" si="0"/>
        <v>1998</v>
      </c>
      <c r="B12" s="17">
        <v>79893704.104000002</v>
      </c>
      <c r="C12" s="17"/>
      <c r="D12" s="17">
        <v>1700238.9</v>
      </c>
    </row>
    <row r="13" spans="1:5" x14ac:dyDescent="0.25">
      <c r="A13" s="16">
        <f t="shared" si="0"/>
        <v>1999</v>
      </c>
      <c r="B13" s="17">
        <v>82132985.990999997</v>
      </c>
      <c r="C13" s="17"/>
      <c r="D13" s="17">
        <v>1768455</v>
      </c>
    </row>
    <row r="14" spans="1:5" x14ac:dyDescent="0.25">
      <c r="A14" s="16">
        <f t="shared" si="0"/>
        <v>2000</v>
      </c>
      <c r="B14" s="17">
        <v>82821906.436499998</v>
      </c>
      <c r="C14" s="17">
        <v>22450</v>
      </c>
      <c r="D14" s="17">
        <v>1884733.8</v>
      </c>
    </row>
    <row r="15" spans="1:5" x14ac:dyDescent="0.25">
      <c r="A15" s="16">
        <f t="shared" si="0"/>
        <v>2001</v>
      </c>
      <c r="B15" s="17">
        <v>84749701.693999991</v>
      </c>
      <c r="C15" s="17">
        <v>22900</v>
      </c>
      <c r="D15" s="17">
        <v>1984370.5</v>
      </c>
    </row>
    <row r="16" spans="1:5" x14ac:dyDescent="0.25">
      <c r="A16" s="16">
        <f t="shared" si="0"/>
        <v>2002</v>
      </c>
      <c r="B16" s="17">
        <v>86252096.990999997</v>
      </c>
      <c r="C16" s="17">
        <v>23090</v>
      </c>
      <c r="D16" s="17">
        <v>2048281.7</v>
      </c>
    </row>
    <row r="17" spans="1:4" x14ac:dyDescent="0.25">
      <c r="A17" s="16">
        <f t="shared" si="0"/>
        <v>2003</v>
      </c>
      <c r="B17" s="17">
        <v>87792076.011999995</v>
      </c>
      <c r="C17" s="17">
        <v>23210</v>
      </c>
      <c r="D17" s="17">
        <v>2105929.2999999998</v>
      </c>
    </row>
    <row r="18" spans="1:4" x14ac:dyDescent="0.25">
      <c r="A18" s="16">
        <f t="shared" si="0"/>
        <v>2004</v>
      </c>
      <c r="B18" s="17">
        <v>90596923.996499985</v>
      </c>
      <c r="C18" s="17">
        <v>23710</v>
      </c>
      <c r="D18" s="17">
        <v>2191683.9</v>
      </c>
    </row>
    <row r="19" spans="1:4" x14ac:dyDescent="0.25">
      <c r="A19" s="16">
        <f t="shared" si="0"/>
        <v>2005</v>
      </c>
      <c r="B19" s="17">
        <v>91203884.192000002</v>
      </c>
      <c r="C19" s="17">
        <v>24060</v>
      </c>
      <c r="D19" s="17">
        <v>2278213.6</v>
      </c>
    </row>
    <row r="20" spans="1:4" x14ac:dyDescent="0.25">
      <c r="A20" s="16">
        <f t="shared" si="0"/>
        <v>2006</v>
      </c>
      <c r="B20" s="17">
        <v>93734604.058999985</v>
      </c>
      <c r="C20" s="17">
        <v>24820</v>
      </c>
      <c r="D20" s="17">
        <v>2410446.2999999998</v>
      </c>
    </row>
    <row r="21" spans="1:4" x14ac:dyDescent="0.25">
      <c r="A21" s="16">
        <f t="shared" si="0"/>
        <v>2007</v>
      </c>
      <c r="B21" s="17">
        <v>95850499.726500005</v>
      </c>
      <c r="C21" s="17">
        <v>25510</v>
      </c>
      <c r="D21" s="17">
        <v>2567361.9</v>
      </c>
    </row>
    <row r="22" spans="1:4" x14ac:dyDescent="0.25">
      <c r="A22" s="16">
        <f t="shared" si="0"/>
        <v>2008</v>
      </c>
      <c r="B22" s="19">
        <v>95002197.103</v>
      </c>
      <c r="C22" s="17">
        <v>25580</v>
      </c>
      <c r="D22" s="17">
        <v>2685772</v>
      </c>
    </row>
    <row r="23" spans="1:4" x14ac:dyDescent="0.25">
      <c r="A23" s="16">
        <f t="shared" si="0"/>
        <v>2009</v>
      </c>
      <c r="B23" s="19">
        <v>93072140.956500009</v>
      </c>
      <c r="C23" s="17">
        <v>24410</v>
      </c>
      <c r="D23" s="17">
        <v>2547472.7000000002</v>
      </c>
    </row>
    <row r="24" spans="1:4" x14ac:dyDescent="0.25">
      <c r="A24" s="16">
        <f t="shared" si="0"/>
        <v>2010</v>
      </c>
      <c r="B24" s="19">
        <v>93358876.255500004</v>
      </c>
      <c r="C24" s="17">
        <v>24900</v>
      </c>
      <c r="D24" s="17">
        <v>2613180.4</v>
      </c>
    </row>
    <row r="25" spans="1:4" x14ac:dyDescent="0.25">
      <c r="A25" s="16">
        <f t="shared" si="0"/>
        <v>2011</v>
      </c>
      <c r="B25" s="19">
        <v>93164650.922000021</v>
      </c>
      <c r="C25" s="17">
        <v>25320</v>
      </c>
      <c r="D25" s="17">
        <v>2740542</v>
      </c>
    </row>
    <row r="26" spans="1:4" x14ac:dyDescent="0.25">
      <c r="A26" s="16">
        <f t="shared" si="0"/>
        <v>2012</v>
      </c>
      <c r="B26" s="19">
        <v>89938681.660999998</v>
      </c>
      <c r="C26" s="17">
        <v>25100</v>
      </c>
      <c r="D26" s="17">
        <v>2765898.3</v>
      </c>
    </row>
    <row r="27" spans="1:4" x14ac:dyDescent="0.25">
      <c r="A27" s="16">
        <f t="shared" si="0"/>
        <v>2013</v>
      </c>
      <c r="B27" s="19">
        <v>89347002.457499996</v>
      </c>
      <c r="C27" s="17">
        <v>25060</v>
      </c>
      <c r="D27" s="17">
        <v>2767379.7</v>
      </c>
    </row>
    <row r="28" spans="1:4" x14ac:dyDescent="0.25">
      <c r="A28" s="16">
        <f t="shared" si="0"/>
        <v>2014</v>
      </c>
      <c r="B28" s="17">
        <v>91069873.223999992</v>
      </c>
      <c r="C28" s="17">
        <v>25420</v>
      </c>
      <c r="D28" s="17">
        <v>2837363.6</v>
      </c>
    </row>
    <row r="29" spans="1:4" x14ac:dyDescent="0.25">
      <c r="A29" s="16">
        <f t="shared" si="0"/>
        <v>2015</v>
      </c>
      <c r="B29" s="17">
        <v>92522752.241000012</v>
      </c>
      <c r="C29" s="17">
        <v>25950</v>
      </c>
      <c r="D29" s="17">
        <v>2925270</v>
      </c>
    </row>
    <row r="30" spans="1:4" x14ac:dyDescent="0.25">
      <c r="A30" s="16">
        <f t="shared" si="0"/>
        <v>2016</v>
      </c>
      <c r="B30" s="17">
        <v>94761592.214999989</v>
      </c>
      <c r="C30" s="17">
        <v>26410</v>
      </c>
      <c r="D30" s="17">
        <v>3010556</v>
      </c>
    </row>
    <row r="31" spans="1:4" x14ac:dyDescent="0.25">
      <c r="A31" s="16">
        <f t="shared" si="0"/>
        <v>2017</v>
      </c>
      <c r="B31" s="17">
        <v>96717826.157499999</v>
      </c>
      <c r="C31" s="17">
        <v>27110</v>
      </c>
      <c r="D31" s="17">
        <v>3130776</v>
      </c>
    </row>
    <row r="32" spans="1:4" x14ac:dyDescent="0.25">
      <c r="A32" s="16">
        <f t="shared" si="0"/>
        <v>2018</v>
      </c>
      <c r="B32" s="17">
        <v>97209707.852499977</v>
      </c>
      <c r="C32" s="17">
        <v>27620</v>
      </c>
      <c r="D32" s="17">
        <v>3252324.5</v>
      </c>
    </row>
    <row r="33" spans="1:4" x14ac:dyDescent="0.25">
      <c r="A33" s="16">
        <f t="shared" si="0"/>
        <v>2019</v>
      </c>
      <c r="B33" s="17">
        <v>98007564.00999999</v>
      </c>
      <c r="C33" s="17">
        <v>28070</v>
      </c>
      <c r="D33" s="17">
        <v>3370135.1</v>
      </c>
    </row>
    <row r="34" spans="1:4" x14ac:dyDescent="0.25">
      <c r="A34" s="16">
        <f t="shared" si="0"/>
        <v>2020</v>
      </c>
      <c r="B34" s="17">
        <v>86702921.428000003</v>
      </c>
      <c r="C34" s="17">
        <v>26380</v>
      </c>
      <c r="D34" s="17">
        <v>3351165.6</v>
      </c>
    </row>
    <row r="35" spans="1:4" x14ac:dyDescent="0.25">
      <c r="A35" s="16"/>
      <c r="B35" s="16"/>
      <c r="C35" s="17">
        <v>27810</v>
      </c>
      <c r="D35" s="17">
        <v>3373737.4</v>
      </c>
    </row>
    <row r="36" spans="1:4" x14ac:dyDescent="0.25">
      <c r="A36" s="16"/>
      <c r="B36" s="16"/>
      <c r="C36" s="16"/>
      <c r="D36" s="16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497E7-0A1D-44BC-A9A2-DB10B14769B5}">
  <dimension ref="A3:N34"/>
  <sheetViews>
    <sheetView topLeftCell="A19" workbookViewId="0">
      <selection activeCell="I34" sqref="I34"/>
    </sheetView>
  </sheetViews>
  <sheetFormatPr defaultColWidth="10.85546875" defaultRowHeight="15" x14ac:dyDescent="0.25"/>
  <cols>
    <col min="2" max="2" width="13.5703125" bestFit="1" customWidth="1"/>
    <col min="3" max="3" width="5.28515625" bestFit="1" customWidth="1"/>
    <col min="4" max="4" width="9.140625" bestFit="1" customWidth="1"/>
    <col min="5" max="5" width="19.140625" bestFit="1" customWidth="1"/>
    <col min="6" max="6" width="11" bestFit="1" customWidth="1"/>
    <col min="7" max="7" width="6.5703125" bestFit="1" customWidth="1"/>
  </cols>
  <sheetData>
    <row r="3" spans="1:14" x14ac:dyDescent="0.25">
      <c r="A3" s="62" t="s">
        <v>103</v>
      </c>
      <c r="B3" s="62"/>
      <c r="C3" s="62"/>
      <c r="D3" s="62"/>
      <c r="E3" s="62"/>
      <c r="F3" s="62"/>
      <c r="G3" s="62"/>
      <c r="I3" s="63" t="s">
        <v>104</v>
      </c>
      <c r="J3" s="63"/>
      <c r="K3" s="63"/>
      <c r="L3" s="63"/>
      <c r="M3" s="63"/>
      <c r="N3" s="63"/>
    </row>
    <row r="4" spans="1:14" x14ac:dyDescent="0.25">
      <c r="A4" s="36" t="s">
        <v>97</v>
      </c>
      <c r="B4" s="36" t="s">
        <v>105</v>
      </c>
      <c r="C4" s="36" t="s">
        <v>106</v>
      </c>
      <c r="D4" s="36" t="s">
        <v>107</v>
      </c>
      <c r="E4" s="36" t="s">
        <v>108</v>
      </c>
      <c r="F4" s="36" t="s">
        <v>109</v>
      </c>
      <c r="G4" s="36" t="s">
        <v>110</v>
      </c>
      <c r="I4" s="7" t="s">
        <v>111</v>
      </c>
      <c r="J4" s="7" t="s">
        <v>112</v>
      </c>
      <c r="K4" s="7" t="s">
        <v>113</v>
      </c>
      <c r="L4" s="7" t="s">
        <v>114</v>
      </c>
      <c r="M4" s="7" t="s">
        <v>115</v>
      </c>
      <c r="N4" s="7" t="s">
        <v>116</v>
      </c>
    </row>
    <row r="5" spans="1:14" x14ac:dyDescent="0.25">
      <c r="A5">
        <v>1990</v>
      </c>
      <c r="B5" s="16">
        <v>100</v>
      </c>
      <c r="C5" s="20">
        <v>63.202425590120903</v>
      </c>
      <c r="D5" s="20">
        <v>8.6602613693489889</v>
      </c>
      <c r="E5" s="20">
        <v>26.769774941132031</v>
      </c>
      <c r="F5" s="20">
        <v>1.2943849975267592</v>
      </c>
      <c r="G5" s="20">
        <v>7.3153101871318113E-2</v>
      </c>
      <c r="I5" s="20">
        <v>620.13774999999998</v>
      </c>
      <c r="J5" s="20">
        <v>391.94209999999998</v>
      </c>
      <c r="K5" s="20">
        <v>53.705550000000002</v>
      </c>
      <c r="L5" s="20">
        <v>166.00948</v>
      </c>
      <c r="M5" s="20">
        <v>8.0269700000000004</v>
      </c>
      <c r="N5" s="20">
        <v>0.45365</v>
      </c>
    </row>
    <row r="6" spans="1:14" x14ac:dyDescent="0.25">
      <c r="A6">
        <f>A5+1</f>
        <v>1991</v>
      </c>
      <c r="B6" s="16">
        <v>100</v>
      </c>
      <c r="C6" s="20">
        <v>63.096068108682211</v>
      </c>
      <c r="D6" s="20">
        <v>8.7235923536603455</v>
      </c>
      <c r="E6" s="20">
        <v>26.854007901982207</v>
      </c>
      <c r="F6" s="20">
        <v>1.2768606326883052</v>
      </c>
      <c r="G6" s="20">
        <v>4.9471002986929385E-2</v>
      </c>
      <c r="I6" s="20">
        <v>629.37878999999998</v>
      </c>
      <c r="J6" s="20">
        <v>397.11327</v>
      </c>
      <c r="K6" s="20">
        <v>54.904440000000001</v>
      </c>
      <c r="L6" s="20">
        <v>169.01343</v>
      </c>
      <c r="M6" s="20">
        <v>8.0362899999999993</v>
      </c>
      <c r="N6" s="20">
        <v>0.31136000000000003</v>
      </c>
    </row>
    <row r="7" spans="1:14" x14ac:dyDescent="0.25">
      <c r="A7">
        <f t="shared" ref="A7:A33" si="0">A6+1</f>
        <v>1992</v>
      </c>
      <c r="B7" s="16">
        <v>100</v>
      </c>
      <c r="C7" s="20">
        <v>62.748848680291182</v>
      </c>
      <c r="D7" s="20">
        <v>8.6362845508117321</v>
      </c>
      <c r="E7" s="20">
        <v>27.203321976506729</v>
      </c>
      <c r="F7" s="20">
        <v>1.3170565637847864</v>
      </c>
      <c r="G7" s="20">
        <v>9.4488228605568145E-2</v>
      </c>
      <c r="I7" s="20">
        <v>651.71081000000004</v>
      </c>
      <c r="J7" s="20">
        <v>408.94103000000001</v>
      </c>
      <c r="K7" s="20">
        <v>56.2836</v>
      </c>
      <c r="L7" s="20">
        <v>177.28699</v>
      </c>
      <c r="M7" s="20">
        <v>8.5833999999999993</v>
      </c>
      <c r="N7" s="20">
        <v>0.61578999999999995</v>
      </c>
    </row>
    <row r="8" spans="1:14" x14ac:dyDescent="0.25">
      <c r="A8">
        <f t="shared" si="0"/>
        <v>1993</v>
      </c>
      <c r="B8" s="16">
        <v>100</v>
      </c>
      <c r="C8" s="20">
        <v>62.874939351392889</v>
      </c>
      <c r="D8" s="20">
        <v>8.9691006079454869</v>
      </c>
      <c r="E8" s="20">
        <v>26.769979946774487</v>
      </c>
      <c r="F8" s="20">
        <v>1.3519671366874459</v>
      </c>
      <c r="G8" s="20">
        <v>3.401143618380887E-2</v>
      </c>
      <c r="I8" s="20">
        <v>657.45533</v>
      </c>
      <c r="J8" s="20">
        <v>413.37464</v>
      </c>
      <c r="K8" s="20">
        <v>58.967829999999999</v>
      </c>
      <c r="L8" s="20">
        <v>176.00066000000001</v>
      </c>
      <c r="M8" s="20">
        <v>8.8885799999999993</v>
      </c>
      <c r="N8" s="20">
        <v>0.22361</v>
      </c>
    </row>
    <row r="9" spans="1:14" x14ac:dyDescent="0.25">
      <c r="A9">
        <f t="shared" si="0"/>
        <v>1994</v>
      </c>
      <c r="B9" s="16">
        <v>100</v>
      </c>
      <c r="C9" s="20">
        <v>62.773435147219246</v>
      </c>
      <c r="D9" s="20">
        <v>9.1818063078147922</v>
      </c>
      <c r="E9" s="20">
        <v>26.662261981409362</v>
      </c>
      <c r="F9" s="20">
        <v>1.3478934221434371</v>
      </c>
      <c r="G9" s="20">
        <v>3.4601632993742366E-2</v>
      </c>
      <c r="I9" s="20">
        <v>662.94559000000004</v>
      </c>
      <c r="J9" s="20">
        <v>416.15372000000002</v>
      </c>
      <c r="K9" s="20">
        <v>60.870379999999997</v>
      </c>
      <c r="L9" s="20">
        <v>176.75629000000001</v>
      </c>
      <c r="M9" s="20">
        <v>8.9358000000000004</v>
      </c>
      <c r="N9" s="20">
        <v>0.22939000000000001</v>
      </c>
    </row>
    <row r="10" spans="1:14" x14ac:dyDescent="0.25">
      <c r="A10">
        <f t="shared" si="0"/>
        <v>1995</v>
      </c>
      <c r="B10" s="16">
        <v>100</v>
      </c>
      <c r="C10" s="20">
        <v>62.994213030646726</v>
      </c>
      <c r="D10" s="20">
        <v>9.1688510295611678</v>
      </c>
      <c r="E10" s="20">
        <v>26.366782836201551</v>
      </c>
      <c r="F10" s="20">
        <v>1.4337031123327466</v>
      </c>
      <c r="G10" s="20">
        <v>3.6449991257808498E-2</v>
      </c>
      <c r="I10" s="20">
        <v>675.11676</v>
      </c>
      <c r="J10" s="20">
        <v>425.28449000000001</v>
      </c>
      <c r="K10" s="20">
        <v>61.900449999999999</v>
      </c>
      <c r="L10" s="20">
        <v>178.00657000000001</v>
      </c>
      <c r="M10" s="20">
        <v>9.6791699999999992</v>
      </c>
      <c r="N10" s="20">
        <v>0.24607999999999999</v>
      </c>
    </row>
    <row r="11" spans="1:14" x14ac:dyDescent="0.25">
      <c r="A11">
        <f t="shared" si="0"/>
        <v>1996</v>
      </c>
      <c r="B11" s="16">
        <v>100</v>
      </c>
      <c r="C11" s="20">
        <v>62.626369622183745</v>
      </c>
      <c r="D11" s="20">
        <v>9.4237272284181444</v>
      </c>
      <c r="E11" s="20">
        <v>26.501471373767789</v>
      </c>
      <c r="F11" s="20">
        <v>1.4192381085985708</v>
      </c>
      <c r="G11" s="20">
        <v>2.9196544672677339E-2</v>
      </c>
      <c r="I11" s="20">
        <v>695.01374999999996</v>
      </c>
      <c r="J11" s="20">
        <v>435.26188000000002</v>
      </c>
      <c r="K11" s="20">
        <v>65.496200000000002</v>
      </c>
      <c r="L11" s="20">
        <v>184.18887000000001</v>
      </c>
      <c r="M11" s="20">
        <v>9.8638999999999992</v>
      </c>
      <c r="N11" s="20">
        <v>0.20291999999999999</v>
      </c>
    </row>
    <row r="12" spans="1:14" x14ac:dyDescent="0.25">
      <c r="A12">
        <f t="shared" si="0"/>
        <v>1997</v>
      </c>
      <c r="B12" s="16">
        <v>100</v>
      </c>
      <c r="C12" s="20">
        <v>62.424781268579935</v>
      </c>
      <c r="D12" s="20">
        <v>9.630953609829227</v>
      </c>
      <c r="E12" s="20">
        <v>26.482661584692302</v>
      </c>
      <c r="F12" s="20">
        <v>1.4282568725552758</v>
      </c>
      <c r="G12" s="20">
        <v>3.3346664343274227E-2</v>
      </c>
      <c r="I12" s="20">
        <v>705.34790999999996</v>
      </c>
      <c r="J12" s="20">
        <v>440.31189000000001</v>
      </c>
      <c r="K12" s="20">
        <v>67.931730000000002</v>
      </c>
      <c r="L12" s="20">
        <v>186.79490000000001</v>
      </c>
      <c r="M12" s="20">
        <v>10.07418</v>
      </c>
      <c r="N12" s="20">
        <v>0.23521</v>
      </c>
    </row>
    <row r="13" spans="1:14" x14ac:dyDescent="0.25">
      <c r="A13">
        <f t="shared" si="0"/>
        <v>1998</v>
      </c>
      <c r="B13" s="16">
        <v>100</v>
      </c>
      <c r="C13" s="20">
        <v>62.073830599930972</v>
      </c>
      <c r="D13" s="20">
        <v>9.8431105242230874</v>
      </c>
      <c r="E13" s="20">
        <v>26.597191290728833</v>
      </c>
      <c r="F13" s="20">
        <v>1.4594027846726845</v>
      </c>
      <c r="G13" s="20">
        <v>2.646480044442312E-2</v>
      </c>
      <c r="I13" s="20">
        <v>733.04917</v>
      </c>
      <c r="J13" s="20">
        <v>455.0317</v>
      </c>
      <c r="K13" s="20">
        <v>72.154839999999993</v>
      </c>
      <c r="L13" s="20">
        <v>194.97049000000001</v>
      </c>
      <c r="M13" s="20">
        <v>10.69814</v>
      </c>
      <c r="N13" s="20">
        <v>0.19400000000000001</v>
      </c>
    </row>
    <row r="14" spans="1:14" x14ac:dyDescent="0.25">
      <c r="A14">
        <f t="shared" si="0"/>
        <v>1999</v>
      </c>
      <c r="B14" s="16">
        <v>100</v>
      </c>
      <c r="C14" s="20">
        <v>62.0246611549954</v>
      </c>
      <c r="D14" s="20">
        <v>9.916873446120638</v>
      </c>
      <c r="E14" s="20">
        <v>26.603918712773666</v>
      </c>
      <c r="F14" s="20">
        <v>1.4327218055491147</v>
      </c>
      <c r="G14" s="20">
        <v>2.1824880561181041E-2</v>
      </c>
      <c r="I14" s="20">
        <v>749.96974</v>
      </c>
      <c r="J14" s="20">
        <v>465.16618999999997</v>
      </c>
      <c r="K14" s="20">
        <v>74.373549999999994</v>
      </c>
      <c r="L14" s="20">
        <v>199.52134000000001</v>
      </c>
      <c r="M14" s="20">
        <v>10.74498</v>
      </c>
      <c r="N14" s="20">
        <v>0.16367999999999999</v>
      </c>
    </row>
    <row r="15" spans="1:14" x14ac:dyDescent="0.25">
      <c r="A15">
        <f t="shared" si="0"/>
        <v>2000</v>
      </c>
      <c r="B15" s="16">
        <v>100</v>
      </c>
      <c r="C15" s="20">
        <v>61.4040953507212</v>
      </c>
      <c r="D15" s="20">
        <v>10.411976673756337</v>
      </c>
      <c r="E15" s="20">
        <v>26.780717121463439</v>
      </c>
      <c r="F15" s="20">
        <v>1.3807878999357468</v>
      </c>
      <c r="G15" s="20">
        <v>2.242295412328103E-2</v>
      </c>
      <c r="I15" s="20">
        <v>747.09157000000005</v>
      </c>
      <c r="J15" s="20">
        <v>458.74482</v>
      </c>
      <c r="K15" s="20">
        <v>77.787000000000006</v>
      </c>
      <c r="L15" s="20">
        <v>200.07648</v>
      </c>
      <c r="M15" s="20">
        <v>10.31575</v>
      </c>
      <c r="N15" s="20">
        <v>0.16752</v>
      </c>
    </row>
    <row r="16" spans="1:14" x14ac:dyDescent="0.25">
      <c r="A16">
        <f t="shared" si="0"/>
        <v>2001</v>
      </c>
      <c r="B16" s="16">
        <v>100</v>
      </c>
      <c r="C16" s="20">
        <v>61.100008758533122</v>
      </c>
      <c r="D16" s="20">
        <v>10.612642263325711</v>
      </c>
      <c r="E16" s="20">
        <v>26.868794745646646</v>
      </c>
      <c r="F16" s="20">
        <v>1.3760740999465311</v>
      </c>
      <c r="G16" s="20">
        <v>4.2480132547988797E-2</v>
      </c>
      <c r="I16" s="20">
        <v>761.88557000000003</v>
      </c>
      <c r="J16" s="20">
        <v>465.51215000000002</v>
      </c>
      <c r="K16" s="20">
        <v>80.856189999999998</v>
      </c>
      <c r="L16" s="20">
        <v>204.70947000000001</v>
      </c>
      <c r="M16" s="20">
        <v>10.484109999999999</v>
      </c>
      <c r="N16" s="20">
        <v>0.32364999999999999</v>
      </c>
    </row>
    <row r="17" spans="1:14" x14ac:dyDescent="0.25">
      <c r="A17">
        <f t="shared" si="0"/>
        <v>2002</v>
      </c>
      <c r="B17" s="16">
        <v>100</v>
      </c>
      <c r="C17" s="20">
        <v>61.356041405051144</v>
      </c>
      <c r="D17" s="20">
        <v>10.596960986980726</v>
      </c>
      <c r="E17" s="20">
        <v>26.616770960251866</v>
      </c>
      <c r="F17" s="20">
        <v>1.4003418062537156</v>
      </c>
      <c r="G17" s="20">
        <v>2.9884841462549518E-2</v>
      </c>
      <c r="I17" s="20">
        <v>771.36095999999998</v>
      </c>
      <c r="J17" s="20">
        <v>473.27654999999999</v>
      </c>
      <c r="K17" s="20">
        <v>81.740819999999999</v>
      </c>
      <c r="L17" s="20">
        <v>205.31138000000001</v>
      </c>
      <c r="M17" s="20">
        <v>10.801690000000001</v>
      </c>
      <c r="N17" s="20">
        <v>0.23052</v>
      </c>
    </row>
    <row r="18" spans="1:14" x14ac:dyDescent="0.25">
      <c r="A18">
        <f t="shared" si="0"/>
        <v>2003</v>
      </c>
      <c r="B18" s="16">
        <v>100</v>
      </c>
      <c r="C18" s="20">
        <v>61.151474432730559</v>
      </c>
      <c r="D18" s="20">
        <v>10.90386083122068</v>
      </c>
      <c r="E18" s="20">
        <v>26.505680184320802</v>
      </c>
      <c r="F18" s="20">
        <v>1.4137225870361809</v>
      </c>
      <c r="G18" s="20">
        <v>2.5261964691785595E-2</v>
      </c>
      <c r="I18" s="20">
        <v>781.05564000000004</v>
      </c>
      <c r="J18" s="20">
        <v>477.62704000000002</v>
      </c>
      <c r="K18" s="20">
        <v>85.165220000000005</v>
      </c>
      <c r="L18" s="20">
        <v>207.02411000000001</v>
      </c>
      <c r="M18" s="20">
        <v>11.04196</v>
      </c>
      <c r="N18" s="20">
        <v>0.19731000000000001</v>
      </c>
    </row>
    <row r="19" spans="1:14" x14ac:dyDescent="0.25">
      <c r="A19">
        <f t="shared" si="0"/>
        <v>2004</v>
      </c>
      <c r="B19" s="16">
        <v>100</v>
      </c>
      <c r="C19" s="20">
        <v>60.516644353404381</v>
      </c>
      <c r="D19" s="20">
        <v>11.13653926716375</v>
      </c>
      <c r="E19" s="20">
        <v>26.946939089005252</v>
      </c>
      <c r="F19" s="20">
        <v>1.3757211618966219</v>
      </c>
      <c r="G19" s="20">
        <v>2.4156128530005892E-2</v>
      </c>
      <c r="I19" s="20">
        <v>797.85136</v>
      </c>
      <c r="J19" s="20">
        <v>482.83287000000001</v>
      </c>
      <c r="K19" s="20">
        <v>88.853030000000004</v>
      </c>
      <c r="L19" s="20">
        <v>214.99652</v>
      </c>
      <c r="M19" s="20">
        <v>10.97621</v>
      </c>
      <c r="N19" s="20">
        <v>0.19273000000000001</v>
      </c>
    </row>
    <row r="20" spans="1:14" x14ac:dyDescent="0.25">
      <c r="A20">
        <f t="shared" si="0"/>
        <v>2005</v>
      </c>
      <c r="B20" s="16">
        <v>100</v>
      </c>
      <c r="C20" s="20">
        <v>59.897580591104102</v>
      </c>
      <c r="D20" s="20">
        <v>11.485822561277338</v>
      </c>
      <c r="E20" s="20">
        <v>27.291422934560885</v>
      </c>
      <c r="F20" s="20">
        <v>1.3016226828973716</v>
      </c>
      <c r="G20" s="20">
        <v>2.3552485891048833E-2</v>
      </c>
      <c r="I20" s="20">
        <v>796.34906000000001</v>
      </c>
      <c r="J20" s="20">
        <v>476.99382000000003</v>
      </c>
      <c r="K20" s="20">
        <v>91.467240000000004</v>
      </c>
      <c r="L20" s="20">
        <v>217.33499</v>
      </c>
      <c r="M20" s="20">
        <v>10.365460000000001</v>
      </c>
      <c r="N20" s="20">
        <v>0.18756</v>
      </c>
    </row>
    <row r="21" spans="1:14" x14ac:dyDescent="0.25">
      <c r="A21">
        <f t="shared" si="0"/>
        <v>2006</v>
      </c>
      <c r="B21" s="16">
        <v>100</v>
      </c>
      <c r="C21" s="20">
        <v>59.362695773595661</v>
      </c>
      <c r="D21" s="20">
        <v>11.74747525721102</v>
      </c>
      <c r="E21" s="20">
        <v>27.6068635070136</v>
      </c>
      <c r="F21" s="20">
        <v>1.2634153677893687</v>
      </c>
      <c r="G21" s="20">
        <v>1.9551337955931867E-2</v>
      </c>
      <c r="I21" s="20">
        <v>804.13933999999995</v>
      </c>
      <c r="J21" s="20">
        <v>477.35879</v>
      </c>
      <c r="K21" s="20">
        <v>94.466070000000002</v>
      </c>
      <c r="L21" s="20">
        <v>221.99764999999999</v>
      </c>
      <c r="M21" s="20">
        <v>10.15962</v>
      </c>
      <c r="N21" s="20">
        <v>0.15722</v>
      </c>
    </row>
    <row r="22" spans="1:14" x14ac:dyDescent="0.25">
      <c r="A22">
        <f t="shared" si="0"/>
        <v>2007</v>
      </c>
      <c r="B22" s="16">
        <v>100</v>
      </c>
      <c r="C22" s="20">
        <v>59.237227800509572</v>
      </c>
      <c r="D22" s="20">
        <v>12.067287610175418</v>
      </c>
      <c r="E22" s="20">
        <v>27.426016242875313</v>
      </c>
      <c r="F22" s="20">
        <v>1.2495877150357615</v>
      </c>
      <c r="G22" s="20">
        <v>1.9879402307714195E-2</v>
      </c>
      <c r="I22" s="20">
        <v>813.60595000000001</v>
      </c>
      <c r="J22" s="20">
        <v>481.95760999999999</v>
      </c>
      <c r="K22" s="20">
        <v>98.180170000000004</v>
      </c>
      <c r="L22" s="20">
        <v>223.1397</v>
      </c>
      <c r="M22" s="20">
        <v>10.16672</v>
      </c>
      <c r="N22" s="20">
        <v>0.16173999999999999</v>
      </c>
    </row>
    <row r="23" spans="1:14" x14ac:dyDescent="0.25">
      <c r="A23">
        <f t="shared" si="0"/>
        <v>2008</v>
      </c>
      <c r="B23" s="16">
        <v>100</v>
      </c>
      <c r="C23" s="20">
        <v>59.781661209265934</v>
      </c>
      <c r="D23" s="20">
        <v>11.970301829444484</v>
      </c>
      <c r="E23" s="20">
        <v>26.903899628348405</v>
      </c>
      <c r="F23" s="20">
        <v>1.3203759289796502</v>
      </c>
      <c r="G23" s="20">
        <v>2.3761403961537791E-2</v>
      </c>
      <c r="I23" s="20">
        <v>795.11294999999996</v>
      </c>
      <c r="J23" s="20">
        <v>475.33172999999999</v>
      </c>
      <c r="K23" s="20">
        <v>95.177419999999998</v>
      </c>
      <c r="L23" s="20">
        <v>213.91639000000001</v>
      </c>
      <c r="M23" s="20">
        <v>10.498480000000001</v>
      </c>
      <c r="N23" s="20">
        <v>0.18892999999999999</v>
      </c>
    </row>
    <row r="24" spans="1:14" x14ac:dyDescent="0.25">
      <c r="A24">
        <f t="shared" si="0"/>
        <v>2009</v>
      </c>
      <c r="B24" s="16">
        <v>100</v>
      </c>
      <c r="C24" s="20">
        <v>60.683000476396799</v>
      </c>
      <c r="D24" s="20">
        <v>11.89465508545357</v>
      </c>
      <c r="E24" s="20">
        <v>26.080026172341842</v>
      </c>
      <c r="F24" s="20">
        <v>1.3164785488739079</v>
      </c>
      <c r="G24" s="20">
        <v>2.5839716933881148E-2</v>
      </c>
      <c r="I24" s="20">
        <v>775.04719</v>
      </c>
      <c r="J24" s="20">
        <v>470.32189</v>
      </c>
      <c r="K24" s="20">
        <v>92.189189999999996</v>
      </c>
      <c r="L24" s="20">
        <v>202.13251</v>
      </c>
      <c r="M24" s="20">
        <v>10.203329999999999</v>
      </c>
      <c r="N24" s="20">
        <v>0.20027</v>
      </c>
    </row>
    <row r="25" spans="1:14" x14ac:dyDescent="0.25">
      <c r="A25">
        <f t="shared" si="0"/>
        <v>2010</v>
      </c>
      <c r="B25" s="16">
        <v>100</v>
      </c>
      <c r="C25" s="20">
        <v>60.370617099529511</v>
      </c>
      <c r="D25" s="20">
        <v>11.751011181584024</v>
      </c>
      <c r="E25" s="20">
        <v>26.533846018494334</v>
      </c>
      <c r="F25" s="20">
        <v>1.3258650473856086</v>
      </c>
      <c r="G25" s="20">
        <v>1.8659357487702966E-2</v>
      </c>
      <c r="I25" s="20">
        <v>771.89152999999999</v>
      </c>
      <c r="J25" s="20">
        <v>465.99567999999999</v>
      </c>
      <c r="K25" s="20">
        <v>90.705060000000003</v>
      </c>
      <c r="L25" s="20">
        <v>204.81251</v>
      </c>
      <c r="M25" s="20">
        <v>10.23424</v>
      </c>
      <c r="N25" s="20">
        <v>0.14402999999999999</v>
      </c>
    </row>
    <row r="26" spans="1:14" x14ac:dyDescent="0.25">
      <c r="A26">
        <f t="shared" si="0"/>
        <v>2011</v>
      </c>
      <c r="B26" s="16">
        <v>100</v>
      </c>
      <c r="C26" s="20">
        <v>60.11341860450348</v>
      </c>
      <c r="D26" s="20">
        <v>11.797013211001461</v>
      </c>
      <c r="E26" s="20">
        <v>26.732926271883713</v>
      </c>
      <c r="F26" s="20">
        <v>1.337500714455893</v>
      </c>
      <c r="G26" s="20">
        <v>1.9141198155463116E-2</v>
      </c>
      <c r="I26" s="20">
        <v>763.69304999999997</v>
      </c>
      <c r="J26" s="20">
        <v>459.08199999999999</v>
      </c>
      <c r="K26" s="20">
        <v>90.092969999999994</v>
      </c>
      <c r="L26" s="20">
        <v>204.1575</v>
      </c>
      <c r="M26" s="20">
        <v>10.214399999999999</v>
      </c>
      <c r="N26" s="20">
        <v>0.14618</v>
      </c>
    </row>
    <row r="27" spans="1:14" x14ac:dyDescent="0.25">
      <c r="A27">
        <f t="shared" si="0"/>
        <v>2012</v>
      </c>
      <c r="B27" s="16">
        <v>100</v>
      </c>
      <c r="C27" s="20">
        <v>60.22707922794681</v>
      </c>
      <c r="D27" s="20">
        <v>11.435284821167645</v>
      </c>
      <c r="E27" s="20">
        <v>26.946160661132819</v>
      </c>
      <c r="F27" s="20">
        <v>1.3732345598692914</v>
      </c>
      <c r="G27" s="20">
        <v>1.8240729883432897E-2</v>
      </c>
      <c r="I27" s="20">
        <v>736.31921999999997</v>
      </c>
      <c r="J27" s="20">
        <v>443.46355999999997</v>
      </c>
      <c r="K27" s="20">
        <v>84.200199999999995</v>
      </c>
      <c r="L27" s="20">
        <v>198.40976000000001</v>
      </c>
      <c r="M27" s="20">
        <v>10.11139</v>
      </c>
      <c r="N27" s="20">
        <v>0.13431000000000001</v>
      </c>
    </row>
    <row r="28" spans="1:14" x14ac:dyDescent="0.25">
      <c r="A28">
        <f t="shared" si="0"/>
        <v>2013</v>
      </c>
      <c r="B28" s="16">
        <v>100</v>
      </c>
      <c r="C28" s="20">
        <v>60.79443879698335</v>
      </c>
      <c r="D28" s="20">
        <v>10.984483634715779</v>
      </c>
      <c r="E28" s="20">
        <v>26.851269653423682</v>
      </c>
      <c r="F28" s="20">
        <v>1.3541035554026295</v>
      </c>
      <c r="G28" s="20">
        <v>1.5704359474560874E-2</v>
      </c>
      <c r="I28" s="20">
        <v>733.42692</v>
      </c>
      <c r="J28" s="20">
        <v>445.88278000000003</v>
      </c>
      <c r="K28" s="20">
        <v>80.563159999999996</v>
      </c>
      <c r="L28" s="20">
        <v>196.93444</v>
      </c>
      <c r="M28" s="20">
        <v>9.9313599999999997</v>
      </c>
      <c r="N28" s="20">
        <v>0.11518</v>
      </c>
    </row>
    <row r="29" spans="1:14" x14ac:dyDescent="0.25">
      <c r="A29">
        <f t="shared" si="0"/>
        <v>2014</v>
      </c>
      <c r="B29" s="16">
        <v>100</v>
      </c>
      <c r="C29" s="20">
        <v>61.411716320736318</v>
      </c>
      <c r="D29" s="20">
        <v>10.846681211060609</v>
      </c>
      <c r="E29" s="20">
        <v>26.372418574355518</v>
      </c>
      <c r="F29" s="20">
        <v>1.3484234508831703</v>
      </c>
      <c r="G29" s="20">
        <v>2.0760442964378865E-2</v>
      </c>
      <c r="I29" s="20">
        <v>742.03619000000003</v>
      </c>
      <c r="J29" s="20">
        <v>455.69716</v>
      </c>
      <c r="K29" s="20">
        <v>80.4863</v>
      </c>
      <c r="L29" s="20">
        <v>195.69289000000001</v>
      </c>
      <c r="M29" s="20">
        <v>10.005789999999999</v>
      </c>
      <c r="N29" s="20">
        <v>0.15404999999999999</v>
      </c>
    </row>
    <row r="30" spans="1:14" x14ac:dyDescent="0.25">
      <c r="A30">
        <f t="shared" si="0"/>
        <v>2015</v>
      </c>
      <c r="B30" s="16">
        <v>100</v>
      </c>
      <c r="C30" s="20">
        <v>61.344987407204755</v>
      </c>
      <c r="D30" s="20">
        <v>10.78546075641847</v>
      </c>
      <c r="E30" s="20">
        <v>26.544890459373683</v>
      </c>
      <c r="F30" s="20">
        <v>1.3096964708587486</v>
      </c>
      <c r="G30" s="20">
        <v>1.496490614435185E-2</v>
      </c>
      <c r="I30" s="20">
        <v>756.03548000000001</v>
      </c>
      <c r="J30" s="20">
        <v>463.78987000000001</v>
      </c>
      <c r="K30" s="20">
        <v>81.541910000000001</v>
      </c>
      <c r="L30" s="20">
        <v>200.68879000000001</v>
      </c>
      <c r="M30" s="20">
        <v>9.9017700000000008</v>
      </c>
      <c r="N30" s="20">
        <v>0.11314</v>
      </c>
    </row>
    <row r="31" spans="1:14" x14ac:dyDescent="0.25">
      <c r="A31">
        <f t="shared" si="0"/>
        <v>2016</v>
      </c>
      <c r="B31" s="16">
        <v>100</v>
      </c>
      <c r="C31" s="20">
        <v>61.362902543035489</v>
      </c>
      <c r="D31" s="20">
        <v>10.709285448922884</v>
      </c>
      <c r="E31" s="20">
        <v>26.624317355247339</v>
      </c>
      <c r="F31" s="20">
        <v>1.2868556610620692</v>
      </c>
      <c r="G31" s="20">
        <v>1.6638991732223593E-2</v>
      </c>
      <c r="I31" s="20">
        <v>772.82326999999998</v>
      </c>
      <c r="J31" s="20">
        <v>474.22678999999999</v>
      </c>
      <c r="K31" s="20">
        <v>82.763850000000005</v>
      </c>
      <c r="L31" s="20">
        <v>205.75891999999999</v>
      </c>
      <c r="M31" s="20">
        <v>9.9451199999999993</v>
      </c>
      <c r="N31" s="20">
        <v>0.12859000000000001</v>
      </c>
    </row>
    <row r="32" spans="1:14" x14ac:dyDescent="0.25">
      <c r="A32">
        <f t="shared" si="0"/>
        <v>2017</v>
      </c>
      <c r="B32" s="16">
        <v>100</v>
      </c>
      <c r="C32" s="20">
        <v>61.209153413413276</v>
      </c>
      <c r="D32" s="20">
        <v>10.708341288568704</v>
      </c>
      <c r="E32" s="20">
        <v>26.822213914635313</v>
      </c>
      <c r="F32" s="20">
        <v>1.2431064195218848</v>
      </c>
      <c r="G32" s="20">
        <v>1.7186237292757072E-2</v>
      </c>
      <c r="I32" s="20">
        <v>785.27950999999996</v>
      </c>
      <c r="J32" s="20">
        <v>480.66293999999999</v>
      </c>
      <c r="K32" s="20">
        <v>84.090410000000006</v>
      </c>
      <c r="L32" s="20">
        <v>210.62934999999999</v>
      </c>
      <c r="M32" s="20">
        <v>9.7618600000000004</v>
      </c>
      <c r="N32" s="20">
        <v>0.13496</v>
      </c>
    </row>
    <row r="33" spans="1:14" x14ac:dyDescent="0.25">
      <c r="A33">
        <f t="shared" si="0"/>
        <v>2018</v>
      </c>
      <c r="B33" s="16">
        <v>100</v>
      </c>
      <c r="C33" s="20">
        <v>60.622200392275026</v>
      </c>
      <c r="D33" s="20">
        <v>11.068025346817723</v>
      </c>
      <c r="E33" s="20">
        <v>27.068449863870743</v>
      </c>
      <c r="F33" s="20">
        <v>1.2242925774785918</v>
      </c>
      <c r="G33" s="20">
        <v>1.7030547482363403E-2</v>
      </c>
      <c r="I33" s="20">
        <v>786.11683000000005</v>
      </c>
      <c r="J33" s="20">
        <v>476.56132000000002</v>
      </c>
      <c r="K33" s="20">
        <v>87.00761</v>
      </c>
      <c r="L33" s="20">
        <v>212.78963999999999</v>
      </c>
      <c r="M33" s="20">
        <v>9.6243700000000008</v>
      </c>
      <c r="N33" s="20">
        <v>0.13388</v>
      </c>
    </row>
    <row r="34" spans="1:14" x14ac:dyDescent="0.25">
      <c r="E34" s="20">
        <f>AVERAGE(E5:E33)</f>
        <v>26.770172272559112</v>
      </c>
      <c r="I34" s="20">
        <v>792.75870999999995</v>
      </c>
      <c r="J34" s="20">
        <v>480.37754000000001</v>
      </c>
      <c r="K34" s="20">
        <v>87.544269999999997</v>
      </c>
      <c r="L34" s="20">
        <v>214.65501</v>
      </c>
      <c r="M34" s="20">
        <v>10.03632</v>
      </c>
      <c r="N34" s="20">
        <v>0.14557</v>
      </c>
    </row>
  </sheetData>
  <mergeCells count="2">
    <mergeCell ref="A3:G3"/>
    <mergeCell ref="I3:N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5C412-19C7-48F3-B756-4600011FE811}">
  <dimension ref="C2:X91"/>
  <sheetViews>
    <sheetView zoomScale="70" zoomScaleNormal="70" workbookViewId="0">
      <selection activeCell="C25" sqref="C25"/>
    </sheetView>
  </sheetViews>
  <sheetFormatPr defaultColWidth="10.85546875" defaultRowHeight="15" x14ac:dyDescent="0.25"/>
  <cols>
    <col min="3" max="3" width="17.85546875" bestFit="1" customWidth="1"/>
    <col min="5" max="5" width="14.42578125" bestFit="1" customWidth="1"/>
    <col min="6" max="6" width="17.5703125" bestFit="1" customWidth="1"/>
    <col min="7" max="7" width="20.5703125" bestFit="1" customWidth="1"/>
    <col min="8" max="8" width="21.140625" bestFit="1" customWidth="1"/>
    <col min="9" max="9" width="14.42578125" customWidth="1"/>
    <col min="10" max="10" width="23.7109375" bestFit="1" customWidth="1"/>
    <col min="11" max="11" width="7.85546875" bestFit="1" customWidth="1"/>
    <col min="21" max="23" width="11.42578125" bestFit="1" customWidth="1"/>
    <col min="24" max="24" width="12.42578125" bestFit="1" customWidth="1"/>
  </cols>
  <sheetData>
    <row r="2" spans="3:12" ht="15.75" thickBot="1" x14ac:dyDescent="0.3"/>
    <row r="3" spans="3:12" x14ac:dyDescent="0.25">
      <c r="C3" s="37" t="s">
        <v>119</v>
      </c>
      <c r="D3" s="38"/>
      <c r="E3" s="37" t="s">
        <v>122</v>
      </c>
      <c r="F3" s="38"/>
      <c r="G3" s="43"/>
    </row>
    <row r="4" spans="3:12" x14ac:dyDescent="0.25">
      <c r="C4" s="41" t="s">
        <v>120</v>
      </c>
      <c r="D4" s="16" t="s">
        <v>125</v>
      </c>
      <c r="E4" s="41" t="s">
        <v>123</v>
      </c>
      <c r="F4" s="16" t="s">
        <v>124</v>
      </c>
      <c r="G4" s="44" t="s">
        <v>135</v>
      </c>
      <c r="H4" s="16" t="s">
        <v>126</v>
      </c>
      <c r="I4" s="16"/>
    </row>
    <row r="5" spans="3:12" x14ac:dyDescent="0.25">
      <c r="C5" s="39" t="s">
        <v>86</v>
      </c>
      <c r="D5" s="16">
        <v>28000</v>
      </c>
      <c r="E5" s="41">
        <v>75</v>
      </c>
      <c r="F5" s="16">
        <v>65</v>
      </c>
      <c r="G5" s="44">
        <v>240000</v>
      </c>
      <c r="H5" s="20">
        <f>F5/E5</f>
        <v>0.8666666666666667</v>
      </c>
      <c r="I5" s="16"/>
      <c r="J5" t="s">
        <v>132</v>
      </c>
      <c r="K5" s="16">
        <v>10.7</v>
      </c>
    </row>
    <row r="6" spans="3:12" x14ac:dyDescent="0.25">
      <c r="C6" s="39" t="s">
        <v>117</v>
      </c>
      <c r="D6" s="16">
        <v>35000</v>
      </c>
      <c r="E6" s="41">
        <v>75</v>
      </c>
      <c r="F6" s="16">
        <v>34</v>
      </c>
      <c r="G6" s="44">
        <v>19500</v>
      </c>
      <c r="H6" s="20">
        <f>F6/E6</f>
        <v>0.45333333333333331</v>
      </c>
      <c r="I6" s="16"/>
      <c r="J6" t="s">
        <v>133</v>
      </c>
      <c r="K6" s="16">
        <v>33.33</v>
      </c>
    </row>
    <row r="7" spans="3:12" ht="15.75" thickBot="1" x14ac:dyDescent="0.3">
      <c r="C7" s="40" t="s">
        <v>118</v>
      </c>
      <c r="D7" s="42">
        <v>57000</v>
      </c>
      <c r="E7" s="45">
        <v>75</v>
      </c>
      <c r="F7" s="42">
        <v>53</v>
      </c>
      <c r="G7" s="46">
        <v>19500</v>
      </c>
      <c r="H7" s="20">
        <f>F7/E7</f>
        <v>0.70666666666666667</v>
      </c>
      <c r="I7" s="16"/>
      <c r="J7" t="s">
        <v>134</v>
      </c>
      <c r="K7" s="16">
        <v>1.5</v>
      </c>
    </row>
    <row r="8" spans="3:12" ht="15.75" thickBot="1" x14ac:dyDescent="0.3">
      <c r="J8" t="s">
        <v>136</v>
      </c>
      <c r="K8" s="16">
        <v>1</v>
      </c>
      <c r="L8" t="s">
        <v>142</v>
      </c>
    </row>
    <row r="9" spans="3:12" x14ac:dyDescent="0.25">
      <c r="C9" s="37" t="s">
        <v>119</v>
      </c>
      <c r="D9" s="38"/>
      <c r="E9" s="37" t="s">
        <v>122</v>
      </c>
      <c r="F9" s="38"/>
      <c r="G9" s="43"/>
      <c r="K9" s="16"/>
    </row>
    <row r="10" spans="3:12" x14ac:dyDescent="0.25">
      <c r="C10" s="39" t="s">
        <v>141</v>
      </c>
      <c r="D10" s="16" t="s">
        <v>125</v>
      </c>
      <c r="E10" s="41" t="s">
        <v>123</v>
      </c>
      <c r="F10" s="16" t="s">
        <v>124</v>
      </c>
      <c r="G10" s="44" t="s">
        <v>135</v>
      </c>
      <c r="H10" s="16" t="s">
        <v>126</v>
      </c>
      <c r="K10" s="16"/>
    </row>
    <row r="11" spans="3:12" x14ac:dyDescent="0.25">
      <c r="C11" s="39" t="s">
        <v>86</v>
      </c>
      <c r="D11" s="16">
        <v>58000</v>
      </c>
      <c r="E11" s="41">
        <v>200</v>
      </c>
      <c r="F11" s="16">
        <v>322</v>
      </c>
      <c r="G11" s="44">
        <v>52000</v>
      </c>
      <c r="H11" s="20">
        <f>F11/E11</f>
        <v>1.61</v>
      </c>
      <c r="K11" s="16"/>
    </row>
    <row r="12" spans="3:12" x14ac:dyDescent="0.25">
      <c r="C12" s="39" t="s">
        <v>117</v>
      </c>
      <c r="D12" s="16">
        <v>82000</v>
      </c>
      <c r="E12" s="41">
        <v>200</v>
      </c>
      <c r="F12" s="16">
        <v>168</v>
      </c>
      <c r="G12" s="44">
        <v>52000</v>
      </c>
      <c r="H12" s="20">
        <f>F12/E12</f>
        <v>0.84</v>
      </c>
      <c r="K12" s="16"/>
    </row>
    <row r="13" spans="3:12" ht="15.75" thickBot="1" x14ac:dyDescent="0.3">
      <c r="C13" s="40" t="s">
        <v>118</v>
      </c>
      <c r="D13" s="42">
        <v>122000</v>
      </c>
      <c r="E13" s="45">
        <v>200</v>
      </c>
      <c r="F13" s="42">
        <v>263</v>
      </c>
      <c r="G13" s="46">
        <v>52000</v>
      </c>
      <c r="H13" s="20">
        <f>F13/E13</f>
        <v>1.3149999999999999</v>
      </c>
      <c r="K13" s="16"/>
    </row>
    <row r="14" spans="3:12" ht="15.75" thickBot="1" x14ac:dyDescent="0.3">
      <c r="K14" s="16"/>
    </row>
    <row r="15" spans="3:12" x14ac:dyDescent="0.25">
      <c r="C15" s="37" t="s">
        <v>119</v>
      </c>
      <c r="D15" s="38"/>
      <c r="E15" s="37" t="s">
        <v>122</v>
      </c>
      <c r="F15" s="38"/>
      <c r="G15" s="43"/>
      <c r="K15">
        <f>G17*7</f>
        <v>8400000</v>
      </c>
    </row>
    <row r="16" spans="3:12" x14ac:dyDescent="0.25">
      <c r="C16" s="39" t="s">
        <v>121</v>
      </c>
      <c r="D16" s="16" t="s">
        <v>125</v>
      </c>
      <c r="E16" s="41" t="s">
        <v>123</v>
      </c>
      <c r="F16" s="16" t="s">
        <v>124</v>
      </c>
      <c r="G16" s="44" t="s">
        <v>135</v>
      </c>
      <c r="H16" s="16" t="s">
        <v>126</v>
      </c>
    </row>
    <row r="17" spans="3:24" x14ac:dyDescent="0.25">
      <c r="C17" s="39" t="s">
        <v>86</v>
      </c>
      <c r="D17" s="16">
        <v>150000</v>
      </c>
      <c r="E17" s="41">
        <v>600</v>
      </c>
      <c r="F17" s="16">
        <v>2600</v>
      </c>
      <c r="G17" s="44">
        <v>1200000</v>
      </c>
      <c r="H17" s="20">
        <f>F17/E17</f>
        <v>4.333333333333333</v>
      </c>
    </row>
    <row r="18" spans="3:24" x14ac:dyDescent="0.25">
      <c r="C18" s="39" t="s">
        <v>117</v>
      </c>
      <c r="D18" s="16">
        <v>390000</v>
      </c>
      <c r="E18" s="41">
        <v>600</v>
      </c>
      <c r="F18" s="16">
        <v>1354</v>
      </c>
      <c r="G18" s="44">
        <v>156000</v>
      </c>
      <c r="H18" s="20">
        <f>F18/E18</f>
        <v>2.2566666666666668</v>
      </c>
      <c r="J18">
        <f>H18*E18</f>
        <v>1354</v>
      </c>
    </row>
    <row r="19" spans="3:24" ht="15.75" thickBot="1" x14ac:dyDescent="0.3">
      <c r="C19" s="40" t="s">
        <v>118</v>
      </c>
      <c r="D19" s="42">
        <v>325000</v>
      </c>
      <c r="E19" s="45">
        <v>600</v>
      </c>
      <c r="F19" s="42">
        <v>2116</v>
      </c>
      <c r="G19" s="46">
        <v>156000</v>
      </c>
      <c r="H19" s="20">
        <f>F19/E19</f>
        <v>3.5266666666666668</v>
      </c>
    </row>
    <row r="22" spans="3:24" x14ac:dyDescent="0.25">
      <c r="C22" t="s">
        <v>127</v>
      </c>
      <c r="F22" t="s">
        <v>128</v>
      </c>
      <c r="I22" t="s">
        <v>137</v>
      </c>
    </row>
    <row r="23" spans="3:24" x14ac:dyDescent="0.25">
      <c r="C23" s="16" t="s">
        <v>86</v>
      </c>
      <c r="D23" s="16" t="s">
        <v>117</v>
      </c>
      <c r="E23" s="16" t="s">
        <v>118</v>
      </c>
      <c r="F23" s="16" t="s">
        <v>129</v>
      </c>
      <c r="G23" s="16" t="s">
        <v>130</v>
      </c>
      <c r="H23" s="16" t="s">
        <v>131</v>
      </c>
      <c r="I23" s="16" t="s">
        <v>86</v>
      </c>
      <c r="J23" s="16" t="s">
        <v>117</v>
      </c>
      <c r="K23" s="16" t="s">
        <v>118</v>
      </c>
    </row>
    <row r="24" spans="3:24" x14ac:dyDescent="0.25">
      <c r="C24">
        <f>$D$5</f>
        <v>28000</v>
      </c>
      <c r="D24">
        <f>$D$6</f>
        <v>35000</v>
      </c>
      <c r="E24">
        <f>$D$7</f>
        <v>57000</v>
      </c>
      <c r="F24" s="20">
        <f>$K$7/$K$5</f>
        <v>0.14018691588785048</v>
      </c>
      <c r="G24" s="16">
        <f>0.2</f>
        <v>0.2</v>
      </c>
      <c r="H24" s="20">
        <f>(500/60000+G24)/0.63</f>
        <v>0.3306878306878307</v>
      </c>
      <c r="I24" s="17">
        <f>C24+F24*$H$5*$K$8*$G$5</f>
        <v>57158.878504672903</v>
      </c>
      <c r="J24" s="17">
        <f>D24+G24*$H$6*$K$8*$G$5</f>
        <v>56760</v>
      </c>
      <c r="K24" s="17">
        <f>E24+H24*$H$7*$K$8*$G$5</f>
        <v>113084.65608465609</v>
      </c>
    </row>
    <row r="25" spans="3:24" x14ac:dyDescent="0.25">
      <c r="C25">
        <f t="shared" ref="C25:C43" si="0">$D$5</f>
        <v>28000</v>
      </c>
      <c r="D25">
        <f t="shared" ref="D25:D43" si="1">$D$6</f>
        <v>35000</v>
      </c>
      <c r="E25">
        <f t="shared" ref="E25:E43" si="2">$D$7</f>
        <v>57000</v>
      </c>
      <c r="F25" s="20">
        <f t="shared" ref="F25:F43" si="3">$K$7/$K$5</f>
        <v>0.14018691588785048</v>
      </c>
      <c r="G25" s="16">
        <f>G24-0.01</f>
        <v>0.19</v>
      </c>
      <c r="H25" s="20">
        <f t="shared" ref="H25:H43" si="4">(500/60000+G25)/0.63</f>
        <v>0.31481481481481483</v>
      </c>
      <c r="I25" s="17">
        <f t="shared" ref="I25:I43" si="5">C25+F25*$H$5*$K$8*$G$5</f>
        <v>57158.878504672903</v>
      </c>
      <c r="J25" s="17">
        <f t="shared" ref="J25:J43" si="6">D25+G25*$H$6*$K$8*$G$5</f>
        <v>55672</v>
      </c>
      <c r="K25" s="17">
        <f t="shared" ref="K25:K43" si="7">E25+H25*$H$7*$K$8*$G$5</f>
        <v>110392.59259259258</v>
      </c>
    </row>
    <row r="26" spans="3:24" x14ac:dyDescent="0.25">
      <c r="C26">
        <f t="shared" si="0"/>
        <v>28000</v>
      </c>
      <c r="D26">
        <f t="shared" si="1"/>
        <v>35000</v>
      </c>
      <c r="E26">
        <f t="shared" si="2"/>
        <v>57000</v>
      </c>
      <c r="F26" s="20">
        <f t="shared" si="3"/>
        <v>0.14018691588785048</v>
      </c>
      <c r="G26" s="16">
        <f t="shared" ref="G26:G43" si="8">G25-0.01</f>
        <v>0.18</v>
      </c>
      <c r="H26" s="20">
        <f t="shared" si="4"/>
        <v>0.29894179894179895</v>
      </c>
      <c r="I26" s="17">
        <f t="shared" si="5"/>
        <v>57158.878504672903</v>
      </c>
      <c r="J26" s="17">
        <f t="shared" si="6"/>
        <v>54584</v>
      </c>
      <c r="K26" s="17">
        <f t="shared" si="7"/>
        <v>107700.52910052909</v>
      </c>
    </row>
    <row r="27" spans="3:24" x14ac:dyDescent="0.25">
      <c r="C27">
        <f t="shared" si="0"/>
        <v>28000</v>
      </c>
      <c r="D27">
        <f t="shared" si="1"/>
        <v>35000</v>
      </c>
      <c r="E27">
        <f t="shared" si="2"/>
        <v>57000</v>
      </c>
      <c r="F27" s="20">
        <f t="shared" si="3"/>
        <v>0.14018691588785048</v>
      </c>
      <c r="G27" s="16">
        <f t="shared" si="8"/>
        <v>0.16999999999999998</v>
      </c>
      <c r="H27" s="20">
        <f t="shared" si="4"/>
        <v>0.28306878306878303</v>
      </c>
      <c r="I27" s="17">
        <f t="shared" si="5"/>
        <v>57158.878504672903</v>
      </c>
      <c r="J27" s="17">
        <f t="shared" si="6"/>
        <v>53496</v>
      </c>
      <c r="K27" s="17">
        <f t="shared" si="7"/>
        <v>105008.4656084656</v>
      </c>
    </row>
    <row r="28" spans="3:24" x14ac:dyDescent="0.25">
      <c r="C28">
        <f t="shared" si="0"/>
        <v>28000</v>
      </c>
      <c r="D28">
        <f t="shared" si="1"/>
        <v>35000</v>
      </c>
      <c r="E28">
        <f t="shared" si="2"/>
        <v>57000</v>
      </c>
      <c r="F28" s="20">
        <f t="shared" si="3"/>
        <v>0.14018691588785048</v>
      </c>
      <c r="G28" s="16">
        <f t="shared" si="8"/>
        <v>0.15999999999999998</v>
      </c>
      <c r="H28" s="20">
        <f t="shared" si="4"/>
        <v>0.26719576719576715</v>
      </c>
      <c r="I28" s="17">
        <f t="shared" si="5"/>
        <v>57158.878504672903</v>
      </c>
      <c r="J28" s="17">
        <f t="shared" si="6"/>
        <v>52408</v>
      </c>
      <c r="K28" s="17">
        <f t="shared" si="7"/>
        <v>102316.40211640211</v>
      </c>
    </row>
    <row r="29" spans="3:24" x14ac:dyDescent="0.25">
      <c r="C29">
        <f t="shared" si="0"/>
        <v>28000</v>
      </c>
      <c r="D29">
        <f t="shared" si="1"/>
        <v>35000</v>
      </c>
      <c r="E29">
        <f t="shared" si="2"/>
        <v>57000</v>
      </c>
      <c r="F29" s="20">
        <f t="shared" si="3"/>
        <v>0.14018691588785048</v>
      </c>
      <c r="G29" s="16">
        <f t="shared" si="8"/>
        <v>0.14999999999999997</v>
      </c>
      <c r="H29" s="20">
        <f t="shared" si="4"/>
        <v>0.25132275132275128</v>
      </c>
      <c r="I29" s="17">
        <f t="shared" si="5"/>
        <v>57158.878504672903</v>
      </c>
      <c r="J29" s="17">
        <f t="shared" si="6"/>
        <v>51319.999999999993</v>
      </c>
      <c r="K29" s="17">
        <f t="shared" si="7"/>
        <v>99624.338624338619</v>
      </c>
    </row>
    <row r="30" spans="3:24" x14ac:dyDescent="0.25">
      <c r="C30">
        <f t="shared" si="0"/>
        <v>28000</v>
      </c>
      <c r="D30">
        <f t="shared" si="1"/>
        <v>35000</v>
      </c>
      <c r="E30">
        <f t="shared" si="2"/>
        <v>57000</v>
      </c>
      <c r="F30" s="20">
        <f t="shared" si="3"/>
        <v>0.14018691588785048</v>
      </c>
      <c r="G30" s="16">
        <f t="shared" si="8"/>
        <v>0.13999999999999996</v>
      </c>
      <c r="H30" s="20">
        <f t="shared" si="4"/>
        <v>0.23544973544973538</v>
      </c>
      <c r="I30" s="17">
        <f t="shared" si="5"/>
        <v>57158.878504672903</v>
      </c>
      <c r="J30" s="17">
        <f t="shared" si="6"/>
        <v>50231.999999999993</v>
      </c>
      <c r="K30" s="17">
        <f t="shared" si="7"/>
        <v>96932.275132275128</v>
      </c>
    </row>
    <row r="31" spans="3:24" x14ac:dyDescent="0.25">
      <c r="C31">
        <f t="shared" si="0"/>
        <v>28000</v>
      </c>
      <c r="D31">
        <f t="shared" si="1"/>
        <v>35000</v>
      </c>
      <c r="E31">
        <f t="shared" si="2"/>
        <v>57000</v>
      </c>
      <c r="F31" s="20">
        <f t="shared" si="3"/>
        <v>0.14018691588785048</v>
      </c>
      <c r="G31" s="16">
        <f t="shared" si="8"/>
        <v>0.12999999999999995</v>
      </c>
      <c r="H31" s="20">
        <f t="shared" si="4"/>
        <v>0.21957671957671948</v>
      </c>
      <c r="I31" s="17">
        <f t="shared" si="5"/>
        <v>57158.878504672903</v>
      </c>
      <c r="J31" s="17">
        <f t="shared" si="6"/>
        <v>49143.999999999993</v>
      </c>
      <c r="K31" s="17">
        <f t="shared" si="7"/>
        <v>94240.211640211623</v>
      </c>
      <c r="N31" s="16">
        <f>G24*100</f>
        <v>20</v>
      </c>
      <c r="O31">
        <v>57158.878504672903</v>
      </c>
      <c r="P31" s="17">
        <v>66878.504672897194</v>
      </c>
      <c r="Q31" s="17">
        <v>56760</v>
      </c>
      <c r="R31" s="17">
        <v>113084.65608465609</v>
      </c>
      <c r="T31" s="16">
        <v>20</v>
      </c>
      <c r="U31" s="18">
        <f>O31/1000</f>
        <v>57.158878504672906</v>
      </c>
      <c r="V31" s="18">
        <f t="shared" ref="V31:X31" si="9">P31/1000</f>
        <v>66.878504672897193</v>
      </c>
      <c r="W31" s="18">
        <f t="shared" si="9"/>
        <v>56.76</v>
      </c>
      <c r="X31" s="18">
        <f t="shared" si="9"/>
        <v>113.08465608465609</v>
      </c>
    </row>
    <row r="32" spans="3:24" x14ac:dyDescent="0.25">
      <c r="C32">
        <f t="shared" si="0"/>
        <v>28000</v>
      </c>
      <c r="D32">
        <f t="shared" si="1"/>
        <v>35000</v>
      </c>
      <c r="E32">
        <f t="shared" si="2"/>
        <v>57000</v>
      </c>
      <c r="F32" s="20">
        <f t="shared" si="3"/>
        <v>0.14018691588785048</v>
      </c>
      <c r="G32" s="16">
        <f t="shared" si="8"/>
        <v>0.11999999999999995</v>
      </c>
      <c r="H32" s="20">
        <f t="shared" si="4"/>
        <v>0.20370370370370364</v>
      </c>
      <c r="I32" s="17">
        <f t="shared" si="5"/>
        <v>57158.878504672903</v>
      </c>
      <c r="J32" s="17">
        <f t="shared" si="6"/>
        <v>48055.999999999993</v>
      </c>
      <c r="K32" s="17">
        <f t="shared" si="7"/>
        <v>91548.148148148131</v>
      </c>
      <c r="N32" s="16">
        <f>N31-5</f>
        <v>15</v>
      </c>
      <c r="O32">
        <v>57158.878504672903</v>
      </c>
      <c r="P32" s="17">
        <v>66878.504672897194</v>
      </c>
      <c r="Q32" s="17">
        <v>51320</v>
      </c>
      <c r="R32" s="17">
        <v>99624.338624338619</v>
      </c>
      <c r="T32" s="16">
        <v>15</v>
      </c>
      <c r="U32" s="18">
        <f t="shared" ref="U32:U35" si="10">O32/1000</f>
        <v>57.158878504672906</v>
      </c>
      <c r="V32" s="18">
        <f t="shared" ref="V32:V35" si="11">P32/1000</f>
        <v>66.878504672897193</v>
      </c>
      <c r="W32" s="18">
        <f t="shared" ref="W32:W35" si="12">Q32/1000</f>
        <v>51.32</v>
      </c>
      <c r="X32" s="18">
        <f t="shared" ref="X32:X35" si="13">R32/1000</f>
        <v>99.62433862433862</v>
      </c>
    </row>
    <row r="33" spans="3:24" x14ac:dyDescent="0.25">
      <c r="C33">
        <f t="shared" si="0"/>
        <v>28000</v>
      </c>
      <c r="D33">
        <f t="shared" si="1"/>
        <v>35000</v>
      </c>
      <c r="E33">
        <f t="shared" si="2"/>
        <v>57000</v>
      </c>
      <c r="F33" s="20">
        <f t="shared" si="3"/>
        <v>0.14018691588785048</v>
      </c>
      <c r="G33" s="16">
        <f t="shared" si="8"/>
        <v>0.10999999999999996</v>
      </c>
      <c r="H33" s="20">
        <f t="shared" si="4"/>
        <v>0.18783068783068776</v>
      </c>
      <c r="I33" s="17">
        <f t="shared" si="5"/>
        <v>57158.878504672903</v>
      </c>
      <c r="J33" s="17">
        <f t="shared" si="6"/>
        <v>46967.999999999993</v>
      </c>
      <c r="K33" s="17">
        <f t="shared" si="7"/>
        <v>88856.08465608464</v>
      </c>
      <c r="N33" s="16">
        <f t="shared" ref="N33:N35" si="14">N32-5</f>
        <v>10</v>
      </c>
      <c r="O33">
        <v>57158.878504672903</v>
      </c>
      <c r="P33" s="17">
        <v>66878.504672897194</v>
      </c>
      <c r="Q33" s="17">
        <v>45880</v>
      </c>
      <c r="R33" s="17">
        <v>86164.021164021164</v>
      </c>
      <c r="T33" s="16">
        <v>10</v>
      </c>
      <c r="U33" s="18">
        <f t="shared" si="10"/>
        <v>57.158878504672906</v>
      </c>
      <c r="V33" s="18">
        <f t="shared" si="11"/>
        <v>66.878504672897193</v>
      </c>
      <c r="W33" s="18">
        <f t="shared" si="12"/>
        <v>45.88</v>
      </c>
      <c r="X33" s="18">
        <f t="shared" si="13"/>
        <v>86.164021164021165</v>
      </c>
    </row>
    <row r="34" spans="3:24" x14ac:dyDescent="0.25">
      <c r="C34">
        <f t="shared" si="0"/>
        <v>28000</v>
      </c>
      <c r="D34">
        <f t="shared" si="1"/>
        <v>35000</v>
      </c>
      <c r="E34">
        <f t="shared" si="2"/>
        <v>57000</v>
      </c>
      <c r="F34" s="20">
        <f t="shared" si="3"/>
        <v>0.14018691588785048</v>
      </c>
      <c r="G34" s="16">
        <f t="shared" si="8"/>
        <v>9.9999999999999964E-2</v>
      </c>
      <c r="H34" s="20">
        <f t="shared" si="4"/>
        <v>0.17195767195767189</v>
      </c>
      <c r="I34" s="17">
        <f t="shared" si="5"/>
        <v>57158.878504672903</v>
      </c>
      <c r="J34" s="17">
        <f t="shared" si="6"/>
        <v>45880</v>
      </c>
      <c r="K34" s="17">
        <f t="shared" si="7"/>
        <v>86164.021164021149</v>
      </c>
      <c r="N34" s="16">
        <f t="shared" si="14"/>
        <v>5</v>
      </c>
      <c r="O34">
        <v>57158.878504672903</v>
      </c>
      <c r="P34" s="17">
        <v>66878.504672897194</v>
      </c>
      <c r="Q34" s="17">
        <v>40440</v>
      </c>
      <c r="R34" s="17">
        <v>72703.703703703708</v>
      </c>
      <c r="T34" s="16">
        <v>5</v>
      </c>
      <c r="U34" s="18">
        <f t="shared" si="10"/>
        <v>57.158878504672906</v>
      </c>
      <c r="V34" s="18">
        <f t="shared" si="11"/>
        <v>66.878504672897193</v>
      </c>
      <c r="W34" s="18">
        <f t="shared" si="12"/>
        <v>40.44</v>
      </c>
      <c r="X34" s="18">
        <f t="shared" si="13"/>
        <v>72.703703703703709</v>
      </c>
    </row>
    <row r="35" spans="3:24" x14ac:dyDescent="0.25">
      <c r="C35">
        <f t="shared" si="0"/>
        <v>28000</v>
      </c>
      <c r="D35">
        <f t="shared" si="1"/>
        <v>35000</v>
      </c>
      <c r="E35">
        <f t="shared" si="2"/>
        <v>57000</v>
      </c>
      <c r="F35" s="20">
        <f t="shared" si="3"/>
        <v>0.14018691588785048</v>
      </c>
      <c r="G35" s="16">
        <f t="shared" si="8"/>
        <v>8.9999999999999969E-2</v>
      </c>
      <c r="H35" s="20">
        <f t="shared" si="4"/>
        <v>0.15608465608465602</v>
      </c>
      <c r="I35" s="17">
        <f t="shared" si="5"/>
        <v>57158.878504672903</v>
      </c>
      <c r="J35" s="17">
        <f t="shared" si="6"/>
        <v>44792</v>
      </c>
      <c r="K35" s="17">
        <f t="shared" si="7"/>
        <v>83471.957671957658</v>
      </c>
      <c r="N35" s="16">
        <f t="shared" si="14"/>
        <v>0</v>
      </c>
      <c r="O35">
        <v>57158.878504672903</v>
      </c>
      <c r="P35" s="17">
        <v>66878.504672897194</v>
      </c>
      <c r="Q35" s="17">
        <v>35000</v>
      </c>
      <c r="R35" s="17">
        <v>59243.386243386245</v>
      </c>
      <c r="T35" s="16">
        <v>0</v>
      </c>
      <c r="U35" s="18">
        <f t="shared" si="10"/>
        <v>57.158878504672906</v>
      </c>
      <c r="V35" s="18">
        <f t="shared" si="11"/>
        <v>66.878504672897193</v>
      </c>
      <c r="W35" s="18">
        <f t="shared" si="12"/>
        <v>35</v>
      </c>
      <c r="X35" s="18">
        <f t="shared" si="13"/>
        <v>59.243386243386247</v>
      </c>
    </row>
    <row r="36" spans="3:24" x14ac:dyDescent="0.25">
      <c r="C36">
        <f t="shared" si="0"/>
        <v>28000</v>
      </c>
      <c r="D36">
        <f t="shared" si="1"/>
        <v>35000</v>
      </c>
      <c r="E36">
        <f t="shared" si="2"/>
        <v>57000</v>
      </c>
      <c r="F36" s="20">
        <f t="shared" si="3"/>
        <v>0.14018691588785048</v>
      </c>
      <c r="G36" s="16">
        <f t="shared" si="8"/>
        <v>7.9999999999999974E-2</v>
      </c>
      <c r="H36" s="20">
        <f t="shared" si="4"/>
        <v>0.14021164021164018</v>
      </c>
      <c r="I36" s="17">
        <f t="shared" si="5"/>
        <v>57158.878504672903</v>
      </c>
      <c r="J36" s="17">
        <f t="shared" si="6"/>
        <v>43704</v>
      </c>
      <c r="K36" s="17">
        <f t="shared" si="7"/>
        <v>80779.894179894181</v>
      </c>
    </row>
    <row r="37" spans="3:24" x14ac:dyDescent="0.25">
      <c r="C37">
        <f t="shared" si="0"/>
        <v>28000</v>
      </c>
      <c r="D37">
        <f t="shared" si="1"/>
        <v>35000</v>
      </c>
      <c r="E37">
        <f t="shared" si="2"/>
        <v>57000</v>
      </c>
      <c r="F37" s="20">
        <f t="shared" si="3"/>
        <v>0.14018691588785048</v>
      </c>
      <c r="G37" s="16">
        <f t="shared" si="8"/>
        <v>6.9999999999999979E-2</v>
      </c>
      <c r="H37" s="20">
        <f t="shared" si="4"/>
        <v>0.1243386243386243</v>
      </c>
      <c r="I37" s="17">
        <f t="shared" si="5"/>
        <v>57158.878504672903</v>
      </c>
      <c r="J37" s="17">
        <f t="shared" si="6"/>
        <v>42616</v>
      </c>
      <c r="K37" s="17">
        <f t="shared" si="7"/>
        <v>78087.830687830676</v>
      </c>
      <c r="N37" s="16">
        <v>20</v>
      </c>
      <c r="O37" s="17">
        <v>878971.96261682257</v>
      </c>
      <c r="P37" s="17">
        <v>1121962.6168224299</v>
      </c>
      <c r="Q37" s="17">
        <v>931600</v>
      </c>
      <c r="R37" s="17">
        <v>1724470.8994708997</v>
      </c>
      <c r="T37" s="16">
        <v>20</v>
      </c>
      <c r="U37" s="35">
        <f>O37/1000</f>
        <v>878.97196261682257</v>
      </c>
      <c r="V37" s="35">
        <f t="shared" ref="V37:X37" si="15">P37/1000</f>
        <v>1121.9626168224299</v>
      </c>
      <c r="W37" s="35">
        <f t="shared" si="15"/>
        <v>931.6</v>
      </c>
      <c r="X37" s="35">
        <f t="shared" si="15"/>
        <v>1724.4708994708997</v>
      </c>
    </row>
    <row r="38" spans="3:24" x14ac:dyDescent="0.25">
      <c r="C38">
        <f t="shared" si="0"/>
        <v>28000</v>
      </c>
      <c r="D38">
        <f t="shared" si="1"/>
        <v>35000</v>
      </c>
      <c r="E38">
        <f t="shared" si="2"/>
        <v>57000</v>
      </c>
      <c r="F38" s="20">
        <f t="shared" si="3"/>
        <v>0.14018691588785048</v>
      </c>
      <c r="G38" s="16">
        <f t="shared" si="8"/>
        <v>5.9999999999999977E-2</v>
      </c>
      <c r="H38" s="20">
        <f t="shared" si="4"/>
        <v>0.10846560846560843</v>
      </c>
      <c r="I38" s="17">
        <f t="shared" si="5"/>
        <v>57158.878504672903</v>
      </c>
      <c r="J38" s="17">
        <f t="shared" si="6"/>
        <v>41528</v>
      </c>
      <c r="K38" s="17">
        <f t="shared" si="7"/>
        <v>75395.767195767199</v>
      </c>
      <c r="N38" s="16">
        <v>15</v>
      </c>
      <c r="O38" s="17">
        <v>878971.96261682257</v>
      </c>
      <c r="P38" s="17">
        <v>1121962.6168224299</v>
      </c>
      <c r="Q38" s="17">
        <v>796200.00000000012</v>
      </c>
      <c r="R38" s="17">
        <v>1388597.8835978836</v>
      </c>
      <c r="T38" s="16">
        <v>15</v>
      </c>
      <c r="U38" s="35">
        <f t="shared" ref="U38:U41" si="16">O38/1000</f>
        <v>878.97196261682257</v>
      </c>
      <c r="V38" s="35">
        <f t="shared" ref="V38:V41" si="17">P38/1000</f>
        <v>1121.9626168224299</v>
      </c>
      <c r="W38" s="35">
        <f t="shared" ref="W38:W41" si="18">Q38/1000</f>
        <v>796.20000000000016</v>
      </c>
      <c r="X38" s="35">
        <f t="shared" ref="X38:X41" si="19">R38/1000</f>
        <v>1388.5978835978835</v>
      </c>
    </row>
    <row r="39" spans="3:24" x14ac:dyDescent="0.25">
      <c r="C39">
        <f t="shared" si="0"/>
        <v>28000</v>
      </c>
      <c r="D39">
        <f t="shared" si="1"/>
        <v>35000</v>
      </c>
      <c r="E39">
        <f t="shared" si="2"/>
        <v>57000</v>
      </c>
      <c r="F39" s="20">
        <f t="shared" si="3"/>
        <v>0.14018691588785048</v>
      </c>
      <c r="G39" s="16">
        <f t="shared" si="8"/>
        <v>4.9999999999999975E-2</v>
      </c>
      <c r="H39" s="20">
        <f t="shared" si="4"/>
        <v>9.2592592592592546E-2</v>
      </c>
      <c r="I39" s="17">
        <f t="shared" si="5"/>
        <v>57158.878504672903</v>
      </c>
      <c r="J39" s="17">
        <f t="shared" si="6"/>
        <v>40440</v>
      </c>
      <c r="K39" s="17">
        <f t="shared" si="7"/>
        <v>72703.703703703693</v>
      </c>
      <c r="N39" s="16">
        <v>10</v>
      </c>
      <c r="O39" s="17">
        <v>878971.96261682257</v>
      </c>
      <c r="P39" s="17">
        <v>1121962.6168224299</v>
      </c>
      <c r="Q39" s="17">
        <v>660800</v>
      </c>
      <c r="R39" s="17">
        <v>1052724.8677248678</v>
      </c>
      <c r="T39" s="16">
        <v>10</v>
      </c>
      <c r="U39" s="35">
        <f t="shared" si="16"/>
        <v>878.97196261682257</v>
      </c>
      <c r="V39" s="35">
        <f t="shared" si="17"/>
        <v>1121.9626168224299</v>
      </c>
      <c r="W39" s="35">
        <f t="shared" si="18"/>
        <v>660.8</v>
      </c>
      <c r="X39" s="35">
        <f t="shared" si="19"/>
        <v>1052.7248677248679</v>
      </c>
    </row>
    <row r="40" spans="3:24" x14ac:dyDescent="0.25">
      <c r="C40">
        <f t="shared" si="0"/>
        <v>28000</v>
      </c>
      <c r="D40">
        <f t="shared" si="1"/>
        <v>35000</v>
      </c>
      <c r="E40">
        <f t="shared" si="2"/>
        <v>57000</v>
      </c>
      <c r="F40" s="20">
        <f t="shared" si="3"/>
        <v>0.14018691588785048</v>
      </c>
      <c r="G40" s="16">
        <f t="shared" si="8"/>
        <v>3.9999999999999973E-2</v>
      </c>
      <c r="H40" s="20">
        <f t="shared" si="4"/>
        <v>7.6719576719576674E-2</v>
      </c>
      <c r="I40" s="17">
        <f t="shared" si="5"/>
        <v>57158.878504672903</v>
      </c>
      <c r="J40" s="17">
        <f t="shared" si="6"/>
        <v>39352</v>
      </c>
      <c r="K40" s="17">
        <f t="shared" si="7"/>
        <v>70011.640211640202</v>
      </c>
      <c r="N40" s="16">
        <v>5</v>
      </c>
      <c r="O40" s="17">
        <v>878971.96261682257</v>
      </c>
      <c r="P40" s="17">
        <v>1121962.6168224299</v>
      </c>
      <c r="Q40" s="17">
        <v>525400</v>
      </c>
      <c r="R40" s="17">
        <v>716851.85185185191</v>
      </c>
      <c r="T40" s="16">
        <v>5</v>
      </c>
      <c r="U40" s="35">
        <f t="shared" si="16"/>
        <v>878.97196261682257</v>
      </c>
      <c r="V40" s="35">
        <f t="shared" si="17"/>
        <v>1121.9626168224299</v>
      </c>
      <c r="W40" s="35">
        <f t="shared" si="18"/>
        <v>525.4</v>
      </c>
      <c r="X40" s="35">
        <f t="shared" si="19"/>
        <v>716.85185185185196</v>
      </c>
    </row>
    <row r="41" spans="3:24" x14ac:dyDescent="0.25">
      <c r="C41">
        <f t="shared" si="0"/>
        <v>28000</v>
      </c>
      <c r="D41">
        <f t="shared" si="1"/>
        <v>35000</v>
      </c>
      <c r="E41">
        <f t="shared" si="2"/>
        <v>57000</v>
      </c>
      <c r="F41" s="20">
        <f t="shared" si="3"/>
        <v>0.14018691588785048</v>
      </c>
      <c r="G41" s="16">
        <f t="shared" si="8"/>
        <v>2.9999999999999971E-2</v>
      </c>
      <c r="H41" s="20">
        <f t="shared" si="4"/>
        <v>6.0846560846560795E-2</v>
      </c>
      <c r="I41" s="17">
        <f t="shared" si="5"/>
        <v>57158.878504672903</v>
      </c>
      <c r="J41" s="17">
        <f t="shared" si="6"/>
        <v>38264</v>
      </c>
      <c r="K41" s="17">
        <f t="shared" si="7"/>
        <v>67319.576719576711</v>
      </c>
      <c r="N41" s="16">
        <v>0</v>
      </c>
      <c r="O41" s="17">
        <v>878971.96261682257</v>
      </c>
      <c r="P41" s="17">
        <v>1121962.6168224299</v>
      </c>
      <c r="Q41" s="17">
        <v>390000</v>
      </c>
      <c r="R41" s="17">
        <v>380978.835978836</v>
      </c>
      <c r="T41" s="16">
        <v>0</v>
      </c>
      <c r="U41" s="35">
        <f t="shared" si="16"/>
        <v>878.97196261682257</v>
      </c>
      <c r="V41" s="35">
        <f t="shared" si="17"/>
        <v>1121.9626168224299</v>
      </c>
      <c r="W41" s="35">
        <f t="shared" si="18"/>
        <v>390</v>
      </c>
      <c r="X41" s="35">
        <f t="shared" si="19"/>
        <v>380.978835978836</v>
      </c>
    </row>
    <row r="42" spans="3:24" x14ac:dyDescent="0.25">
      <c r="C42">
        <f t="shared" si="0"/>
        <v>28000</v>
      </c>
      <c r="D42">
        <f t="shared" si="1"/>
        <v>35000</v>
      </c>
      <c r="E42">
        <f t="shared" si="2"/>
        <v>57000</v>
      </c>
      <c r="F42" s="20">
        <f t="shared" si="3"/>
        <v>0.14018691588785048</v>
      </c>
      <c r="G42" s="16">
        <f t="shared" si="8"/>
        <v>1.9999999999999969E-2</v>
      </c>
      <c r="H42" s="20">
        <f t="shared" si="4"/>
        <v>4.4973544973544922E-2</v>
      </c>
      <c r="I42" s="17">
        <f t="shared" si="5"/>
        <v>57158.878504672903</v>
      </c>
      <c r="J42" s="17">
        <f t="shared" si="6"/>
        <v>37176</v>
      </c>
      <c r="K42" s="17">
        <f t="shared" si="7"/>
        <v>64627.51322751322</v>
      </c>
    </row>
    <row r="43" spans="3:24" x14ac:dyDescent="0.25">
      <c r="C43">
        <f t="shared" si="0"/>
        <v>28000</v>
      </c>
      <c r="D43">
        <f t="shared" si="1"/>
        <v>35000</v>
      </c>
      <c r="E43">
        <f t="shared" si="2"/>
        <v>57000</v>
      </c>
      <c r="F43" s="20">
        <f t="shared" si="3"/>
        <v>0.14018691588785048</v>
      </c>
      <c r="G43" s="16">
        <f t="shared" si="8"/>
        <v>9.999999999999969E-3</v>
      </c>
      <c r="H43" s="20">
        <f t="shared" si="4"/>
        <v>2.910052910052905E-2</v>
      </c>
      <c r="I43" s="17">
        <f t="shared" si="5"/>
        <v>57158.878504672903</v>
      </c>
      <c r="J43" s="17">
        <f t="shared" si="6"/>
        <v>36088</v>
      </c>
      <c r="K43" s="17">
        <f t="shared" si="7"/>
        <v>61935.449735449729</v>
      </c>
    </row>
    <row r="46" spans="3:24" x14ac:dyDescent="0.25">
      <c r="C46" t="s">
        <v>140</v>
      </c>
      <c r="F46" t="s">
        <v>138</v>
      </c>
      <c r="I46" t="s">
        <v>139</v>
      </c>
    </row>
    <row r="47" spans="3:24" x14ac:dyDescent="0.25">
      <c r="C47" s="16" t="s">
        <v>86</v>
      </c>
      <c r="D47" s="16" t="s">
        <v>117</v>
      </c>
      <c r="E47" s="16" t="s">
        <v>118</v>
      </c>
      <c r="F47" s="16" t="s">
        <v>129</v>
      </c>
      <c r="G47" s="16" t="s">
        <v>130</v>
      </c>
      <c r="H47" s="16" t="s">
        <v>131</v>
      </c>
      <c r="I47" s="16" t="s">
        <v>86</v>
      </c>
      <c r="J47" s="16" t="s">
        <v>117</v>
      </c>
      <c r="K47" s="16" t="s">
        <v>118</v>
      </c>
    </row>
    <row r="48" spans="3:24" x14ac:dyDescent="0.25">
      <c r="C48">
        <f>$D$11</f>
        <v>58000</v>
      </c>
      <c r="D48">
        <f>$D$12</f>
        <v>82000</v>
      </c>
      <c r="E48">
        <f>$D$13</f>
        <v>122000</v>
      </c>
      <c r="F48" s="20">
        <f>$K$7/$K$5</f>
        <v>0.14018691588785048</v>
      </c>
      <c r="G48" s="16">
        <f>0.2</f>
        <v>0.2</v>
      </c>
      <c r="H48" s="20">
        <f>(500/60000+G48)/0.63</f>
        <v>0.3306878306878307</v>
      </c>
      <c r="I48" s="17">
        <f>C48+F48*$H$11*$K$8*$G$11</f>
        <v>69736.448598130839</v>
      </c>
      <c r="J48" s="17">
        <f>D48+G48*$H$12*$K$8*$G$11</f>
        <v>90736</v>
      </c>
      <c r="K48" s="17">
        <f>E48+H48*$H$13*$K$8*$G$11</f>
        <v>144612.43386243386</v>
      </c>
    </row>
    <row r="49" spans="3:11" x14ac:dyDescent="0.25">
      <c r="C49">
        <f t="shared" ref="C49:C67" si="20">$D$11</f>
        <v>58000</v>
      </c>
      <c r="D49">
        <f t="shared" ref="D49:D67" si="21">$D$12</f>
        <v>82000</v>
      </c>
      <c r="E49">
        <f t="shared" ref="E49:E67" si="22">$D$13</f>
        <v>122000</v>
      </c>
      <c r="F49" s="20">
        <f t="shared" ref="F49:F67" si="23">$K$7/$K$5</f>
        <v>0.14018691588785048</v>
      </c>
      <c r="G49" s="16">
        <f>G48-0.01</f>
        <v>0.19</v>
      </c>
      <c r="H49" s="20">
        <f t="shared" ref="H49:H67" si="24">(500/60000+G49)/0.63</f>
        <v>0.31481481481481483</v>
      </c>
      <c r="I49" s="17">
        <f t="shared" ref="I49:I67" si="25">C49+F49*$H$11*$K$8*$G$11</f>
        <v>69736.448598130839</v>
      </c>
      <c r="J49" s="17">
        <f t="shared" ref="J49:J67" si="26">D49+G49*$H$12*$K$8*$G$11</f>
        <v>90299.199999999997</v>
      </c>
      <c r="K49" s="17">
        <f t="shared" ref="K49:K67" si="27">E49+H49*$H$13*$K$8*$G$11</f>
        <v>143527.03703703702</v>
      </c>
    </row>
    <row r="50" spans="3:11" x14ac:dyDescent="0.25">
      <c r="C50">
        <f t="shared" si="20"/>
        <v>58000</v>
      </c>
      <c r="D50">
        <f t="shared" si="21"/>
        <v>82000</v>
      </c>
      <c r="E50">
        <f t="shared" si="22"/>
        <v>122000</v>
      </c>
      <c r="F50" s="20">
        <f t="shared" si="23"/>
        <v>0.14018691588785048</v>
      </c>
      <c r="G50" s="16">
        <f t="shared" ref="G50:G67" si="28">G49-0.01</f>
        <v>0.18</v>
      </c>
      <c r="H50" s="20">
        <f t="shared" si="24"/>
        <v>0.29894179894179895</v>
      </c>
      <c r="I50" s="17">
        <f t="shared" si="25"/>
        <v>69736.448598130839</v>
      </c>
      <c r="J50" s="17">
        <f t="shared" si="26"/>
        <v>89862.399999999994</v>
      </c>
      <c r="K50" s="17">
        <f t="shared" si="27"/>
        <v>142441.64021164022</v>
      </c>
    </row>
    <row r="51" spans="3:11" x14ac:dyDescent="0.25">
      <c r="C51">
        <f t="shared" si="20"/>
        <v>58000</v>
      </c>
      <c r="D51">
        <f t="shared" si="21"/>
        <v>82000</v>
      </c>
      <c r="E51">
        <f t="shared" si="22"/>
        <v>122000</v>
      </c>
      <c r="F51" s="20">
        <f t="shared" si="23"/>
        <v>0.14018691588785048</v>
      </c>
      <c r="G51" s="16">
        <f t="shared" si="28"/>
        <v>0.16999999999999998</v>
      </c>
      <c r="H51" s="20">
        <f t="shared" si="24"/>
        <v>0.28306878306878303</v>
      </c>
      <c r="I51" s="17">
        <f t="shared" si="25"/>
        <v>69736.448598130839</v>
      </c>
      <c r="J51" s="17">
        <f t="shared" si="26"/>
        <v>89425.600000000006</v>
      </c>
      <c r="K51" s="17">
        <f t="shared" si="27"/>
        <v>141356.24338624338</v>
      </c>
    </row>
    <row r="52" spans="3:11" x14ac:dyDescent="0.25">
      <c r="C52">
        <f t="shared" si="20"/>
        <v>58000</v>
      </c>
      <c r="D52">
        <f t="shared" si="21"/>
        <v>82000</v>
      </c>
      <c r="E52">
        <f t="shared" si="22"/>
        <v>122000</v>
      </c>
      <c r="F52" s="20">
        <f t="shared" si="23"/>
        <v>0.14018691588785048</v>
      </c>
      <c r="G52" s="16">
        <f t="shared" si="28"/>
        <v>0.15999999999999998</v>
      </c>
      <c r="H52" s="20">
        <f t="shared" si="24"/>
        <v>0.26719576719576715</v>
      </c>
      <c r="I52" s="17">
        <f t="shared" si="25"/>
        <v>69736.448598130839</v>
      </c>
      <c r="J52" s="17">
        <f t="shared" si="26"/>
        <v>88988.800000000003</v>
      </c>
      <c r="K52" s="17">
        <f t="shared" si="27"/>
        <v>140270.84656084655</v>
      </c>
    </row>
    <row r="53" spans="3:11" x14ac:dyDescent="0.25">
      <c r="C53">
        <f t="shared" si="20"/>
        <v>58000</v>
      </c>
      <c r="D53">
        <f t="shared" si="21"/>
        <v>82000</v>
      </c>
      <c r="E53">
        <f t="shared" si="22"/>
        <v>122000</v>
      </c>
      <c r="F53" s="20">
        <f t="shared" si="23"/>
        <v>0.14018691588785048</v>
      </c>
      <c r="G53" s="16">
        <f t="shared" si="28"/>
        <v>0.14999999999999997</v>
      </c>
      <c r="H53" s="20">
        <f t="shared" si="24"/>
        <v>0.25132275132275128</v>
      </c>
      <c r="I53" s="17">
        <f t="shared" si="25"/>
        <v>69736.448598130839</v>
      </c>
      <c r="J53" s="17">
        <f t="shared" si="26"/>
        <v>88552</v>
      </c>
      <c r="K53" s="17">
        <f t="shared" si="27"/>
        <v>139185.44973544974</v>
      </c>
    </row>
    <row r="54" spans="3:11" x14ac:dyDescent="0.25">
      <c r="C54">
        <f t="shared" si="20"/>
        <v>58000</v>
      </c>
      <c r="D54">
        <f t="shared" si="21"/>
        <v>82000</v>
      </c>
      <c r="E54">
        <f t="shared" si="22"/>
        <v>122000</v>
      </c>
      <c r="F54" s="20">
        <f t="shared" si="23"/>
        <v>0.14018691588785048</v>
      </c>
      <c r="G54" s="16">
        <f t="shared" si="28"/>
        <v>0.13999999999999996</v>
      </c>
      <c r="H54" s="20">
        <f t="shared" si="24"/>
        <v>0.23544973544973538</v>
      </c>
      <c r="I54" s="17">
        <f t="shared" si="25"/>
        <v>69736.448598130839</v>
      </c>
      <c r="J54" s="17">
        <f t="shared" si="26"/>
        <v>88115.199999999997</v>
      </c>
      <c r="K54" s="17">
        <f t="shared" si="27"/>
        <v>138100.05291005291</v>
      </c>
    </row>
    <row r="55" spans="3:11" x14ac:dyDescent="0.25">
      <c r="C55">
        <f t="shared" si="20"/>
        <v>58000</v>
      </c>
      <c r="D55">
        <f t="shared" si="21"/>
        <v>82000</v>
      </c>
      <c r="E55">
        <f t="shared" si="22"/>
        <v>122000</v>
      </c>
      <c r="F55" s="20">
        <f t="shared" si="23"/>
        <v>0.14018691588785048</v>
      </c>
      <c r="G55" s="16">
        <f t="shared" si="28"/>
        <v>0.12999999999999995</v>
      </c>
      <c r="H55" s="20">
        <f t="shared" si="24"/>
        <v>0.21957671957671948</v>
      </c>
      <c r="I55" s="17">
        <f t="shared" si="25"/>
        <v>69736.448598130839</v>
      </c>
      <c r="J55" s="17">
        <f t="shared" si="26"/>
        <v>87678.399999999994</v>
      </c>
      <c r="K55" s="17">
        <f t="shared" si="27"/>
        <v>137014.65608465608</v>
      </c>
    </row>
    <row r="56" spans="3:11" x14ac:dyDescent="0.25">
      <c r="C56">
        <f t="shared" si="20"/>
        <v>58000</v>
      </c>
      <c r="D56">
        <f t="shared" si="21"/>
        <v>82000</v>
      </c>
      <c r="E56">
        <f t="shared" si="22"/>
        <v>122000</v>
      </c>
      <c r="F56" s="20">
        <f t="shared" si="23"/>
        <v>0.14018691588785048</v>
      </c>
      <c r="G56" s="16">
        <f t="shared" si="28"/>
        <v>0.11999999999999995</v>
      </c>
      <c r="H56" s="20">
        <f t="shared" si="24"/>
        <v>0.20370370370370364</v>
      </c>
      <c r="I56" s="17">
        <f t="shared" si="25"/>
        <v>69736.448598130839</v>
      </c>
      <c r="J56" s="17">
        <f t="shared" si="26"/>
        <v>87241.599999999991</v>
      </c>
      <c r="K56" s="17">
        <f t="shared" si="27"/>
        <v>135929.25925925924</v>
      </c>
    </row>
    <row r="57" spans="3:11" x14ac:dyDescent="0.25">
      <c r="C57">
        <f t="shared" si="20"/>
        <v>58000</v>
      </c>
      <c r="D57">
        <f t="shared" si="21"/>
        <v>82000</v>
      </c>
      <c r="E57">
        <f t="shared" si="22"/>
        <v>122000</v>
      </c>
      <c r="F57" s="20">
        <f t="shared" si="23"/>
        <v>0.14018691588785048</v>
      </c>
      <c r="G57" s="16">
        <f t="shared" si="28"/>
        <v>0.10999999999999996</v>
      </c>
      <c r="H57" s="20">
        <f t="shared" si="24"/>
        <v>0.18783068783068776</v>
      </c>
      <c r="I57" s="17">
        <f t="shared" si="25"/>
        <v>69736.448598130839</v>
      </c>
      <c r="J57" s="17">
        <f t="shared" si="26"/>
        <v>86804.800000000003</v>
      </c>
      <c r="K57" s="17">
        <f t="shared" si="27"/>
        <v>134843.86243386244</v>
      </c>
    </row>
    <row r="58" spans="3:11" x14ac:dyDescent="0.25">
      <c r="C58">
        <f t="shared" si="20"/>
        <v>58000</v>
      </c>
      <c r="D58">
        <f t="shared" si="21"/>
        <v>82000</v>
      </c>
      <c r="E58">
        <f t="shared" si="22"/>
        <v>122000</v>
      </c>
      <c r="F58" s="20">
        <f t="shared" si="23"/>
        <v>0.14018691588785048</v>
      </c>
      <c r="G58" s="16">
        <f t="shared" si="28"/>
        <v>9.9999999999999964E-2</v>
      </c>
      <c r="H58" s="20">
        <f t="shared" si="24"/>
        <v>0.17195767195767189</v>
      </c>
      <c r="I58" s="17">
        <f t="shared" si="25"/>
        <v>69736.448598130839</v>
      </c>
      <c r="J58" s="17">
        <f t="shared" si="26"/>
        <v>86368</v>
      </c>
      <c r="K58" s="17">
        <f t="shared" si="27"/>
        <v>133758.4656084656</v>
      </c>
    </row>
    <row r="59" spans="3:11" x14ac:dyDescent="0.25">
      <c r="C59">
        <f t="shared" si="20"/>
        <v>58000</v>
      </c>
      <c r="D59">
        <f t="shared" si="21"/>
        <v>82000</v>
      </c>
      <c r="E59">
        <f t="shared" si="22"/>
        <v>122000</v>
      </c>
      <c r="F59" s="20">
        <f t="shared" si="23"/>
        <v>0.14018691588785048</v>
      </c>
      <c r="G59" s="16">
        <f t="shared" si="28"/>
        <v>8.9999999999999969E-2</v>
      </c>
      <c r="H59" s="20">
        <f t="shared" si="24"/>
        <v>0.15608465608465602</v>
      </c>
      <c r="I59" s="17">
        <f t="shared" si="25"/>
        <v>69736.448598130839</v>
      </c>
      <c r="J59" s="17">
        <f t="shared" si="26"/>
        <v>85931.199999999997</v>
      </c>
      <c r="K59" s="17">
        <f t="shared" si="27"/>
        <v>132673.06878306877</v>
      </c>
    </row>
    <row r="60" spans="3:11" x14ac:dyDescent="0.25">
      <c r="C60">
        <f t="shared" si="20"/>
        <v>58000</v>
      </c>
      <c r="D60">
        <f t="shared" si="21"/>
        <v>82000</v>
      </c>
      <c r="E60">
        <f t="shared" si="22"/>
        <v>122000</v>
      </c>
      <c r="F60" s="20">
        <f t="shared" si="23"/>
        <v>0.14018691588785048</v>
      </c>
      <c r="G60" s="16">
        <f t="shared" si="28"/>
        <v>7.9999999999999974E-2</v>
      </c>
      <c r="H60" s="20">
        <f t="shared" si="24"/>
        <v>0.14021164021164018</v>
      </c>
      <c r="I60" s="17">
        <f t="shared" si="25"/>
        <v>69736.448598130839</v>
      </c>
      <c r="J60" s="17">
        <f t="shared" si="26"/>
        <v>85494.399999999994</v>
      </c>
      <c r="K60" s="17">
        <f t="shared" si="27"/>
        <v>131587.67195767196</v>
      </c>
    </row>
    <row r="61" spans="3:11" x14ac:dyDescent="0.25">
      <c r="C61">
        <f t="shared" si="20"/>
        <v>58000</v>
      </c>
      <c r="D61">
        <f t="shared" si="21"/>
        <v>82000</v>
      </c>
      <c r="E61">
        <f t="shared" si="22"/>
        <v>122000</v>
      </c>
      <c r="F61" s="20">
        <f t="shared" si="23"/>
        <v>0.14018691588785048</v>
      </c>
      <c r="G61" s="16">
        <f t="shared" si="28"/>
        <v>6.9999999999999979E-2</v>
      </c>
      <c r="H61" s="20">
        <f t="shared" si="24"/>
        <v>0.1243386243386243</v>
      </c>
      <c r="I61" s="17">
        <f t="shared" si="25"/>
        <v>69736.448598130839</v>
      </c>
      <c r="J61" s="17">
        <f t="shared" si="26"/>
        <v>85057.600000000006</v>
      </c>
      <c r="K61" s="17">
        <f t="shared" si="27"/>
        <v>130502.27513227513</v>
      </c>
    </row>
    <row r="62" spans="3:11" x14ac:dyDescent="0.25">
      <c r="C62">
        <f t="shared" si="20"/>
        <v>58000</v>
      </c>
      <c r="D62">
        <f t="shared" si="21"/>
        <v>82000</v>
      </c>
      <c r="E62">
        <f t="shared" si="22"/>
        <v>122000</v>
      </c>
      <c r="F62" s="20">
        <f t="shared" si="23"/>
        <v>0.14018691588785048</v>
      </c>
      <c r="G62" s="16">
        <f t="shared" si="28"/>
        <v>5.9999999999999977E-2</v>
      </c>
      <c r="H62" s="20">
        <f t="shared" si="24"/>
        <v>0.10846560846560843</v>
      </c>
      <c r="I62" s="17">
        <f t="shared" si="25"/>
        <v>69736.448598130839</v>
      </c>
      <c r="J62" s="17">
        <f t="shared" si="26"/>
        <v>84620.800000000003</v>
      </c>
      <c r="K62" s="17">
        <f t="shared" si="27"/>
        <v>129416.87830687831</v>
      </c>
    </row>
    <row r="63" spans="3:11" x14ac:dyDescent="0.25">
      <c r="C63">
        <f t="shared" si="20"/>
        <v>58000</v>
      </c>
      <c r="D63">
        <f t="shared" si="21"/>
        <v>82000</v>
      </c>
      <c r="E63">
        <f t="shared" si="22"/>
        <v>122000</v>
      </c>
      <c r="F63" s="20">
        <f t="shared" si="23"/>
        <v>0.14018691588785048</v>
      </c>
      <c r="G63" s="16">
        <f t="shared" si="28"/>
        <v>4.9999999999999975E-2</v>
      </c>
      <c r="H63" s="20">
        <f t="shared" si="24"/>
        <v>9.2592592592592546E-2</v>
      </c>
      <c r="I63" s="17">
        <f t="shared" si="25"/>
        <v>69736.448598130839</v>
      </c>
      <c r="J63" s="17">
        <f t="shared" si="26"/>
        <v>84184</v>
      </c>
      <c r="K63" s="17">
        <f t="shared" si="27"/>
        <v>128331.48148148147</v>
      </c>
    </row>
    <row r="64" spans="3:11" x14ac:dyDescent="0.25">
      <c r="C64">
        <f t="shared" si="20"/>
        <v>58000</v>
      </c>
      <c r="D64">
        <f t="shared" si="21"/>
        <v>82000</v>
      </c>
      <c r="E64">
        <f t="shared" si="22"/>
        <v>122000</v>
      </c>
      <c r="F64" s="20">
        <f t="shared" si="23"/>
        <v>0.14018691588785048</v>
      </c>
      <c r="G64" s="16">
        <f t="shared" si="28"/>
        <v>3.9999999999999973E-2</v>
      </c>
      <c r="H64" s="20">
        <f t="shared" si="24"/>
        <v>7.6719576719576674E-2</v>
      </c>
      <c r="I64" s="17">
        <f t="shared" si="25"/>
        <v>69736.448598130839</v>
      </c>
      <c r="J64" s="17">
        <f t="shared" si="26"/>
        <v>83747.199999999997</v>
      </c>
      <c r="K64" s="17">
        <f t="shared" si="27"/>
        <v>127246.08465608465</v>
      </c>
    </row>
    <row r="65" spans="3:11" x14ac:dyDescent="0.25">
      <c r="C65">
        <f t="shared" si="20"/>
        <v>58000</v>
      </c>
      <c r="D65">
        <f t="shared" si="21"/>
        <v>82000</v>
      </c>
      <c r="E65">
        <f t="shared" si="22"/>
        <v>122000</v>
      </c>
      <c r="F65" s="20">
        <f t="shared" si="23"/>
        <v>0.14018691588785048</v>
      </c>
      <c r="G65" s="16">
        <f t="shared" si="28"/>
        <v>2.9999999999999971E-2</v>
      </c>
      <c r="H65" s="20">
        <f t="shared" si="24"/>
        <v>6.0846560846560795E-2</v>
      </c>
      <c r="I65" s="17">
        <f t="shared" si="25"/>
        <v>69736.448598130839</v>
      </c>
      <c r="J65" s="17">
        <f t="shared" si="26"/>
        <v>83310.399999999994</v>
      </c>
      <c r="K65" s="17">
        <f t="shared" si="27"/>
        <v>126160.68783068782</v>
      </c>
    </row>
    <row r="66" spans="3:11" x14ac:dyDescent="0.25">
      <c r="C66">
        <f t="shared" si="20"/>
        <v>58000</v>
      </c>
      <c r="D66">
        <f t="shared" si="21"/>
        <v>82000</v>
      </c>
      <c r="E66">
        <f t="shared" si="22"/>
        <v>122000</v>
      </c>
      <c r="F66" s="20">
        <f t="shared" si="23"/>
        <v>0.14018691588785048</v>
      </c>
      <c r="G66" s="16">
        <f t="shared" si="28"/>
        <v>1.9999999999999969E-2</v>
      </c>
      <c r="H66" s="20">
        <f t="shared" si="24"/>
        <v>4.4973544973544922E-2</v>
      </c>
      <c r="I66" s="17">
        <f t="shared" si="25"/>
        <v>69736.448598130839</v>
      </c>
      <c r="J66" s="17">
        <f t="shared" si="26"/>
        <v>82873.600000000006</v>
      </c>
      <c r="K66" s="17">
        <f t="shared" si="27"/>
        <v>125075.291005291</v>
      </c>
    </row>
    <row r="67" spans="3:11" x14ac:dyDescent="0.25">
      <c r="C67">
        <f t="shared" si="20"/>
        <v>58000</v>
      </c>
      <c r="D67">
        <f t="shared" si="21"/>
        <v>82000</v>
      </c>
      <c r="E67">
        <f t="shared" si="22"/>
        <v>122000</v>
      </c>
      <c r="F67" s="20">
        <f t="shared" si="23"/>
        <v>0.14018691588785048</v>
      </c>
      <c r="G67" s="16">
        <f t="shared" si="28"/>
        <v>9.999999999999969E-3</v>
      </c>
      <c r="H67" s="20">
        <f t="shared" si="24"/>
        <v>2.910052910052905E-2</v>
      </c>
      <c r="I67" s="17">
        <f t="shared" si="25"/>
        <v>69736.448598130839</v>
      </c>
      <c r="J67" s="17">
        <f t="shared" si="26"/>
        <v>82436.800000000003</v>
      </c>
      <c r="K67" s="17">
        <f t="shared" si="27"/>
        <v>123989.89417989418</v>
      </c>
    </row>
    <row r="70" spans="3:11" x14ac:dyDescent="0.25">
      <c r="C70" t="s">
        <v>140</v>
      </c>
      <c r="F70" t="s">
        <v>138</v>
      </c>
      <c r="I70" t="s">
        <v>139</v>
      </c>
    </row>
    <row r="71" spans="3:11" x14ac:dyDescent="0.25">
      <c r="C71" s="16" t="s">
        <v>86</v>
      </c>
      <c r="D71" s="16" t="s">
        <v>117</v>
      </c>
      <c r="E71" s="16" t="s">
        <v>118</v>
      </c>
      <c r="F71" s="16" t="s">
        <v>129</v>
      </c>
      <c r="G71" s="16" t="s">
        <v>130</v>
      </c>
      <c r="H71" s="16" t="s">
        <v>131</v>
      </c>
      <c r="I71" s="16" t="s">
        <v>86</v>
      </c>
      <c r="J71" s="16" t="s">
        <v>117</v>
      </c>
      <c r="K71" s="16" t="s">
        <v>118</v>
      </c>
    </row>
    <row r="72" spans="3:11" x14ac:dyDescent="0.25">
      <c r="C72">
        <f>$D$17</f>
        <v>150000</v>
      </c>
      <c r="D72">
        <f>$D$18</f>
        <v>390000</v>
      </c>
      <c r="E72">
        <f>$D$19</f>
        <v>325000</v>
      </c>
      <c r="F72" s="20">
        <f>$K$7/$K$5</f>
        <v>0.14018691588785048</v>
      </c>
      <c r="G72" s="16">
        <f>0.2</f>
        <v>0.2</v>
      </c>
      <c r="H72" s="20">
        <f>(500/60000+G72)/0.63</f>
        <v>0.3306878306878307</v>
      </c>
      <c r="I72" s="17">
        <f t="shared" ref="I72:I91" si="29">C72+F72*$H$17*$K$8*$G$17</f>
        <v>878971.96261682257</v>
      </c>
      <c r="J72" s="17">
        <f t="shared" ref="J72:J91" si="30">D72+G72*$H$18*$K$8*$G$17</f>
        <v>931600</v>
      </c>
      <c r="K72" s="17">
        <f>E72+H72*$H$19*$K$8*$G$17</f>
        <v>1724470.8994708997</v>
      </c>
    </row>
    <row r="73" spans="3:11" x14ac:dyDescent="0.25">
      <c r="C73">
        <f t="shared" ref="C73:C91" si="31">$D$17</f>
        <v>150000</v>
      </c>
      <c r="D73">
        <f t="shared" ref="D73:D91" si="32">$D$18</f>
        <v>390000</v>
      </c>
      <c r="E73">
        <f t="shared" ref="E73:E91" si="33">$D$19</f>
        <v>325000</v>
      </c>
      <c r="F73" s="20">
        <f t="shared" ref="F73:F91" si="34">$K$7/$K$5</f>
        <v>0.14018691588785048</v>
      </c>
      <c r="G73" s="16">
        <f>G72-0.05</f>
        <v>0.15000000000000002</v>
      </c>
      <c r="H73" s="20">
        <f t="shared" ref="H73:H91" si="35">(500/60000+G73)/0.63</f>
        <v>0.25132275132275134</v>
      </c>
      <c r="I73" s="17">
        <f t="shared" si="29"/>
        <v>878971.96261682257</v>
      </c>
      <c r="J73" s="17">
        <f t="shared" si="30"/>
        <v>796200.00000000012</v>
      </c>
      <c r="K73" s="17">
        <f t="shared" ref="K73:K91" si="36">E73+H73*$H$19*$K$8*$G$17</f>
        <v>1388597.8835978836</v>
      </c>
    </row>
    <row r="74" spans="3:11" x14ac:dyDescent="0.25">
      <c r="C74">
        <f t="shared" si="31"/>
        <v>150000</v>
      </c>
      <c r="D74">
        <f t="shared" si="32"/>
        <v>390000</v>
      </c>
      <c r="E74">
        <f t="shared" si="33"/>
        <v>325000</v>
      </c>
      <c r="F74" s="20">
        <f t="shared" si="34"/>
        <v>0.14018691588785048</v>
      </c>
      <c r="G74" s="16">
        <f t="shared" ref="G74:G91" si="37">G73-0.05</f>
        <v>0.10000000000000002</v>
      </c>
      <c r="H74" s="20">
        <f t="shared" si="35"/>
        <v>0.17195767195767198</v>
      </c>
      <c r="I74" s="17">
        <f t="shared" si="29"/>
        <v>878971.96261682257</v>
      </c>
      <c r="J74" s="17">
        <f t="shared" si="30"/>
        <v>660800</v>
      </c>
      <c r="K74" s="17">
        <f t="shared" si="36"/>
        <v>1052724.8677248678</v>
      </c>
    </row>
    <row r="75" spans="3:11" x14ac:dyDescent="0.25">
      <c r="C75">
        <f t="shared" si="31"/>
        <v>150000</v>
      </c>
      <c r="D75">
        <f t="shared" si="32"/>
        <v>390000</v>
      </c>
      <c r="E75">
        <f t="shared" si="33"/>
        <v>325000</v>
      </c>
      <c r="F75" s="20">
        <f t="shared" si="34"/>
        <v>0.14018691588785048</v>
      </c>
      <c r="G75" s="16">
        <f t="shared" si="37"/>
        <v>5.0000000000000017E-2</v>
      </c>
      <c r="H75" s="20">
        <f t="shared" si="35"/>
        <v>9.2592592592592615E-2</v>
      </c>
      <c r="I75" s="17">
        <f t="shared" si="29"/>
        <v>878971.96261682257</v>
      </c>
      <c r="J75" s="17">
        <f t="shared" si="30"/>
        <v>525400</v>
      </c>
      <c r="K75" s="17">
        <f t="shared" si="36"/>
        <v>716851.85185185191</v>
      </c>
    </row>
    <row r="76" spans="3:11" x14ac:dyDescent="0.25">
      <c r="C76">
        <f t="shared" si="31"/>
        <v>150000</v>
      </c>
      <c r="D76">
        <f t="shared" si="32"/>
        <v>390000</v>
      </c>
      <c r="E76">
        <f t="shared" si="33"/>
        <v>325000</v>
      </c>
      <c r="F76" s="20">
        <f t="shared" si="34"/>
        <v>0.14018691588785048</v>
      </c>
      <c r="G76" s="16">
        <f t="shared" si="37"/>
        <v>0</v>
      </c>
      <c r="H76" s="20">
        <f t="shared" si="35"/>
        <v>1.3227513227513227E-2</v>
      </c>
      <c r="I76" s="17">
        <f t="shared" si="29"/>
        <v>878971.96261682257</v>
      </c>
      <c r="J76" s="17">
        <f t="shared" si="30"/>
        <v>390000</v>
      </c>
      <c r="K76" s="17">
        <f t="shared" si="36"/>
        <v>380978.835978836</v>
      </c>
    </row>
    <row r="77" spans="3:11" x14ac:dyDescent="0.25">
      <c r="C77">
        <f t="shared" si="31"/>
        <v>150000</v>
      </c>
      <c r="D77">
        <f t="shared" si="32"/>
        <v>390000</v>
      </c>
      <c r="E77">
        <f t="shared" si="33"/>
        <v>325000</v>
      </c>
      <c r="F77" s="20">
        <f t="shared" si="34"/>
        <v>0.14018691588785048</v>
      </c>
      <c r="G77" s="16">
        <f t="shared" si="37"/>
        <v>-0.05</v>
      </c>
      <c r="H77" s="20">
        <f t="shared" si="35"/>
        <v>-6.6137566137566148E-2</v>
      </c>
      <c r="I77" s="17">
        <f t="shared" si="29"/>
        <v>878971.96261682257</v>
      </c>
      <c r="J77" s="17">
        <f t="shared" si="30"/>
        <v>254600</v>
      </c>
      <c r="K77" s="17">
        <f t="shared" si="36"/>
        <v>45105.820105820021</v>
      </c>
    </row>
    <row r="78" spans="3:11" x14ac:dyDescent="0.25">
      <c r="C78">
        <f t="shared" si="31"/>
        <v>150000</v>
      </c>
      <c r="D78">
        <f t="shared" si="32"/>
        <v>390000</v>
      </c>
      <c r="E78">
        <f t="shared" si="33"/>
        <v>325000</v>
      </c>
      <c r="F78" s="20">
        <f t="shared" si="34"/>
        <v>0.14018691588785048</v>
      </c>
      <c r="G78" s="16">
        <f t="shared" si="37"/>
        <v>-0.1</v>
      </c>
      <c r="H78" s="20">
        <f t="shared" si="35"/>
        <v>-0.14550264550264552</v>
      </c>
      <c r="I78" s="17">
        <f t="shared" si="29"/>
        <v>878971.96261682257</v>
      </c>
      <c r="J78" s="17">
        <f t="shared" si="30"/>
        <v>119200</v>
      </c>
      <c r="K78" s="17">
        <f t="shared" si="36"/>
        <v>-290767.19576719578</v>
      </c>
    </row>
    <row r="79" spans="3:11" x14ac:dyDescent="0.25">
      <c r="C79">
        <f t="shared" si="31"/>
        <v>150000</v>
      </c>
      <c r="D79">
        <f t="shared" si="32"/>
        <v>390000</v>
      </c>
      <c r="E79">
        <f t="shared" si="33"/>
        <v>325000</v>
      </c>
      <c r="F79" s="20">
        <f t="shared" si="34"/>
        <v>0.14018691588785048</v>
      </c>
      <c r="G79" s="16">
        <f t="shared" si="37"/>
        <v>-0.15000000000000002</v>
      </c>
      <c r="H79" s="20">
        <f t="shared" si="35"/>
        <v>-0.22486772486772491</v>
      </c>
      <c r="I79" s="17">
        <f t="shared" si="29"/>
        <v>878971.96261682257</v>
      </c>
      <c r="J79" s="17">
        <f t="shared" si="30"/>
        <v>-16200.000000000116</v>
      </c>
      <c r="K79" s="17">
        <f t="shared" si="36"/>
        <v>-626640.21164021199</v>
      </c>
    </row>
    <row r="80" spans="3:11" x14ac:dyDescent="0.25">
      <c r="C80">
        <f t="shared" si="31"/>
        <v>150000</v>
      </c>
      <c r="D80">
        <f t="shared" si="32"/>
        <v>390000</v>
      </c>
      <c r="E80">
        <f t="shared" si="33"/>
        <v>325000</v>
      </c>
      <c r="F80" s="20">
        <f t="shared" si="34"/>
        <v>0.14018691588785048</v>
      </c>
      <c r="G80" s="16">
        <f t="shared" si="37"/>
        <v>-0.2</v>
      </c>
      <c r="H80" s="20">
        <f t="shared" si="35"/>
        <v>-0.30423280423280424</v>
      </c>
      <c r="I80" s="17">
        <f t="shared" si="29"/>
        <v>878971.96261682257</v>
      </c>
      <c r="J80" s="17">
        <f t="shared" si="30"/>
        <v>-151600</v>
      </c>
      <c r="K80" s="17">
        <f t="shared" si="36"/>
        <v>-962513.22751322761</v>
      </c>
    </row>
    <row r="81" spans="3:11" x14ac:dyDescent="0.25">
      <c r="C81">
        <f t="shared" si="31"/>
        <v>150000</v>
      </c>
      <c r="D81">
        <f t="shared" si="32"/>
        <v>390000</v>
      </c>
      <c r="E81">
        <f t="shared" si="33"/>
        <v>325000</v>
      </c>
      <c r="F81" s="20">
        <f t="shared" si="34"/>
        <v>0.14018691588785048</v>
      </c>
      <c r="G81" s="16">
        <f t="shared" si="37"/>
        <v>-0.25</v>
      </c>
      <c r="H81" s="20">
        <f t="shared" si="35"/>
        <v>-0.3835978835978836</v>
      </c>
      <c r="I81" s="17">
        <f t="shared" si="29"/>
        <v>878971.96261682257</v>
      </c>
      <c r="J81" s="17">
        <f t="shared" si="30"/>
        <v>-287000</v>
      </c>
      <c r="K81" s="17">
        <f t="shared" si="36"/>
        <v>-1298386.2433862437</v>
      </c>
    </row>
    <row r="82" spans="3:11" x14ac:dyDescent="0.25">
      <c r="C82">
        <f t="shared" si="31"/>
        <v>150000</v>
      </c>
      <c r="D82">
        <f t="shared" si="32"/>
        <v>390000</v>
      </c>
      <c r="E82">
        <f t="shared" si="33"/>
        <v>325000</v>
      </c>
      <c r="F82" s="20">
        <f t="shared" si="34"/>
        <v>0.14018691588785048</v>
      </c>
      <c r="G82" s="16">
        <f t="shared" si="37"/>
        <v>-0.3</v>
      </c>
      <c r="H82" s="20">
        <f t="shared" si="35"/>
        <v>-0.46296296296296291</v>
      </c>
      <c r="I82" s="17">
        <f t="shared" si="29"/>
        <v>878971.96261682257</v>
      </c>
      <c r="J82" s="17">
        <f t="shared" si="30"/>
        <v>-422400</v>
      </c>
      <c r="K82" s="17">
        <f t="shared" si="36"/>
        <v>-1634259.2592592591</v>
      </c>
    </row>
    <row r="83" spans="3:11" x14ac:dyDescent="0.25">
      <c r="C83">
        <f t="shared" si="31"/>
        <v>150000</v>
      </c>
      <c r="D83">
        <f t="shared" si="32"/>
        <v>390000</v>
      </c>
      <c r="E83">
        <f t="shared" si="33"/>
        <v>325000</v>
      </c>
      <c r="F83" s="20">
        <f t="shared" si="34"/>
        <v>0.14018691588785048</v>
      </c>
      <c r="G83" s="16">
        <f t="shared" si="37"/>
        <v>-0.35</v>
      </c>
      <c r="H83" s="20">
        <f t="shared" si="35"/>
        <v>-0.54232804232804221</v>
      </c>
      <c r="I83" s="17">
        <f t="shared" si="29"/>
        <v>878971.96261682257</v>
      </c>
      <c r="J83" s="17">
        <f t="shared" si="30"/>
        <v>-557800.00000000012</v>
      </c>
      <c r="K83" s="17">
        <f t="shared" si="36"/>
        <v>-1970132.2751322747</v>
      </c>
    </row>
    <row r="84" spans="3:11" x14ac:dyDescent="0.25">
      <c r="C84">
        <f t="shared" si="31"/>
        <v>150000</v>
      </c>
      <c r="D84">
        <f t="shared" si="32"/>
        <v>390000</v>
      </c>
      <c r="E84">
        <f t="shared" si="33"/>
        <v>325000</v>
      </c>
      <c r="F84" s="20">
        <f t="shared" si="34"/>
        <v>0.14018691588785048</v>
      </c>
      <c r="G84" s="16">
        <f t="shared" si="37"/>
        <v>-0.39999999999999997</v>
      </c>
      <c r="H84" s="20">
        <f t="shared" si="35"/>
        <v>-0.62169312169312163</v>
      </c>
      <c r="I84" s="17">
        <f t="shared" si="29"/>
        <v>878971.96261682257</v>
      </c>
      <c r="J84" s="17">
        <f t="shared" si="30"/>
        <v>-693200</v>
      </c>
      <c r="K84" s="17">
        <f t="shared" si="36"/>
        <v>-2306005.291005291</v>
      </c>
    </row>
    <row r="85" spans="3:11" x14ac:dyDescent="0.25">
      <c r="C85">
        <f t="shared" si="31"/>
        <v>150000</v>
      </c>
      <c r="D85">
        <f t="shared" si="32"/>
        <v>390000</v>
      </c>
      <c r="E85">
        <f t="shared" si="33"/>
        <v>325000</v>
      </c>
      <c r="F85" s="20">
        <f t="shared" si="34"/>
        <v>0.14018691588785048</v>
      </c>
      <c r="G85" s="16">
        <f t="shared" si="37"/>
        <v>-0.44999999999999996</v>
      </c>
      <c r="H85" s="20">
        <f t="shared" si="35"/>
        <v>-0.70105820105820094</v>
      </c>
      <c r="I85" s="17">
        <f t="shared" si="29"/>
        <v>878971.96261682257</v>
      </c>
      <c r="J85" s="17">
        <f t="shared" si="30"/>
        <v>-828600</v>
      </c>
      <c r="K85" s="17">
        <f t="shared" si="36"/>
        <v>-2641878.3068783064</v>
      </c>
    </row>
    <row r="86" spans="3:11" x14ac:dyDescent="0.25">
      <c r="C86">
        <f t="shared" si="31"/>
        <v>150000</v>
      </c>
      <c r="D86">
        <f t="shared" si="32"/>
        <v>390000</v>
      </c>
      <c r="E86">
        <f t="shared" si="33"/>
        <v>325000</v>
      </c>
      <c r="F86" s="20">
        <f t="shared" si="34"/>
        <v>0.14018691588785048</v>
      </c>
      <c r="G86" s="16">
        <f t="shared" si="37"/>
        <v>-0.49999999999999994</v>
      </c>
      <c r="H86" s="20">
        <f t="shared" si="35"/>
        <v>-0.78042328042328024</v>
      </c>
      <c r="I86" s="17">
        <f t="shared" si="29"/>
        <v>878971.96261682257</v>
      </c>
      <c r="J86" s="17">
        <f t="shared" si="30"/>
        <v>-963999.99999999977</v>
      </c>
      <c r="K86" s="17">
        <f t="shared" si="36"/>
        <v>-2977751.3227513218</v>
      </c>
    </row>
    <row r="87" spans="3:11" x14ac:dyDescent="0.25">
      <c r="C87">
        <f t="shared" si="31"/>
        <v>150000</v>
      </c>
      <c r="D87">
        <f t="shared" si="32"/>
        <v>390000</v>
      </c>
      <c r="E87">
        <f t="shared" si="33"/>
        <v>325000</v>
      </c>
      <c r="F87" s="20">
        <f t="shared" si="34"/>
        <v>0.14018691588785048</v>
      </c>
      <c r="G87" s="16">
        <f t="shared" si="37"/>
        <v>-0.54999999999999993</v>
      </c>
      <c r="H87" s="20">
        <f t="shared" si="35"/>
        <v>-0.85978835978835977</v>
      </c>
      <c r="I87" s="17">
        <f t="shared" si="29"/>
        <v>878971.96261682257</v>
      </c>
      <c r="J87" s="17">
        <f t="shared" si="30"/>
        <v>-1099399.9999999998</v>
      </c>
      <c r="K87" s="17">
        <f t="shared" si="36"/>
        <v>-3313624.3386243386</v>
      </c>
    </row>
    <row r="88" spans="3:11" x14ac:dyDescent="0.25">
      <c r="C88">
        <f t="shared" si="31"/>
        <v>150000</v>
      </c>
      <c r="D88">
        <f t="shared" si="32"/>
        <v>390000</v>
      </c>
      <c r="E88">
        <f t="shared" si="33"/>
        <v>325000</v>
      </c>
      <c r="F88" s="20">
        <f t="shared" si="34"/>
        <v>0.14018691588785048</v>
      </c>
      <c r="G88" s="16">
        <f t="shared" si="37"/>
        <v>-0.6</v>
      </c>
      <c r="H88" s="20">
        <f t="shared" si="35"/>
        <v>-0.93915343915343918</v>
      </c>
      <c r="I88" s="17">
        <f t="shared" si="29"/>
        <v>878971.96261682257</v>
      </c>
      <c r="J88" s="17">
        <f t="shared" si="30"/>
        <v>-1234800</v>
      </c>
      <c r="K88" s="17">
        <f t="shared" si="36"/>
        <v>-3649497.3544973545</v>
      </c>
    </row>
    <row r="89" spans="3:11" x14ac:dyDescent="0.25">
      <c r="C89">
        <f t="shared" si="31"/>
        <v>150000</v>
      </c>
      <c r="D89">
        <f t="shared" si="32"/>
        <v>390000</v>
      </c>
      <c r="E89">
        <f t="shared" si="33"/>
        <v>325000</v>
      </c>
      <c r="F89" s="20">
        <f t="shared" si="34"/>
        <v>0.14018691588785048</v>
      </c>
      <c r="G89" s="16">
        <f t="shared" si="37"/>
        <v>-0.65</v>
      </c>
      <c r="H89" s="20">
        <f t="shared" si="35"/>
        <v>-1.0185185185185186</v>
      </c>
      <c r="I89" s="17">
        <f t="shared" si="29"/>
        <v>878971.96261682257</v>
      </c>
      <c r="J89" s="17">
        <f t="shared" si="30"/>
        <v>-1370200.0000000002</v>
      </c>
      <c r="K89" s="17">
        <f t="shared" si="36"/>
        <v>-3985370.3703703713</v>
      </c>
    </row>
    <row r="90" spans="3:11" x14ac:dyDescent="0.25">
      <c r="C90">
        <f t="shared" si="31"/>
        <v>150000</v>
      </c>
      <c r="D90">
        <f t="shared" si="32"/>
        <v>390000</v>
      </c>
      <c r="E90">
        <f t="shared" si="33"/>
        <v>325000</v>
      </c>
      <c r="F90" s="20">
        <f t="shared" si="34"/>
        <v>0.14018691588785048</v>
      </c>
      <c r="G90" s="16">
        <f t="shared" si="37"/>
        <v>-0.70000000000000007</v>
      </c>
      <c r="H90" s="20">
        <f t="shared" si="35"/>
        <v>-1.0978835978835981</v>
      </c>
      <c r="I90" s="17">
        <f t="shared" si="29"/>
        <v>878971.96261682257</v>
      </c>
      <c r="J90" s="17">
        <f t="shared" si="30"/>
        <v>-1505600.0000000005</v>
      </c>
      <c r="K90" s="17">
        <f t="shared" si="36"/>
        <v>-4321243.3862433871</v>
      </c>
    </row>
    <row r="91" spans="3:11" x14ac:dyDescent="0.25">
      <c r="C91">
        <f t="shared" si="31"/>
        <v>150000</v>
      </c>
      <c r="D91">
        <f t="shared" si="32"/>
        <v>390000</v>
      </c>
      <c r="E91">
        <f t="shared" si="33"/>
        <v>325000</v>
      </c>
      <c r="F91" s="20">
        <f t="shared" si="34"/>
        <v>0.14018691588785048</v>
      </c>
      <c r="G91" s="16">
        <f t="shared" si="37"/>
        <v>-0.75000000000000011</v>
      </c>
      <c r="H91" s="20">
        <f t="shared" si="35"/>
        <v>-1.1772486772486774</v>
      </c>
      <c r="I91" s="17">
        <f t="shared" si="29"/>
        <v>878971.96261682257</v>
      </c>
      <c r="J91" s="17">
        <f t="shared" si="30"/>
        <v>-1641000.0000000005</v>
      </c>
      <c r="K91" s="17">
        <f t="shared" si="36"/>
        <v>-4657116.402116403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F7B3-D75D-42C3-94BC-79A56AA0048C}">
  <dimension ref="B2:O19"/>
  <sheetViews>
    <sheetView workbookViewId="0">
      <selection activeCell="J4" sqref="J4"/>
    </sheetView>
  </sheetViews>
  <sheetFormatPr defaultColWidth="10.85546875" defaultRowHeight="15" x14ac:dyDescent="0.25"/>
  <cols>
    <col min="3" max="3" width="14.28515625" bestFit="1" customWidth="1"/>
    <col min="4" max="5" width="13.28515625" bestFit="1" customWidth="1"/>
    <col min="6" max="6" width="12.28515625" bestFit="1" customWidth="1"/>
    <col min="7" max="7" width="18.140625" customWidth="1"/>
    <col min="8" max="8" width="13.28515625" bestFit="1" customWidth="1"/>
    <col min="9" max="9" width="14.28515625" bestFit="1" customWidth="1"/>
    <col min="10" max="10" width="14.28515625" customWidth="1"/>
    <col min="11" max="11" width="11.28515625" bestFit="1" customWidth="1"/>
    <col min="12" max="12" width="12.28515625" bestFit="1" customWidth="1"/>
  </cols>
  <sheetData>
    <row r="2" spans="2:15" x14ac:dyDescent="0.25">
      <c r="G2" t="s">
        <v>190</v>
      </c>
    </row>
    <row r="3" spans="2:15" x14ac:dyDescent="0.25">
      <c r="B3" s="53" t="s">
        <v>97</v>
      </c>
      <c r="C3" s="53" t="s">
        <v>191</v>
      </c>
      <c r="D3" s="53" t="s">
        <v>192</v>
      </c>
      <c r="E3" s="53" t="s">
        <v>193</v>
      </c>
      <c r="F3" s="53" t="s">
        <v>194</v>
      </c>
      <c r="G3" s="53" t="s">
        <v>195</v>
      </c>
      <c r="H3" s="53" t="s">
        <v>109</v>
      </c>
      <c r="I3" s="53" t="s">
        <v>196</v>
      </c>
      <c r="J3" s="53" t="s">
        <v>197</v>
      </c>
      <c r="K3" s="53" t="s">
        <v>198</v>
      </c>
      <c r="L3" s="53" t="s">
        <v>199</v>
      </c>
      <c r="N3" s="53" t="s">
        <v>200</v>
      </c>
      <c r="O3" s="53" t="s">
        <v>201</v>
      </c>
    </row>
    <row r="4" spans="2:15" x14ac:dyDescent="0.25">
      <c r="B4" s="53">
        <f>2004</f>
        <v>2004</v>
      </c>
      <c r="C4" s="17">
        <v>224041276.89434308</v>
      </c>
      <c r="D4" s="17">
        <v>30160966.603964519</v>
      </c>
      <c r="E4" s="17">
        <v>24583272.042783909</v>
      </c>
      <c r="F4" s="17">
        <v>3443364.6612271499</v>
      </c>
      <c r="G4" s="17">
        <v>12607151.859900096</v>
      </c>
      <c r="H4" s="17">
        <v>16439169.525921546</v>
      </c>
      <c r="I4" s="17">
        <v>193413616.56823164</v>
      </c>
      <c r="J4" s="17">
        <f>(I4)/(C4+H4)*100</f>
        <v>80.428001297960506</v>
      </c>
      <c r="K4" s="17">
        <v>702338.44329896907</v>
      </c>
      <c r="L4" s="17">
        <v>2430454.2447254541</v>
      </c>
      <c r="O4" s="48">
        <f>G4+K4</f>
        <v>13309490.303199066</v>
      </c>
    </row>
    <row r="5" spans="2:15" x14ac:dyDescent="0.25">
      <c r="B5" s="53">
        <f t="shared" ref="B5:B19" si="0">B4+1</f>
        <v>2005</v>
      </c>
      <c r="C5" s="17">
        <v>228323313.82229707</v>
      </c>
      <c r="D5" s="17">
        <v>30687141.5059794</v>
      </c>
      <c r="E5" s="17">
        <v>25131402.862764083</v>
      </c>
      <c r="F5" s="17">
        <v>3067630.7705660956</v>
      </c>
      <c r="G5" s="17">
        <v>12931633.096615449</v>
      </c>
      <c r="H5" s="17">
        <v>17336062.602344234</v>
      </c>
      <c r="I5" s="17">
        <v>197135427.71454424</v>
      </c>
      <c r="J5" s="17">
        <f t="shared" ref="J5:J19" si="1">(I5)/(C5+H5)*100</f>
        <v>80.247467279156623</v>
      </c>
      <c r="K5" s="17">
        <v>700640.03092783503</v>
      </c>
      <c r="L5" s="17">
        <v>2526213.6525439606</v>
      </c>
      <c r="O5" s="48">
        <f t="shared" ref="O5:O19" si="2">G5+K5</f>
        <v>13632273.127543284</v>
      </c>
    </row>
    <row r="6" spans="2:15" x14ac:dyDescent="0.25">
      <c r="B6" s="53">
        <f t="shared" si="0"/>
        <v>2006</v>
      </c>
      <c r="C6" s="17">
        <v>232578995.05958867</v>
      </c>
      <c r="D6" s="17">
        <v>31002117.36802097</v>
      </c>
      <c r="E6" s="17">
        <v>25719030.817157082</v>
      </c>
      <c r="F6" s="17">
        <v>3134249.3768306281</v>
      </c>
      <c r="G6" s="17">
        <v>13298009.031721285</v>
      </c>
      <c r="H6" s="17">
        <v>17876611.634672247</v>
      </c>
      <c r="I6" s="17">
        <v>201190397.88633278</v>
      </c>
      <c r="J6" s="17">
        <f t="shared" si="1"/>
        <v>80.329764041550192</v>
      </c>
      <c r="K6" s="17">
        <v>689539.08247422683</v>
      </c>
      <c r="L6" s="17">
        <v>2195767.5221431097</v>
      </c>
      <c r="O6" s="48">
        <f t="shared" si="2"/>
        <v>13987548.114195511</v>
      </c>
    </row>
    <row r="7" spans="2:15" x14ac:dyDescent="0.25">
      <c r="B7" s="53">
        <f t="shared" si="0"/>
        <v>2007</v>
      </c>
      <c r="C7" s="17">
        <v>240359796.30996001</v>
      </c>
      <c r="D7" s="17">
        <v>32718774.658536587</v>
      </c>
      <c r="E7" s="17">
        <v>26761026.765464541</v>
      </c>
      <c r="F7" s="17">
        <v>3239137.4750733138</v>
      </c>
      <c r="G7" s="17">
        <v>13880149.05599482</v>
      </c>
      <c r="H7" s="17">
        <v>19059677.079303704</v>
      </c>
      <c r="I7" s="17">
        <v>207117914.80691192</v>
      </c>
      <c r="J7" s="17">
        <f t="shared" si="1"/>
        <v>79.839000558037384</v>
      </c>
      <c r="K7" s="17">
        <v>702698.13402061851</v>
      </c>
      <c r="L7" s="17">
        <v>2716085.0078740157</v>
      </c>
      <c r="O7" s="48">
        <f t="shared" si="2"/>
        <v>14582847.190015439</v>
      </c>
    </row>
    <row r="8" spans="2:15" x14ac:dyDescent="0.25">
      <c r="B8" s="53">
        <f t="shared" si="0"/>
        <v>2008</v>
      </c>
      <c r="C8" s="17">
        <v>239222858.34520599</v>
      </c>
      <c r="D8" s="17">
        <v>32749683.829268292</v>
      </c>
      <c r="E8" s="17">
        <v>26849646.668165002</v>
      </c>
      <c r="F8" s="17">
        <v>3168097.7603686638</v>
      </c>
      <c r="G8" s="17">
        <v>14154900.810163889</v>
      </c>
      <c r="H8" s="17">
        <v>19667210.246205401</v>
      </c>
      <c r="I8" s="17">
        <v>205975164.75345421</v>
      </c>
      <c r="J8" s="17">
        <f t="shared" si="1"/>
        <v>79.560859894757428</v>
      </c>
      <c r="K8" s="17">
        <v>708674.18556701031</v>
      </c>
      <c r="L8" s="17">
        <v>2769189.8916997113</v>
      </c>
      <c r="O8" s="48">
        <f t="shared" si="2"/>
        <v>14863574.995730899</v>
      </c>
    </row>
    <row r="9" spans="2:15" x14ac:dyDescent="0.25">
      <c r="B9" s="53">
        <f t="shared" si="0"/>
        <v>2009</v>
      </c>
      <c r="C9" s="17">
        <v>242647071.99823305</v>
      </c>
      <c r="D9" s="17">
        <v>34167272.975609757</v>
      </c>
      <c r="E9" s="17">
        <v>28159907.200062238</v>
      </c>
      <c r="F9" s="17">
        <v>3159145.362798492</v>
      </c>
      <c r="G9" s="17">
        <v>14009399.759862859</v>
      </c>
      <c r="H9" s="17">
        <v>20472456.898163732</v>
      </c>
      <c r="I9" s="17">
        <v>207981452.53937981</v>
      </c>
      <c r="J9" s="17">
        <f t="shared" si="1"/>
        <v>79.044475874412356</v>
      </c>
      <c r="K9" s="17">
        <v>709905.23711340211</v>
      </c>
      <c r="L9" s="17">
        <v>2848215.4094488188</v>
      </c>
      <c r="O9" s="48">
        <f t="shared" si="2"/>
        <v>14719304.99697626</v>
      </c>
    </row>
    <row r="10" spans="2:15" x14ac:dyDescent="0.25">
      <c r="B10" s="53">
        <f t="shared" si="0"/>
        <v>2010</v>
      </c>
      <c r="C10" s="17">
        <v>246979717.965684</v>
      </c>
      <c r="D10" s="17">
        <v>34774687.23170732</v>
      </c>
      <c r="E10" s="17">
        <v>28667932.747138757</v>
      </c>
      <c r="F10" s="17">
        <v>3195847.6271470464</v>
      </c>
      <c r="G10" s="17">
        <v>14328926.225724271</v>
      </c>
      <c r="H10" s="17">
        <v>21104433.544420689</v>
      </c>
      <c r="I10" s="17">
        <v>211705073</v>
      </c>
      <c r="J10" s="17">
        <f t="shared" si="1"/>
        <v>78.969633903188935</v>
      </c>
      <c r="K10" s="17">
        <v>710160</v>
      </c>
      <c r="L10" s="17">
        <v>2910774</v>
      </c>
      <c r="O10" s="48">
        <f t="shared" si="2"/>
        <v>15039086.225724271</v>
      </c>
    </row>
    <row r="11" spans="2:15" x14ac:dyDescent="0.25">
      <c r="B11" s="53">
        <f t="shared" si="0"/>
        <v>2011</v>
      </c>
      <c r="C11" s="17">
        <v>250392058</v>
      </c>
      <c r="D11" s="17">
        <v>35159267</v>
      </c>
      <c r="E11" s="17">
        <v>28932577</v>
      </c>
      <c r="F11" s="17">
        <v>3257494</v>
      </c>
      <c r="G11" s="17">
        <v>14708762.186133714</v>
      </c>
      <c r="H11" s="17">
        <v>21681171.850793794</v>
      </c>
      <c r="I11" s="17">
        <v>214519310</v>
      </c>
      <c r="J11" s="17">
        <f t="shared" si="1"/>
        <v>78.846165834706852</v>
      </c>
      <c r="K11" s="17">
        <v>713481</v>
      </c>
      <c r="L11" s="17">
        <v>2969196</v>
      </c>
      <c r="O11" s="48">
        <f t="shared" si="2"/>
        <v>15422243.186133714</v>
      </c>
    </row>
    <row r="12" spans="2:15" x14ac:dyDescent="0.25">
      <c r="B12" s="53">
        <f t="shared" si="0"/>
        <v>2012</v>
      </c>
      <c r="C12" s="17">
        <v>252182912.3686454</v>
      </c>
      <c r="D12" s="17">
        <v>35257460.736842111</v>
      </c>
      <c r="E12" s="17">
        <v>28951092</v>
      </c>
      <c r="F12" s="17">
        <v>3337257</v>
      </c>
      <c r="G12" s="17">
        <v>15044395.391519086</v>
      </c>
      <c r="H12" s="17">
        <v>22090645.059030466</v>
      </c>
      <c r="I12" s="17">
        <v>216287410</v>
      </c>
      <c r="J12" s="17">
        <f t="shared" si="1"/>
        <v>78.858280042921592</v>
      </c>
      <c r="K12" s="17">
        <v>707687</v>
      </c>
      <c r="L12" s="17">
        <v>3010120.3941018768</v>
      </c>
      <c r="O12" s="48">
        <f t="shared" si="2"/>
        <v>15752082.391519086</v>
      </c>
    </row>
    <row r="13" spans="2:15" x14ac:dyDescent="0.25">
      <c r="B13" s="53">
        <f t="shared" si="0"/>
        <v>2013</v>
      </c>
      <c r="C13" s="17">
        <v>254157211</v>
      </c>
      <c r="D13" s="17">
        <v>35495943</v>
      </c>
      <c r="E13" s="17">
        <v>29053922</v>
      </c>
      <c r="F13" s="17">
        <v>3391051</v>
      </c>
      <c r="G13" s="17">
        <v>15531291.917187672</v>
      </c>
      <c r="H13" s="17">
        <v>22390033.776130043</v>
      </c>
      <c r="I13" s="17">
        <v>217950710</v>
      </c>
      <c r="J13" s="17">
        <f t="shared" si="1"/>
        <v>78.811383630466111</v>
      </c>
      <c r="K13" s="17">
        <v>710558</v>
      </c>
      <c r="L13" s="17">
        <v>3083733.0026809652</v>
      </c>
      <c r="O13" s="48">
        <f t="shared" si="2"/>
        <v>16241849.917187672</v>
      </c>
    </row>
    <row r="14" spans="2:15" x14ac:dyDescent="0.25">
      <c r="B14" s="53">
        <f t="shared" si="0"/>
        <v>2014</v>
      </c>
      <c r="C14" s="17">
        <v>257022714.7328338</v>
      </c>
      <c r="D14" s="17">
        <v>36015008.418959424</v>
      </c>
      <c r="E14" s="17">
        <v>29481440</v>
      </c>
      <c r="F14" s="17">
        <v>3461718</v>
      </c>
      <c r="G14" s="17">
        <v>15881865.797918985</v>
      </c>
      <c r="H14" s="17">
        <v>22774789.672240667</v>
      </c>
      <c r="I14" s="17">
        <v>220443211</v>
      </c>
      <c r="J14" s="17">
        <f t="shared" si="1"/>
        <v>78.786696639314982</v>
      </c>
      <c r="K14" s="17">
        <v>719092</v>
      </c>
      <c r="L14" s="17">
        <v>3110666.149973433</v>
      </c>
      <c r="O14" s="48">
        <f t="shared" si="2"/>
        <v>16600957.797918985</v>
      </c>
    </row>
    <row r="15" spans="2:15" x14ac:dyDescent="0.25">
      <c r="B15" s="53">
        <f t="shared" si="0"/>
        <v>2015</v>
      </c>
      <c r="C15" s="17">
        <v>260804969.70449615</v>
      </c>
      <c r="D15" s="17">
        <v>36485000.502899371</v>
      </c>
      <c r="E15" s="17">
        <v>29819314</v>
      </c>
      <c r="F15" s="17">
        <v>3560381</v>
      </c>
      <c r="G15" s="17">
        <v>16317150.195112949</v>
      </c>
      <c r="H15" s="17">
        <v>23356938.351975013</v>
      </c>
      <c r="I15" s="17">
        <v>223622291</v>
      </c>
      <c r="J15" s="17">
        <f t="shared" si="1"/>
        <v>78.695379169385291</v>
      </c>
      <c r="K15" s="17">
        <v>731753</v>
      </c>
      <c r="L15" s="17">
        <v>3146240.6797052911</v>
      </c>
      <c r="O15" s="48">
        <f t="shared" si="2"/>
        <v>17048903.195112951</v>
      </c>
    </row>
    <row r="16" spans="2:15" x14ac:dyDescent="0.25">
      <c r="B16" s="53">
        <f t="shared" si="0"/>
        <v>2016</v>
      </c>
      <c r="C16" s="17">
        <v>265634066.17800111</v>
      </c>
      <c r="D16" s="17">
        <v>37247154.620128796</v>
      </c>
      <c r="E16" s="17">
        <v>30311319</v>
      </c>
      <c r="F16" s="17">
        <v>3681486</v>
      </c>
      <c r="G16" s="17">
        <v>16834788.005420908</v>
      </c>
      <c r="H16" s="17">
        <v>24002240.268176924</v>
      </c>
      <c r="I16" s="17">
        <v>227667338</v>
      </c>
      <c r="J16" s="17">
        <f t="shared" si="1"/>
        <v>78.604557830979843</v>
      </c>
      <c r="K16" s="17">
        <v>741917</v>
      </c>
      <c r="L16" s="17">
        <v>3296584.0402454482</v>
      </c>
      <c r="O16" s="48">
        <f t="shared" si="2"/>
        <v>17576705.005420908</v>
      </c>
    </row>
    <row r="17" spans="2:15" x14ac:dyDescent="0.25">
      <c r="B17" s="53">
        <f t="shared" si="0"/>
        <v>2017</v>
      </c>
      <c r="C17" s="17">
        <v>269414191.9746567</v>
      </c>
      <c r="D17" s="17">
        <v>38041251.985643007</v>
      </c>
      <c r="E17" s="17">
        <v>30840281</v>
      </c>
      <c r="F17" s="17">
        <v>3797986</v>
      </c>
      <c r="G17" s="17">
        <v>18286806.826367363</v>
      </c>
      <c r="H17" s="17">
        <v>24597799.291497976</v>
      </c>
      <c r="I17" s="17">
        <v>232143476</v>
      </c>
      <c r="J17" s="17">
        <f t="shared" si="1"/>
        <v>78.957145591334708</v>
      </c>
      <c r="K17" s="17">
        <v>752384</v>
      </c>
      <c r="L17" s="17">
        <v>3455470.9983704975</v>
      </c>
      <c r="O17" s="48">
        <f t="shared" si="2"/>
        <v>19039190.826367363</v>
      </c>
    </row>
    <row r="18" spans="2:15" x14ac:dyDescent="0.25">
      <c r="B18" s="53">
        <f t="shared" si="0"/>
        <v>2018</v>
      </c>
      <c r="C18" s="17">
        <v>276390857.85094845</v>
      </c>
      <c r="D18" s="17">
        <v>38914299.88622611</v>
      </c>
      <c r="E18" s="17">
        <v>31403851</v>
      </c>
      <c r="F18" s="17">
        <v>3923684</v>
      </c>
      <c r="G18" s="17">
        <v>18694321.069063954</v>
      </c>
      <c r="H18" s="17">
        <v>25139177.933424313</v>
      </c>
      <c r="I18" s="17">
        <v>236808671</v>
      </c>
      <c r="J18" s="17">
        <f t="shared" si="1"/>
        <v>78.535682319005971</v>
      </c>
      <c r="K18" s="17">
        <v>761996</v>
      </c>
      <c r="L18" s="17">
        <v>3648816.63529167</v>
      </c>
      <c r="O18" s="48">
        <f t="shared" si="2"/>
        <v>19456317.069063954</v>
      </c>
    </row>
    <row r="19" spans="2:15" x14ac:dyDescent="0.25">
      <c r="B19" s="53">
        <f t="shared" si="0"/>
        <v>2019</v>
      </c>
      <c r="C19" s="17">
        <v>282161839.84267581</v>
      </c>
      <c r="D19" s="17">
        <v>39772565.495298199</v>
      </c>
      <c r="E19" s="17">
        <v>32025054</v>
      </c>
      <c r="F19" s="17">
        <v>4040983</v>
      </c>
      <c r="G19" s="17">
        <v>19244143.604932815</v>
      </c>
      <c r="H19" s="17">
        <v>25872008.549482174</v>
      </c>
      <c r="I19" s="17">
        <v>241713654</v>
      </c>
      <c r="J19" s="17">
        <f t="shared" si="1"/>
        <v>78.46983546180752</v>
      </c>
      <c r="K19" s="17">
        <v>775375</v>
      </c>
      <c r="L19" s="17">
        <v>3788163.4372629062</v>
      </c>
      <c r="O19" s="48">
        <f t="shared" si="2"/>
        <v>20019518.604932815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1035-DAC2-41FD-B609-5DAA856F1993}">
  <dimension ref="A1:I12"/>
  <sheetViews>
    <sheetView workbookViewId="0">
      <selection activeCell="I4" sqref="I4"/>
    </sheetView>
  </sheetViews>
  <sheetFormatPr defaultColWidth="10.85546875" defaultRowHeight="15" x14ac:dyDescent="0.25"/>
  <cols>
    <col min="2" max="2" width="13.28515625" customWidth="1"/>
  </cols>
  <sheetData>
    <row r="1" spans="1:9" x14ac:dyDescent="0.25">
      <c r="B1" s="47"/>
      <c r="C1" s="47"/>
      <c r="D1" s="47"/>
      <c r="E1" s="47"/>
      <c r="F1" s="47"/>
      <c r="G1" s="47"/>
      <c r="H1" s="47"/>
      <c r="I1" s="47"/>
    </row>
    <row r="2" spans="1:9" x14ac:dyDescent="0.25">
      <c r="B2" s="47"/>
      <c r="C2" s="47"/>
      <c r="D2" s="47"/>
      <c r="E2" s="47"/>
      <c r="F2" s="47"/>
      <c r="G2" s="47"/>
      <c r="H2" s="47"/>
      <c r="I2" s="47"/>
    </row>
    <row r="3" spans="1:9" x14ac:dyDescent="0.25">
      <c r="B3" t="s">
        <v>147</v>
      </c>
      <c r="C3" t="s">
        <v>148</v>
      </c>
      <c r="D3" t="s">
        <v>149</v>
      </c>
      <c r="E3" t="s">
        <v>150</v>
      </c>
      <c r="F3" t="s">
        <v>151</v>
      </c>
      <c r="G3" t="s">
        <v>152</v>
      </c>
      <c r="H3" t="s">
        <v>153</v>
      </c>
    </row>
    <row r="4" spans="1:9" x14ac:dyDescent="0.25">
      <c r="A4">
        <v>2013</v>
      </c>
      <c r="B4" s="47">
        <v>15531291.917187672</v>
      </c>
      <c r="C4" s="47">
        <v>710558</v>
      </c>
      <c r="D4" s="47">
        <f>B4+C4</f>
        <v>16241849.917187672</v>
      </c>
      <c r="E4" s="47">
        <v>714093.0978512225</v>
      </c>
      <c r="F4">
        <v>34239</v>
      </c>
      <c r="G4" s="47">
        <f>F4+E4</f>
        <v>748332.0978512225</v>
      </c>
      <c r="H4" s="14">
        <f>G4/D4*100</f>
        <v>4.6074314297124017</v>
      </c>
      <c r="I4" s="14">
        <f>AVERAGE(H4:H10)</f>
        <v>4.9798981147412871</v>
      </c>
    </row>
    <row r="5" spans="1:9" x14ac:dyDescent="0.25">
      <c r="A5">
        <f t="shared" ref="A5:A10" si="0">1+A4</f>
        <v>2014</v>
      </c>
      <c r="B5" s="47">
        <v>15881865.797918985</v>
      </c>
      <c r="C5" s="47">
        <v>719092</v>
      </c>
      <c r="D5" s="47">
        <f t="shared" ref="D5:D10" si="1">B5+C5</f>
        <v>16600957.797918985</v>
      </c>
      <c r="E5" s="47">
        <v>771436.28870943177</v>
      </c>
      <c r="F5">
        <v>37019</v>
      </c>
      <c r="G5" s="47">
        <f t="shared" ref="G5:G10" si="2">F5+E5</f>
        <v>808455.28870943177</v>
      </c>
      <c r="H5" s="14">
        <f t="shared" ref="H5:H10" si="3">G5/D5*100</f>
        <v>4.8699315940118577</v>
      </c>
    </row>
    <row r="6" spans="1:9" x14ac:dyDescent="0.25">
      <c r="A6">
        <f t="shared" si="0"/>
        <v>2015</v>
      </c>
      <c r="B6" s="47">
        <v>16317150.195112949</v>
      </c>
      <c r="C6" s="47">
        <v>731753</v>
      </c>
      <c r="D6" s="47">
        <f t="shared" si="1"/>
        <v>17048903.195112951</v>
      </c>
      <c r="E6" s="47">
        <v>810397.97392415872</v>
      </c>
      <c r="F6">
        <v>41061</v>
      </c>
      <c r="G6" s="47">
        <f t="shared" si="2"/>
        <v>851458.97392415872</v>
      </c>
      <c r="H6" s="14">
        <f t="shared" si="3"/>
        <v>4.9942155467703548</v>
      </c>
    </row>
    <row r="7" spans="1:9" x14ac:dyDescent="0.25">
      <c r="A7">
        <f t="shared" si="0"/>
        <v>2016</v>
      </c>
      <c r="B7" s="47">
        <v>16834788.005420908</v>
      </c>
      <c r="C7" s="47">
        <v>741917</v>
      </c>
      <c r="D7" s="47">
        <f t="shared" si="1"/>
        <v>17576705.005420908</v>
      </c>
      <c r="E7" s="47">
        <v>878968.97919589886</v>
      </c>
      <c r="F7">
        <v>41641</v>
      </c>
      <c r="G7" s="47">
        <f t="shared" si="2"/>
        <v>920609.97919589886</v>
      </c>
      <c r="H7" s="14">
        <f t="shared" si="3"/>
        <v>5.2376709907344381</v>
      </c>
    </row>
    <row r="8" spans="1:9" x14ac:dyDescent="0.25">
      <c r="A8">
        <f t="shared" si="0"/>
        <v>2017</v>
      </c>
      <c r="B8" s="47">
        <v>18286806.826367363</v>
      </c>
      <c r="C8" s="47">
        <v>752384</v>
      </c>
      <c r="D8" s="47">
        <f t="shared" si="1"/>
        <v>19039190.826367363</v>
      </c>
      <c r="E8" s="47">
        <v>925014.46334915108</v>
      </c>
      <c r="F8">
        <v>42861</v>
      </c>
      <c r="G8" s="47">
        <f t="shared" si="2"/>
        <v>967875.46334915108</v>
      </c>
      <c r="H8" s="14">
        <f t="shared" si="3"/>
        <v>5.08359558016899</v>
      </c>
    </row>
    <row r="9" spans="1:9" x14ac:dyDescent="0.25">
      <c r="A9">
        <f t="shared" si="0"/>
        <v>2018</v>
      </c>
      <c r="B9" s="47">
        <v>18694321.069063954</v>
      </c>
      <c r="C9" s="47">
        <v>761996</v>
      </c>
      <c r="D9" s="47">
        <f t="shared" si="1"/>
        <v>19456317.069063954</v>
      </c>
      <c r="E9" s="47">
        <v>948979.88943517965</v>
      </c>
      <c r="F9">
        <v>42863</v>
      </c>
      <c r="G9" s="47">
        <f t="shared" si="2"/>
        <v>991842.88943517965</v>
      </c>
      <c r="H9" s="14">
        <f t="shared" si="3"/>
        <v>5.0977936158957622</v>
      </c>
    </row>
    <row r="10" spans="1:9" x14ac:dyDescent="0.25">
      <c r="A10">
        <f t="shared" si="0"/>
        <v>2019</v>
      </c>
      <c r="B10" s="47">
        <v>19244143.604932815</v>
      </c>
      <c r="C10" s="47">
        <v>775375</v>
      </c>
      <c r="D10" s="47">
        <f t="shared" si="1"/>
        <v>20019518.604932815</v>
      </c>
      <c r="E10" s="47">
        <v>946993.70974892692</v>
      </c>
      <c r="F10" s="48">
        <v>47705.710212695521</v>
      </c>
      <c r="G10" s="47">
        <f t="shared" si="2"/>
        <v>994699.41996162245</v>
      </c>
      <c r="H10" s="14">
        <f t="shared" si="3"/>
        <v>4.9686480458952103</v>
      </c>
    </row>
    <row r="12" spans="1:9" x14ac:dyDescent="0.25">
      <c r="A12" s="49"/>
      <c r="B12" s="49" t="s">
        <v>154</v>
      </c>
      <c r="C12" s="49"/>
      <c r="D12" s="49"/>
      <c r="E12" s="49"/>
      <c r="F12" s="49"/>
      <c r="G12" s="49"/>
      <c r="H12" s="49"/>
      <c r="I12" s="4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08A8B-F165-4604-8DAE-51861B1BA697}">
  <dimension ref="A1:L42"/>
  <sheetViews>
    <sheetView workbookViewId="0">
      <selection activeCell="L41" sqref="L41"/>
    </sheetView>
  </sheetViews>
  <sheetFormatPr defaultColWidth="8.7109375" defaultRowHeight="15" x14ac:dyDescent="0.25"/>
  <cols>
    <col min="1" max="1" width="29.85546875" customWidth="1"/>
    <col min="2" max="11" width="10" customWidth="1"/>
  </cols>
  <sheetData>
    <row r="1" spans="1:11" x14ac:dyDescent="0.25">
      <c r="A1" s="1" t="s">
        <v>155</v>
      </c>
    </row>
    <row r="2" spans="1:11" x14ac:dyDescent="0.25">
      <c r="A2" s="1" t="s">
        <v>1</v>
      </c>
      <c r="B2" s="2" t="s">
        <v>156</v>
      </c>
    </row>
    <row r="3" spans="1:11" x14ac:dyDescent="0.25">
      <c r="A3" s="1" t="s">
        <v>3</v>
      </c>
      <c r="B3" s="1" t="s">
        <v>157</v>
      </c>
    </row>
    <row r="5" spans="1:11" x14ac:dyDescent="0.25">
      <c r="A5" s="2" t="s">
        <v>5</v>
      </c>
      <c r="B5" s="1" t="s">
        <v>6</v>
      </c>
    </row>
    <row r="6" spans="1:11" x14ac:dyDescent="0.25">
      <c r="A6" s="2" t="s">
        <v>158</v>
      </c>
      <c r="B6" s="1" t="s">
        <v>47</v>
      </c>
    </row>
    <row r="7" spans="1:11" x14ac:dyDescent="0.25">
      <c r="A7" s="2" t="s">
        <v>9</v>
      </c>
      <c r="B7" s="1" t="s">
        <v>159</v>
      </c>
    </row>
    <row r="9" spans="1:11" x14ac:dyDescent="0.25">
      <c r="A9" s="3" t="s">
        <v>13</v>
      </c>
      <c r="B9" s="4" t="s">
        <v>34</v>
      </c>
      <c r="C9" s="4" t="s">
        <v>35</v>
      </c>
      <c r="D9" s="4" t="s">
        <v>36</v>
      </c>
      <c r="E9" s="4" t="s">
        <v>37</v>
      </c>
      <c r="F9" s="4" t="s">
        <v>38</v>
      </c>
      <c r="G9" s="4" t="s">
        <v>39</v>
      </c>
      <c r="H9" s="4" t="s">
        <v>40</v>
      </c>
      <c r="I9" s="4" t="s">
        <v>41</v>
      </c>
      <c r="J9" s="4" t="s">
        <v>42</v>
      </c>
      <c r="K9" s="4" t="s">
        <v>43</v>
      </c>
    </row>
    <row r="10" spans="1:11" x14ac:dyDescent="0.25">
      <c r="A10" s="5" t="s">
        <v>160</v>
      </c>
      <c r="B10" s="6" t="s">
        <v>46</v>
      </c>
      <c r="C10" s="6" t="s">
        <v>46</v>
      </c>
      <c r="D10" s="6" t="s">
        <v>46</v>
      </c>
      <c r="E10" s="6" t="s">
        <v>46</v>
      </c>
      <c r="F10" s="6" t="s">
        <v>46</v>
      </c>
      <c r="G10" s="6" t="s">
        <v>46</v>
      </c>
      <c r="H10" s="6" t="s">
        <v>46</v>
      </c>
      <c r="I10" s="6" t="s">
        <v>46</v>
      </c>
      <c r="J10" s="6" t="s">
        <v>46</v>
      </c>
      <c r="K10" s="6" t="s">
        <v>46</v>
      </c>
    </row>
    <row r="11" spans="1:11" x14ac:dyDescent="0.25">
      <c r="A11" s="7" t="s">
        <v>161</v>
      </c>
      <c r="B11" s="50">
        <v>551661</v>
      </c>
      <c r="C11" s="50">
        <v>577382</v>
      </c>
      <c r="D11" s="50">
        <v>490711</v>
      </c>
      <c r="E11" s="50">
        <v>490369</v>
      </c>
      <c r="F11" s="50">
        <v>487711</v>
      </c>
      <c r="G11" s="50">
        <v>506284</v>
      </c>
      <c r="H11" s="50">
        <v>546142</v>
      </c>
      <c r="I11" s="50">
        <v>553692</v>
      </c>
      <c r="J11" s="50">
        <v>557487</v>
      </c>
      <c r="K11" s="50">
        <v>557970</v>
      </c>
    </row>
    <row r="12" spans="1:11" x14ac:dyDescent="0.25">
      <c r="A12" s="7" t="s">
        <v>162</v>
      </c>
      <c r="B12" s="51">
        <v>186092</v>
      </c>
      <c r="C12" s="51">
        <v>191430</v>
      </c>
      <c r="D12" s="51">
        <v>196614</v>
      </c>
      <c r="E12" s="51">
        <v>199963</v>
      </c>
      <c r="F12" s="51">
        <v>211033</v>
      </c>
      <c r="G12" s="51">
        <v>225868</v>
      </c>
      <c r="H12" s="51">
        <v>238877</v>
      </c>
      <c r="I12" s="51">
        <v>240121</v>
      </c>
      <c r="J12" s="51">
        <v>250489</v>
      </c>
      <c r="K12" s="51">
        <v>224564</v>
      </c>
    </row>
    <row r="13" spans="1:11" x14ac:dyDescent="0.25">
      <c r="A13" s="7" t="s">
        <v>163</v>
      </c>
      <c r="B13" s="50">
        <v>168372</v>
      </c>
      <c r="C13" s="50">
        <v>172787</v>
      </c>
      <c r="D13" s="50">
        <v>174311</v>
      </c>
      <c r="E13" s="50">
        <v>164627</v>
      </c>
      <c r="F13" s="50">
        <v>192923</v>
      </c>
      <c r="G13" s="50">
        <v>229731</v>
      </c>
      <c r="H13" s="50">
        <v>257854</v>
      </c>
      <c r="I13" s="50">
        <v>269622</v>
      </c>
      <c r="J13" s="50">
        <v>259525</v>
      </c>
      <c r="K13" s="50">
        <v>247567</v>
      </c>
    </row>
    <row r="14" spans="1:11" x14ac:dyDescent="0.25">
      <c r="A14" s="7" t="s">
        <v>164</v>
      </c>
      <c r="B14" s="52">
        <f>B13*C14/C13</f>
        <v>184752.3382920177</v>
      </c>
      <c r="C14" s="52">
        <f>C13*D14/D13</f>
        <v>189596.85860156597</v>
      </c>
      <c r="D14" s="52">
        <f>D13*E14/E13</f>
        <v>191269.12336979961</v>
      </c>
      <c r="E14" s="51">
        <v>180643</v>
      </c>
      <c r="F14" s="51">
        <v>188409</v>
      </c>
      <c r="G14" s="51">
        <v>206652</v>
      </c>
      <c r="H14" s="51">
        <v>222474</v>
      </c>
      <c r="I14" s="51">
        <v>221476</v>
      </c>
      <c r="J14" s="51">
        <v>218478</v>
      </c>
      <c r="K14" s="51">
        <v>225634</v>
      </c>
    </row>
    <row r="15" spans="1:11" x14ac:dyDescent="0.25">
      <c r="A15" s="7" t="s">
        <v>165</v>
      </c>
      <c r="B15" s="50">
        <v>2916260</v>
      </c>
      <c r="C15" s="50">
        <v>3173634</v>
      </c>
      <c r="D15" s="50">
        <v>3082504</v>
      </c>
      <c r="E15" s="50">
        <v>2952431</v>
      </c>
      <c r="F15" s="50">
        <v>3036773</v>
      </c>
      <c r="G15" s="50">
        <v>3206042</v>
      </c>
      <c r="H15" s="50">
        <v>3285904</v>
      </c>
      <c r="I15" s="50">
        <v>3441262</v>
      </c>
      <c r="J15" s="50">
        <v>3435778</v>
      </c>
      <c r="K15" s="50">
        <v>3607258</v>
      </c>
    </row>
    <row r="16" spans="1:11" x14ac:dyDescent="0.25">
      <c r="A16" s="7" t="s">
        <v>166</v>
      </c>
      <c r="B16" s="51">
        <v>10294</v>
      </c>
      <c r="C16" s="51">
        <v>17058</v>
      </c>
      <c r="D16" s="51">
        <v>19422</v>
      </c>
      <c r="E16" s="51">
        <v>19690</v>
      </c>
      <c r="F16" s="51">
        <v>21128</v>
      </c>
      <c r="G16" s="51">
        <v>21064</v>
      </c>
      <c r="H16" s="51">
        <v>23020</v>
      </c>
      <c r="I16" s="51">
        <v>25621</v>
      </c>
      <c r="J16" s="51">
        <v>26299</v>
      </c>
      <c r="K16" s="51">
        <v>27579</v>
      </c>
    </row>
    <row r="17" spans="1:11" x14ac:dyDescent="0.25">
      <c r="A17" s="7" t="s">
        <v>167</v>
      </c>
      <c r="B17" s="50">
        <v>105343</v>
      </c>
      <c r="C17" s="50">
        <v>104022</v>
      </c>
      <c r="D17" s="50">
        <v>77506</v>
      </c>
      <c r="E17" s="50">
        <v>74960</v>
      </c>
      <c r="F17" s="50">
        <v>84136</v>
      </c>
      <c r="G17" s="50">
        <v>129959</v>
      </c>
      <c r="H17" s="50">
        <v>149763</v>
      </c>
      <c r="I17" s="50">
        <v>133579</v>
      </c>
      <c r="J17" s="50">
        <v>128549</v>
      </c>
      <c r="K17" s="50">
        <v>126104</v>
      </c>
    </row>
    <row r="18" spans="1:11" x14ac:dyDescent="0.25">
      <c r="A18" s="7" t="s">
        <v>168</v>
      </c>
      <c r="B18" s="51">
        <v>153847</v>
      </c>
      <c r="C18" s="51">
        <v>107737</v>
      </c>
      <c r="D18" s="51">
        <v>64301</v>
      </c>
      <c r="E18" s="51">
        <v>64932</v>
      </c>
      <c r="F18" s="51">
        <v>84445</v>
      </c>
      <c r="G18" s="51">
        <v>96151</v>
      </c>
      <c r="H18" s="51">
        <v>106617</v>
      </c>
      <c r="I18" s="51">
        <v>130227</v>
      </c>
      <c r="J18" s="51">
        <v>163500</v>
      </c>
      <c r="K18" s="51">
        <v>185120</v>
      </c>
    </row>
    <row r="19" spans="1:11" x14ac:dyDescent="0.25">
      <c r="A19" s="7" t="s">
        <v>169</v>
      </c>
      <c r="B19" s="50">
        <v>1000010</v>
      </c>
      <c r="C19" s="50">
        <v>817688</v>
      </c>
      <c r="D19" s="50">
        <v>710638</v>
      </c>
      <c r="E19" s="50">
        <v>742305</v>
      </c>
      <c r="F19" s="50">
        <v>890125</v>
      </c>
      <c r="G19" s="50">
        <v>1094117</v>
      </c>
      <c r="H19" s="50">
        <v>1230104</v>
      </c>
      <c r="I19" s="50">
        <v>1342011</v>
      </c>
      <c r="J19" s="50">
        <v>1424758</v>
      </c>
      <c r="K19" s="50">
        <v>1375381</v>
      </c>
    </row>
    <row r="20" spans="1:11" x14ac:dyDescent="0.25">
      <c r="A20" s="7" t="s">
        <v>170</v>
      </c>
      <c r="B20" s="51">
        <v>2210186</v>
      </c>
      <c r="C20" s="51">
        <v>2160928</v>
      </c>
      <c r="D20" s="51">
        <v>1857013</v>
      </c>
      <c r="E20" s="51">
        <v>1756953</v>
      </c>
      <c r="F20" s="51">
        <v>1765855</v>
      </c>
      <c r="G20" s="51">
        <v>1886229</v>
      </c>
      <c r="H20" s="51">
        <v>1984471</v>
      </c>
      <c r="I20" s="51">
        <v>2079515</v>
      </c>
      <c r="J20" s="51">
        <v>2138600</v>
      </c>
      <c r="K20" s="51">
        <v>2172967</v>
      </c>
    </row>
    <row r="21" spans="1:11" x14ac:dyDescent="0.25">
      <c r="A21" s="7" t="s">
        <v>171</v>
      </c>
      <c r="B21" s="50">
        <v>46437</v>
      </c>
      <c r="C21" s="50">
        <v>48883</v>
      </c>
      <c r="D21" s="50">
        <v>40825</v>
      </c>
      <c r="E21" s="50">
        <v>46563</v>
      </c>
      <c r="F21" s="50">
        <v>68522</v>
      </c>
      <c r="G21" s="50">
        <v>74181</v>
      </c>
      <c r="H21" s="50">
        <v>96455</v>
      </c>
      <c r="I21" s="50">
        <v>93802</v>
      </c>
      <c r="J21" s="50">
        <v>140644</v>
      </c>
      <c r="K21" s="50">
        <v>149137</v>
      </c>
    </row>
    <row r="22" spans="1:11" x14ac:dyDescent="0.25">
      <c r="A22" s="7" t="s">
        <v>172</v>
      </c>
      <c r="B22" s="51">
        <v>1971830</v>
      </c>
      <c r="C22" s="51">
        <v>1764592</v>
      </c>
      <c r="D22" s="51">
        <v>1403043</v>
      </c>
      <c r="E22" s="51">
        <v>1311334</v>
      </c>
      <c r="F22" s="51">
        <v>1376185</v>
      </c>
      <c r="G22" s="51">
        <v>1593857</v>
      </c>
      <c r="H22" s="51">
        <v>1848841</v>
      </c>
      <c r="I22" s="51">
        <v>1993826</v>
      </c>
      <c r="J22" s="51">
        <v>1944312</v>
      </c>
      <c r="K22" s="51">
        <v>1948479</v>
      </c>
    </row>
    <row r="23" spans="1:11" x14ac:dyDescent="0.25">
      <c r="A23" s="7" t="s">
        <v>173</v>
      </c>
      <c r="B23" s="50">
        <v>32680</v>
      </c>
      <c r="C23" s="50">
        <v>27929</v>
      </c>
      <c r="D23" s="50">
        <v>20556</v>
      </c>
      <c r="E23" s="50">
        <v>14771</v>
      </c>
      <c r="F23" s="50">
        <v>17933</v>
      </c>
      <c r="G23" s="50">
        <v>21462</v>
      </c>
      <c r="H23" s="50">
        <v>27956</v>
      </c>
      <c r="I23" s="50">
        <v>36067</v>
      </c>
      <c r="J23" s="50">
        <v>40683</v>
      </c>
      <c r="K23" s="50">
        <v>37802</v>
      </c>
    </row>
    <row r="24" spans="1:11" x14ac:dyDescent="0.25">
      <c r="A24" s="7" t="s">
        <v>174</v>
      </c>
      <c r="B24" s="51">
        <v>26656</v>
      </c>
      <c r="C24" s="51">
        <v>43468</v>
      </c>
      <c r="D24" s="51">
        <v>50135</v>
      </c>
      <c r="E24" s="51">
        <v>55808</v>
      </c>
      <c r="F24" s="51">
        <v>13173</v>
      </c>
      <c r="G24" s="51">
        <v>14291</v>
      </c>
      <c r="H24" s="51">
        <v>16768</v>
      </c>
      <c r="I24" s="51">
        <v>17064</v>
      </c>
      <c r="J24" s="51">
        <v>17185</v>
      </c>
      <c r="K24" s="51">
        <v>18537</v>
      </c>
    </row>
    <row r="25" spans="1:11" x14ac:dyDescent="0.25">
      <c r="A25" s="7" t="s">
        <v>175</v>
      </c>
      <c r="B25" s="50">
        <v>161266</v>
      </c>
      <c r="C25" s="50">
        <v>132117</v>
      </c>
      <c r="D25" s="50">
        <v>153024</v>
      </c>
      <c r="E25" s="50">
        <v>155855</v>
      </c>
      <c r="F25" s="50">
        <v>136098</v>
      </c>
      <c r="G25" s="50">
        <v>131606</v>
      </c>
      <c r="H25" s="50">
        <v>139871</v>
      </c>
      <c r="I25" s="50">
        <v>161115</v>
      </c>
      <c r="J25" s="50">
        <v>169143</v>
      </c>
      <c r="K25" s="50">
        <v>163925</v>
      </c>
    </row>
    <row r="26" spans="1:11" x14ac:dyDescent="0.25">
      <c r="A26" s="7" t="s">
        <v>176</v>
      </c>
      <c r="B26" s="51">
        <v>49726</v>
      </c>
      <c r="C26" s="51">
        <v>49881</v>
      </c>
      <c r="D26" s="51">
        <v>50398</v>
      </c>
      <c r="E26" s="51">
        <v>46624</v>
      </c>
      <c r="F26" s="51">
        <v>49793</v>
      </c>
      <c r="G26" s="51">
        <v>46473</v>
      </c>
      <c r="H26" s="51">
        <v>50561</v>
      </c>
      <c r="I26" s="51">
        <v>52775</v>
      </c>
      <c r="J26" s="51">
        <v>52811</v>
      </c>
      <c r="K26" s="51">
        <v>54069</v>
      </c>
    </row>
    <row r="27" spans="1:11" x14ac:dyDescent="0.25">
      <c r="A27" s="7" t="s">
        <v>177</v>
      </c>
      <c r="B27" s="50">
        <v>61324</v>
      </c>
      <c r="C27" s="50">
        <v>76528</v>
      </c>
      <c r="D27" s="50">
        <v>106671</v>
      </c>
      <c r="E27" s="50">
        <v>126937</v>
      </c>
      <c r="F27" s="50">
        <v>164420</v>
      </c>
      <c r="G27" s="50">
        <v>199906</v>
      </c>
      <c r="H27" s="50">
        <v>238655</v>
      </c>
      <c r="I27" s="50">
        <v>271720</v>
      </c>
      <c r="J27" s="50">
        <v>295431</v>
      </c>
      <c r="K27" s="50">
        <v>314498</v>
      </c>
    </row>
    <row r="28" spans="1:11" x14ac:dyDescent="0.25">
      <c r="A28" s="7" t="s">
        <v>178</v>
      </c>
      <c r="B28" s="51">
        <v>13605</v>
      </c>
      <c r="C28" s="51">
        <v>15875</v>
      </c>
      <c r="D28" s="51">
        <v>13037</v>
      </c>
      <c r="E28" s="51">
        <v>13094</v>
      </c>
      <c r="F28" s="51">
        <v>15439</v>
      </c>
      <c r="G28" s="51">
        <v>16803</v>
      </c>
      <c r="H28" s="51">
        <v>16712</v>
      </c>
      <c r="I28" s="51">
        <v>18729</v>
      </c>
      <c r="J28" s="51">
        <v>19479</v>
      </c>
      <c r="K28" s="51">
        <v>18889</v>
      </c>
    </row>
    <row r="29" spans="1:11" x14ac:dyDescent="0.25">
      <c r="A29" s="7" t="s">
        <v>179</v>
      </c>
      <c r="B29" s="50">
        <v>482633</v>
      </c>
      <c r="C29" s="50">
        <v>555846</v>
      </c>
      <c r="D29" s="50">
        <v>502479</v>
      </c>
      <c r="E29" s="50">
        <v>416717</v>
      </c>
      <c r="F29" s="50">
        <v>387569</v>
      </c>
      <c r="G29" s="50">
        <v>448906</v>
      </c>
      <c r="H29" s="50">
        <v>382512</v>
      </c>
      <c r="I29" s="50">
        <v>414309</v>
      </c>
      <c r="J29" s="50">
        <v>443529</v>
      </c>
      <c r="K29" s="50">
        <v>445217</v>
      </c>
    </row>
    <row r="30" spans="1:11" x14ac:dyDescent="0.25">
      <c r="A30" s="7" t="s">
        <v>180</v>
      </c>
      <c r="B30" s="51">
        <v>328563</v>
      </c>
      <c r="C30" s="51">
        <v>356145</v>
      </c>
      <c r="D30" s="51">
        <v>336010</v>
      </c>
      <c r="E30" s="51">
        <v>319035</v>
      </c>
      <c r="F30" s="51">
        <v>303318</v>
      </c>
      <c r="G30" s="51">
        <v>308555</v>
      </c>
      <c r="H30" s="51">
        <v>329604</v>
      </c>
      <c r="I30" s="51">
        <v>353320</v>
      </c>
      <c r="J30" s="51">
        <v>341068</v>
      </c>
      <c r="K30" s="52">
        <f>J30*K29/J29</f>
        <v>342366.04992232751</v>
      </c>
    </row>
    <row r="31" spans="1:11" x14ac:dyDescent="0.25">
      <c r="A31" s="7" t="s">
        <v>181</v>
      </c>
      <c r="B31" s="50">
        <v>873098</v>
      </c>
      <c r="C31" s="50">
        <v>928457</v>
      </c>
      <c r="D31" s="50">
        <v>908906</v>
      </c>
      <c r="E31" s="50">
        <v>987809</v>
      </c>
      <c r="F31" s="50">
        <v>1047598</v>
      </c>
      <c r="G31" s="50">
        <v>1145506</v>
      </c>
      <c r="H31" s="50">
        <v>1361270</v>
      </c>
      <c r="I31" s="50">
        <v>1336787</v>
      </c>
      <c r="J31" s="52">
        <f>(I31+K31)/2</f>
        <v>1395146</v>
      </c>
      <c r="K31" s="50">
        <v>1453505</v>
      </c>
    </row>
    <row r="32" spans="1:11" x14ac:dyDescent="0.25">
      <c r="A32" s="7" t="s">
        <v>182</v>
      </c>
      <c r="B32" s="51">
        <v>248813</v>
      </c>
      <c r="C32" s="51">
        <v>177183</v>
      </c>
      <c r="D32" s="51">
        <v>110002</v>
      </c>
      <c r="E32" s="52">
        <f>(D32+F32)/2</f>
        <v>141322</v>
      </c>
      <c r="F32" s="51">
        <v>172642</v>
      </c>
      <c r="G32" s="51">
        <v>224892</v>
      </c>
      <c r="H32" s="51">
        <v>272603</v>
      </c>
      <c r="I32" s="51">
        <v>292209</v>
      </c>
      <c r="J32" s="51">
        <v>305710</v>
      </c>
      <c r="K32" s="51">
        <v>303798</v>
      </c>
    </row>
    <row r="33" spans="1:12" x14ac:dyDescent="0.25">
      <c r="A33" s="7" t="s">
        <v>183</v>
      </c>
      <c r="B33" s="50">
        <v>309952</v>
      </c>
      <c r="C33" s="50">
        <v>176555</v>
      </c>
      <c r="D33" s="50">
        <v>242025</v>
      </c>
      <c r="E33" s="50">
        <v>57700</v>
      </c>
      <c r="F33" s="50">
        <v>70175</v>
      </c>
      <c r="G33" s="50">
        <v>81175</v>
      </c>
      <c r="H33" s="50">
        <v>95181</v>
      </c>
      <c r="I33" s="50">
        <v>106873</v>
      </c>
      <c r="J33" s="50">
        <v>130921</v>
      </c>
      <c r="K33" s="50">
        <v>161564</v>
      </c>
    </row>
    <row r="34" spans="1:12" x14ac:dyDescent="0.25">
      <c r="A34" s="7" t="s">
        <v>184</v>
      </c>
      <c r="B34" s="51">
        <v>60777</v>
      </c>
      <c r="C34" s="51">
        <v>59813</v>
      </c>
      <c r="D34" s="51">
        <v>49700</v>
      </c>
      <c r="E34" s="51">
        <v>51968</v>
      </c>
      <c r="F34" s="51">
        <v>30209</v>
      </c>
      <c r="G34" s="51">
        <v>60668</v>
      </c>
      <c r="H34" s="51">
        <v>64899</v>
      </c>
      <c r="I34" s="51">
        <v>72477</v>
      </c>
      <c r="J34" s="51">
        <v>74518</v>
      </c>
      <c r="K34" s="51">
        <v>72710</v>
      </c>
    </row>
    <row r="35" spans="1:12" x14ac:dyDescent="0.25">
      <c r="A35" s="7" t="s">
        <v>185</v>
      </c>
      <c r="B35" s="50">
        <v>126663</v>
      </c>
      <c r="C35" s="50">
        <v>130772</v>
      </c>
      <c r="D35" s="50">
        <v>130818</v>
      </c>
      <c r="E35" s="50">
        <v>113876</v>
      </c>
      <c r="F35" s="50">
        <v>125813</v>
      </c>
      <c r="G35" s="50">
        <v>137751</v>
      </c>
      <c r="H35" s="50">
        <v>151870</v>
      </c>
      <c r="I35" s="50">
        <v>165652</v>
      </c>
      <c r="J35" s="50">
        <v>169898</v>
      </c>
      <c r="K35" s="50">
        <v>169583</v>
      </c>
    </row>
    <row r="36" spans="1:12" x14ac:dyDescent="0.25">
      <c r="A36" s="7" t="s">
        <v>186</v>
      </c>
      <c r="B36" s="51">
        <v>112418</v>
      </c>
      <c r="C36" s="51">
        <v>126651</v>
      </c>
      <c r="D36" s="51">
        <v>111664</v>
      </c>
      <c r="E36" s="51">
        <v>103450</v>
      </c>
      <c r="F36" s="51">
        <v>106235</v>
      </c>
      <c r="G36" s="51">
        <v>108819</v>
      </c>
      <c r="H36" s="51">
        <v>119000</v>
      </c>
      <c r="I36" s="51">
        <v>118587</v>
      </c>
      <c r="J36" s="51">
        <v>120505</v>
      </c>
      <c r="K36" s="51">
        <v>114202</v>
      </c>
    </row>
    <row r="37" spans="1:12" x14ac:dyDescent="0.25">
      <c r="A37" s="7" t="s">
        <v>187</v>
      </c>
      <c r="B37" s="50">
        <v>308718</v>
      </c>
      <c r="C37" s="50">
        <v>326615</v>
      </c>
      <c r="D37" s="50">
        <v>301316</v>
      </c>
      <c r="E37" s="50">
        <v>292162</v>
      </c>
      <c r="F37" s="50">
        <v>324030</v>
      </c>
      <c r="G37" s="50">
        <v>361908</v>
      </c>
      <c r="H37" s="50">
        <v>387997</v>
      </c>
      <c r="I37" s="50">
        <v>392717</v>
      </c>
      <c r="J37" s="50">
        <v>365513</v>
      </c>
      <c r="K37" s="50">
        <v>366946</v>
      </c>
    </row>
    <row r="39" spans="1:12" x14ac:dyDescent="0.25">
      <c r="A39" s="2" t="s">
        <v>188</v>
      </c>
      <c r="B39" s="47">
        <f>SUM(B11:B37)</f>
        <v>12701976.338292018</v>
      </c>
      <c r="C39" s="47">
        <f t="shared" ref="C39:K39" si="0">SUM(C11:C37)</f>
        <v>12509572.858601566</v>
      </c>
      <c r="D39" s="47">
        <f t="shared" si="0"/>
        <v>11394898.1233698</v>
      </c>
      <c r="E39" s="47">
        <f t="shared" si="0"/>
        <v>10901898</v>
      </c>
      <c r="F39" s="47">
        <f t="shared" si="0"/>
        <v>11371690</v>
      </c>
      <c r="G39" s="47">
        <f t="shared" si="0"/>
        <v>12578856</v>
      </c>
      <c r="H39" s="47">
        <f t="shared" si="0"/>
        <v>13645981</v>
      </c>
      <c r="I39" s="47">
        <f t="shared" si="0"/>
        <v>14335155</v>
      </c>
      <c r="J39" s="47">
        <f t="shared" si="0"/>
        <v>14629959</v>
      </c>
      <c r="K39" s="47">
        <f t="shared" si="0"/>
        <v>14885371.049922328</v>
      </c>
    </row>
    <row r="40" spans="1:12" x14ac:dyDescent="0.25">
      <c r="A40" s="2" t="s">
        <v>189</v>
      </c>
      <c r="B40" s="1">
        <v>211705073</v>
      </c>
      <c r="C40">
        <v>214519310</v>
      </c>
      <c r="D40">
        <v>216287410</v>
      </c>
      <c r="E40">
        <v>217950710</v>
      </c>
      <c r="F40">
        <v>220443211</v>
      </c>
      <c r="G40">
        <v>223622291</v>
      </c>
      <c r="H40">
        <v>227667338</v>
      </c>
      <c r="I40">
        <v>232143476</v>
      </c>
      <c r="J40">
        <v>236808671</v>
      </c>
      <c r="K40">
        <v>241713654</v>
      </c>
    </row>
    <row r="41" spans="1:12" x14ac:dyDescent="0.25">
      <c r="A41" s="2" t="s">
        <v>153</v>
      </c>
      <c r="B41" s="14">
        <f>B39/B40*100</f>
        <v>5.9998450477811733</v>
      </c>
      <c r="C41" s="14">
        <f t="shared" ref="C41:K41" si="1">C39/C40*100</f>
        <v>5.8314437327817092</v>
      </c>
      <c r="D41" s="14">
        <f t="shared" si="1"/>
        <v>5.2684056475454577</v>
      </c>
      <c r="E41" s="14">
        <f t="shared" si="1"/>
        <v>5.0020015993524414</v>
      </c>
      <c r="F41" s="14">
        <f t="shared" si="1"/>
        <v>5.1585575933204852</v>
      </c>
      <c r="G41" s="14">
        <f t="shared" si="1"/>
        <v>5.6250456713190546</v>
      </c>
      <c r="H41" s="14">
        <f t="shared" si="1"/>
        <v>5.993824639000259</v>
      </c>
      <c r="I41" s="14">
        <f t="shared" si="1"/>
        <v>6.1751272303685152</v>
      </c>
      <c r="J41" s="14">
        <f t="shared" si="1"/>
        <v>6.1779659242291851</v>
      </c>
      <c r="K41" s="14">
        <f t="shared" si="1"/>
        <v>6.1582665288417378</v>
      </c>
      <c r="L41" s="14">
        <f>AVERAGE(B41:K41)</f>
        <v>5.7390483614540013</v>
      </c>
    </row>
    <row r="42" spans="1:12" x14ac:dyDescent="0.25">
      <c r="A42" s="2"/>
      <c r="B4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0F61C-563F-4294-9560-1B799B0CAD67}">
  <dimension ref="B3:AE142"/>
  <sheetViews>
    <sheetView zoomScale="85" zoomScaleNormal="85" workbookViewId="0">
      <selection activeCell="D4" sqref="D4"/>
    </sheetView>
  </sheetViews>
  <sheetFormatPr defaultColWidth="8.7109375" defaultRowHeight="15" x14ac:dyDescent="0.25"/>
  <cols>
    <col min="1" max="17" width="10" customWidth="1"/>
  </cols>
  <sheetData>
    <row r="3" spans="2:31" x14ac:dyDescent="0.25">
      <c r="D3" s="63"/>
      <c r="E3" s="63"/>
      <c r="F3" s="63"/>
      <c r="G3" s="63"/>
      <c r="H3" s="63"/>
      <c r="I3" s="63" t="s">
        <v>226</v>
      </c>
      <c r="J3" s="63"/>
      <c r="K3" s="63"/>
      <c r="L3" s="56"/>
      <c r="M3" s="56"/>
      <c r="Q3">
        <v>1996</v>
      </c>
      <c r="R3" t="s">
        <v>217</v>
      </c>
      <c r="S3" t="s">
        <v>219</v>
      </c>
    </row>
    <row r="4" spans="2:31" x14ac:dyDescent="0.25">
      <c r="D4" s="54" t="s">
        <v>75</v>
      </c>
      <c r="E4" s="7" t="s">
        <v>221</v>
      </c>
      <c r="F4" s="7" t="s">
        <v>225</v>
      </c>
      <c r="G4" s="7" t="s">
        <v>222</v>
      </c>
      <c r="H4" s="7" t="s">
        <v>223</v>
      </c>
      <c r="I4" s="54" t="str">
        <f>D4</f>
        <v>ORIGINAL</v>
      </c>
      <c r="J4" s="7" t="str">
        <f>E4</f>
        <v>FORMULA</v>
      </c>
      <c r="K4" s="54" t="s">
        <v>202</v>
      </c>
      <c r="L4" s="54"/>
      <c r="M4" s="7" t="s">
        <v>227</v>
      </c>
      <c r="N4" s="7" t="s">
        <v>228</v>
      </c>
      <c r="O4" s="7" t="s">
        <v>229</v>
      </c>
      <c r="P4" s="60"/>
      <c r="Q4">
        <v>2016</v>
      </c>
      <c r="R4" t="s">
        <v>218</v>
      </c>
      <c r="S4" t="s">
        <v>220</v>
      </c>
    </row>
    <row r="5" spans="2:31" x14ac:dyDescent="0.25">
      <c r="B5">
        <v>1990</v>
      </c>
      <c r="C5">
        <v>1</v>
      </c>
      <c r="D5">
        <v>2.8387323823146691E-3</v>
      </c>
      <c r="E5">
        <f t="shared" ref="E5:E35" si="0">$D$5+($D$35-$D$5)*(1/(1+1*EXP(-1*(B5-$B$22))))^(1/1)</f>
        <v>2.8390093508528897E-3</v>
      </c>
      <c r="G5">
        <f t="shared" ref="G5:G35" si="1">(E5-D5)^2</f>
        <v>7.671157116403042E-14</v>
      </c>
      <c r="I5">
        <f>(D5-MIN(D$5:D$35))/(MAX(D$5:D$35)-MIN(D$5:D$35))</f>
        <v>0</v>
      </c>
      <c r="J5">
        <f>(E5-MIN(E$5:E$35))/(MAX(E$5:E$35)-MIN(E$5:E$35))</f>
        <v>0</v>
      </c>
      <c r="L5">
        <v>2019</v>
      </c>
      <c r="M5">
        <f>K14</f>
        <v>0</v>
      </c>
      <c r="O5" s="14">
        <f>M5</f>
        <v>0</v>
      </c>
      <c r="P5" s="14"/>
      <c r="Q5">
        <f>$D$14</f>
        <v>0.18804975518925077</v>
      </c>
      <c r="R5" t="s">
        <v>203</v>
      </c>
      <c r="S5" t="s">
        <v>210</v>
      </c>
      <c r="AB5">
        <v>2019</v>
      </c>
      <c r="AC5" s="14">
        <v>0</v>
      </c>
      <c r="AD5">
        <v>2019</v>
      </c>
      <c r="AE5">
        <v>0</v>
      </c>
    </row>
    <row r="6" spans="2:31" x14ac:dyDescent="0.25">
      <c r="B6">
        <f>B5+1</f>
        <v>1991</v>
      </c>
      <c r="C6">
        <f>C5+1</f>
        <v>2</v>
      </c>
      <c r="D6">
        <v>3.1062861898334166E-3</v>
      </c>
      <c r="E6">
        <f t="shared" si="0"/>
        <v>2.8394852608056124E-3</v>
      </c>
      <c r="G6">
        <f t="shared" si="1"/>
        <v>7.1182735730099362E-8</v>
      </c>
      <c r="I6">
        <f>(D6-MIN(D$5:D$35))/(MAX(D$5:D$35)-MIN(D$5:D$35))</f>
        <v>3.999212548873562E-5</v>
      </c>
      <c r="J6">
        <f t="shared" ref="J6:J35" si="2">(E6-MIN(E$5:E$35))/(MAX(E$5:E$35)-MIN(E$5:E$35))</f>
        <v>7.1135950316447988E-8</v>
      </c>
      <c r="L6">
        <f>L5+1</f>
        <v>2020</v>
      </c>
      <c r="N6">
        <f>(M5+M7)/2</f>
        <v>3.0983739831044227E-3</v>
      </c>
      <c r="O6" s="14">
        <f>IF(M6=0,N6,M6)</f>
        <v>3.0983739831044227E-3</v>
      </c>
      <c r="P6" s="14"/>
      <c r="Q6">
        <f>D30</f>
        <v>5.0774564812953304</v>
      </c>
      <c r="R6" t="s">
        <v>204</v>
      </c>
      <c r="S6" t="s">
        <v>211</v>
      </c>
      <c r="AB6">
        <v>2020</v>
      </c>
      <c r="AC6" s="14">
        <v>3.0983739831044227E-3</v>
      </c>
      <c r="AD6">
        <v>2020</v>
      </c>
      <c r="AE6">
        <v>0</v>
      </c>
    </row>
    <row r="7" spans="2:31" x14ac:dyDescent="0.25">
      <c r="B7">
        <f t="shared" ref="B7:C22" si="3">B6+1</f>
        <v>1992</v>
      </c>
      <c r="C7">
        <f t="shared" si="3"/>
        <v>3</v>
      </c>
      <c r="D7">
        <v>1.0440156857140991E-2</v>
      </c>
      <c r="E7">
        <f t="shared" si="0"/>
        <v>2.8407789178399056E-3</v>
      </c>
      <c r="G7">
        <f t="shared" si="1"/>
        <v>5.7750545064336013E-5</v>
      </c>
      <c r="I7">
        <f t="shared" ref="I7:I35" si="4">(D7-MIN(D$5:D$35))/(MAX(D$5:D$35)-MIN(D$5:D$35))</f>
        <v>1.1362092893000579E-3</v>
      </c>
      <c r="J7">
        <f t="shared" si="2"/>
        <v>2.6450346026556317E-7</v>
      </c>
      <c r="L7">
        <f t="shared" ref="L7:L36" si="5">L6+1</f>
        <v>2021</v>
      </c>
      <c r="M7">
        <f>K15</f>
        <v>6.1967479662088454E-3</v>
      </c>
      <c r="N7">
        <f t="shared" ref="N7:N36" si="6">(M6+M8)/2</f>
        <v>0</v>
      </c>
      <c r="O7" s="14">
        <f t="shared" ref="O7:O36" si="7">IF(M7=0,N7,M7)</f>
        <v>6.1967479662088454E-3</v>
      </c>
      <c r="P7" s="14"/>
      <c r="Q7">
        <v>0.97777688518137496</v>
      </c>
      <c r="R7" t="s">
        <v>205</v>
      </c>
      <c r="S7" t="s">
        <v>212</v>
      </c>
      <c r="AB7">
        <v>2021</v>
      </c>
      <c r="AC7" s="14">
        <v>6.1967479662088454E-3</v>
      </c>
      <c r="AD7">
        <v>2021</v>
      </c>
      <c r="AE7">
        <v>0</v>
      </c>
    </row>
    <row r="8" spans="2:31" x14ac:dyDescent="0.25">
      <c r="B8">
        <f t="shared" si="3"/>
        <v>1993</v>
      </c>
      <c r="C8">
        <f t="shared" si="3"/>
        <v>4</v>
      </c>
      <c r="D8">
        <v>2.442633518792512E-2</v>
      </c>
      <c r="E8">
        <f t="shared" si="0"/>
        <v>2.8442954397201264E-3</v>
      </c>
      <c r="G8">
        <f t="shared" si="1"/>
        <v>4.6578443969310035E-4</v>
      </c>
      <c r="I8">
        <f t="shared" si="4"/>
        <v>3.2267682093907808E-3</v>
      </c>
      <c r="J8">
        <f t="shared" si="2"/>
        <v>7.901304708521836E-7</v>
      </c>
      <c r="L8">
        <f t="shared" si="5"/>
        <v>2022</v>
      </c>
      <c r="N8">
        <f t="shared" si="6"/>
        <v>1.1578031797759826E-2</v>
      </c>
      <c r="O8" s="14">
        <f t="shared" si="7"/>
        <v>1.1578031797759826E-2</v>
      </c>
      <c r="P8" s="14"/>
      <c r="Q8">
        <v>1.7265933804186853</v>
      </c>
      <c r="R8" t="s">
        <v>206</v>
      </c>
      <c r="S8" t="s">
        <v>214</v>
      </c>
      <c r="AB8">
        <v>2022</v>
      </c>
      <c r="AC8" s="14">
        <v>1.1578031797759826E-2</v>
      </c>
      <c r="AD8">
        <v>2022</v>
      </c>
      <c r="AE8">
        <v>0</v>
      </c>
    </row>
    <row r="9" spans="2:31" x14ac:dyDescent="0.25">
      <c r="B9">
        <f t="shared" si="3"/>
        <v>1994</v>
      </c>
      <c r="C9">
        <f t="shared" si="3"/>
        <v>5</v>
      </c>
      <c r="D9">
        <v>6.4845724346720937E-2</v>
      </c>
      <c r="E9">
        <f t="shared" si="0"/>
        <v>2.8538543185643835E-3</v>
      </c>
      <c r="G9">
        <f t="shared" si="1"/>
        <v>3.8429919495878546E-3</v>
      </c>
      <c r="I9">
        <f t="shared" si="4"/>
        <v>9.2683839068363784E-3</v>
      </c>
      <c r="J9">
        <f t="shared" si="2"/>
        <v>2.218930029793409E-6</v>
      </c>
      <c r="L9">
        <f t="shared" si="5"/>
        <v>2023</v>
      </c>
      <c r="M9">
        <f>K16</f>
        <v>1.6959315629310807E-2</v>
      </c>
      <c r="N9">
        <f t="shared" si="6"/>
        <v>0</v>
      </c>
      <c r="O9" s="14">
        <f t="shared" si="7"/>
        <v>1.6959315629310807E-2</v>
      </c>
      <c r="P9" s="14"/>
      <c r="Q9">
        <v>0.73047073607819002</v>
      </c>
      <c r="R9" t="s">
        <v>207</v>
      </c>
      <c r="S9" t="s">
        <v>213</v>
      </c>
      <c r="AB9">
        <v>2023</v>
      </c>
      <c r="AC9" s="14">
        <v>1.6959315629310807E-2</v>
      </c>
      <c r="AD9">
        <v>2023</v>
      </c>
      <c r="AE9">
        <v>0</v>
      </c>
    </row>
    <row r="10" spans="2:31" x14ac:dyDescent="0.25">
      <c r="B10">
        <f t="shared" si="3"/>
        <v>1995</v>
      </c>
      <c r="C10">
        <f t="shared" si="3"/>
        <v>6</v>
      </c>
      <c r="D10">
        <v>9.9575891968822536E-2</v>
      </c>
      <c r="E10">
        <f t="shared" si="0"/>
        <v>2.8798379071846977E-3</v>
      </c>
      <c r="G10">
        <f t="shared" si="1"/>
        <v>9.3501268710911873E-3</v>
      </c>
      <c r="I10">
        <f t="shared" si="4"/>
        <v>1.4459613419391859E-2</v>
      </c>
      <c r="J10">
        <f t="shared" si="2"/>
        <v>6.1027892736753044E-6</v>
      </c>
      <c r="L10">
        <f t="shared" si="5"/>
        <v>2024</v>
      </c>
      <c r="N10">
        <f t="shared" si="6"/>
        <v>2.6252493169840033E-2</v>
      </c>
      <c r="O10" s="14">
        <f t="shared" si="7"/>
        <v>2.6252493169840033E-2</v>
      </c>
      <c r="P10" s="14"/>
      <c r="Q10">
        <v>2006.828755507506</v>
      </c>
      <c r="R10" t="s">
        <v>209</v>
      </c>
      <c r="S10" t="s">
        <v>215</v>
      </c>
      <c r="AB10">
        <v>2024</v>
      </c>
      <c r="AC10" s="14">
        <v>2.6252493169840033E-2</v>
      </c>
      <c r="AD10">
        <v>2024</v>
      </c>
      <c r="AE10">
        <v>0</v>
      </c>
    </row>
    <row r="11" spans="2:31" x14ac:dyDescent="0.25">
      <c r="B11">
        <f t="shared" si="3"/>
        <v>1996</v>
      </c>
      <c r="C11">
        <f t="shared" si="3"/>
        <v>7</v>
      </c>
      <c r="D11">
        <v>0.1417613100202022</v>
      </c>
      <c r="E11">
        <f t="shared" si="0"/>
        <v>2.950467603982077E-3</v>
      </c>
      <c r="G11">
        <f t="shared" si="1"/>
        <v>1.9268449972300698E-2</v>
      </c>
      <c r="I11">
        <f t="shared" si="4"/>
        <v>2.0765203117969911E-2</v>
      </c>
      <c r="J11">
        <f t="shared" si="2"/>
        <v>1.6660060819477672E-5</v>
      </c>
      <c r="L11">
        <f t="shared" si="5"/>
        <v>2025</v>
      </c>
      <c r="M11">
        <f>K17</f>
        <v>3.5545670710369258E-2</v>
      </c>
      <c r="N11">
        <f t="shared" si="6"/>
        <v>0</v>
      </c>
      <c r="O11" s="14">
        <f t="shared" si="7"/>
        <v>3.5545670710369258E-2</v>
      </c>
      <c r="P11" s="14"/>
      <c r="Q11">
        <v>1.3105054783645871</v>
      </c>
      <c r="R11" t="s">
        <v>208</v>
      </c>
      <c r="S11" t="s">
        <v>216</v>
      </c>
      <c r="AB11">
        <v>2025</v>
      </c>
      <c r="AC11" s="14">
        <v>3.5545670710369258E-2</v>
      </c>
      <c r="AD11">
        <v>2025</v>
      </c>
      <c r="AE11">
        <v>0</v>
      </c>
    </row>
    <row r="12" spans="2:31" x14ac:dyDescent="0.25">
      <c r="B12">
        <f t="shared" si="3"/>
        <v>1997</v>
      </c>
      <c r="C12">
        <f t="shared" si="3"/>
        <v>8</v>
      </c>
      <c r="D12">
        <v>0.1900387061462977</v>
      </c>
      <c r="E12">
        <f t="shared" si="0"/>
        <v>3.1424514889171352E-3</v>
      </c>
      <c r="G12">
        <f t="shared" si="1"/>
        <v>3.4930210004956441E-2</v>
      </c>
      <c r="I12">
        <f t="shared" si="4"/>
        <v>2.7981380312566275E-2</v>
      </c>
      <c r="J12">
        <f t="shared" si="2"/>
        <v>4.5356573725259931E-5</v>
      </c>
      <c r="L12">
        <f t="shared" si="5"/>
        <v>2026</v>
      </c>
      <c r="N12">
        <f t="shared" si="6"/>
        <v>5.1408749932996572E-2</v>
      </c>
      <c r="O12" s="14">
        <f t="shared" si="7"/>
        <v>5.1408749932996572E-2</v>
      </c>
      <c r="P12" s="14"/>
      <c r="AB12">
        <v>2026</v>
      </c>
      <c r="AC12" s="14">
        <v>5.1408749932996572E-2</v>
      </c>
      <c r="AD12">
        <v>2026</v>
      </c>
      <c r="AE12">
        <v>0</v>
      </c>
    </row>
    <row r="13" spans="2:31" x14ac:dyDescent="0.25">
      <c r="B13">
        <f t="shared" si="3"/>
        <v>1998</v>
      </c>
      <c r="C13">
        <f t="shared" si="3"/>
        <v>9</v>
      </c>
      <c r="D13">
        <v>0.17250395738108454</v>
      </c>
      <c r="E13">
        <f t="shared" si="0"/>
        <v>3.6642621142009319E-3</v>
      </c>
      <c r="G13">
        <f t="shared" si="1"/>
        <v>2.850684269781412E-2</v>
      </c>
      <c r="I13">
        <f t="shared" si="4"/>
        <v>2.5360405191579741E-2</v>
      </c>
      <c r="J13">
        <f t="shared" si="2"/>
        <v>1.2335346053633811E-4</v>
      </c>
      <c r="L13">
        <f t="shared" si="5"/>
        <v>2027</v>
      </c>
      <c r="M13">
        <f>K18</f>
        <v>6.7271829155623894E-2</v>
      </c>
      <c r="N13">
        <f t="shared" si="6"/>
        <v>0</v>
      </c>
      <c r="O13" s="14">
        <f t="shared" si="7"/>
        <v>6.7271829155623894E-2</v>
      </c>
      <c r="P13" s="14"/>
      <c r="AB13">
        <v>2027</v>
      </c>
      <c r="AC13" s="14">
        <v>6.7271829155623894E-2</v>
      </c>
      <c r="AD13">
        <v>2027</v>
      </c>
      <c r="AE13">
        <v>0</v>
      </c>
    </row>
    <row r="14" spans="2:31" x14ac:dyDescent="0.25">
      <c r="B14">
        <f t="shared" si="3"/>
        <v>1999</v>
      </c>
      <c r="C14">
        <f t="shared" si="3"/>
        <v>10</v>
      </c>
      <c r="D14">
        <v>0.18804975518925077</v>
      </c>
      <c r="E14">
        <f t="shared" si="0"/>
        <v>5.0822791596292953E-3</v>
      </c>
      <c r="F14">
        <f t="shared" ref="F14:F30" si="8">$Q$5+($Q$6-$Q$5)*(1/($Q$7+$Q$8*EXP(-$Q$9*(B14-$Q$10))))^(1/$Q$11)</f>
        <v>0.22902394126378733</v>
      </c>
      <c r="G14">
        <f t="shared" si="1"/>
        <v>3.3477097284650106E-2</v>
      </c>
      <c r="I14">
        <f t="shared" si="4"/>
        <v>2.7684085435685898E-2</v>
      </c>
      <c r="J14">
        <f t="shared" si="2"/>
        <v>3.3530950288082492E-4</v>
      </c>
      <c r="K14">
        <f t="shared" ref="K14:K30" si="9">(F14-MIN(F$5:F$35))/(MAX(F$5:F$35)-MIN(F$5:F$35))</f>
        <v>0</v>
      </c>
      <c r="L14">
        <f t="shared" si="5"/>
        <v>2028</v>
      </c>
      <c r="N14">
        <f t="shared" si="6"/>
        <v>9.3723242260003961E-2</v>
      </c>
      <c r="O14" s="14">
        <f t="shared" si="7"/>
        <v>9.3723242260003961E-2</v>
      </c>
      <c r="P14" s="14"/>
      <c r="AB14">
        <v>2028</v>
      </c>
      <c r="AC14" s="14">
        <v>9.3723242260003961E-2</v>
      </c>
      <c r="AD14">
        <v>2028</v>
      </c>
      <c r="AE14">
        <v>0</v>
      </c>
    </row>
    <row r="15" spans="2:31" x14ac:dyDescent="0.25">
      <c r="B15">
        <f t="shared" si="3"/>
        <v>2000</v>
      </c>
      <c r="C15">
        <f t="shared" si="3"/>
        <v>11</v>
      </c>
      <c r="D15">
        <v>0.29250209310668995</v>
      </c>
      <c r="E15">
        <f t="shared" si="0"/>
        <v>8.9338126744349898E-3</v>
      </c>
      <c r="F15">
        <f t="shared" si="8"/>
        <v>0.25948673965581315</v>
      </c>
      <c r="G15">
        <f t="shared" si="1"/>
        <v>8.0410969667305987E-2</v>
      </c>
      <c r="H15">
        <f t="shared" ref="H15:H30" si="10">(F15-D15)^2</f>
        <v>1.0900135634863231E-3</v>
      </c>
      <c r="I15">
        <f t="shared" si="4"/>
        <v>4.3296911297987802E-2</v>
      </c>
      <c r="J15">
        <f t="shared" si="2"/>
        <v>9.110118919228099E-4</v>
      </c>
      <c r="K15">
        <f t="shared" si="9"/>
        <v>6.1967479662088454E-3</v>
      </c>
      <c r="L15">
        <f t="shared" si="5"/>
        <v>2029</v>
      </c>
      <c r="M15">
        <f>K19</f>
        <v>0.12017465536438403</v>
      </c>
      <c r="N15">
        <f t="shared" si="6"/>
        <v>0</v>
      </c>
      <c r="O15" s="14">
        <f t="shared" si="7"/>
        <v>0.12017465536438403</v>
      </c>
      <c r="P15" s="14"/>
      <c r="AB15">
        <v>2029</v>
      </c>
      <c r="AC15" s="14">
        <v>0.12017465536438403</v>
      </c>
      <c r="AD15">
        <v>2029</v>
      </c>
      <c r="AE15">
        <v>0</v>
      </c>
    </row>
    <row r="16" spans="2:31" x14ac:dyDescent="0.25">
      <c r="B16">
        <f t="shared" si="3"/>
        <v>2001</v>
      </c>
      <c r="C16">
        <f t="shared" si="3"/>
        <v>12</v>
      </c>
      <c r="D16">
        <v>0.33838956484565963</v>
      </c>
      <c r="E16">
        <f t="shared" si="0"/>
        <v>1.9380982438591279E-2</v>
      </c>
      <c r="F16">
        <f t="shared" si="8"/>
        <v>0.31239480218948984</v>
      </c>
      <c r="G16">
        <f t="shared" si="1"/>
        <v>0.10176647564936733</v>
      </c>
      <c r="H16">
        <f t="shared" si="10"/>
        <v>6.7572768555059946E-4</v>
      </c>
      <c r="I16">
        <f t="shared" si="4"/>
        <v>5.0155858831437111E-2</v>
      </c>
      <c r="J16">
        <f t="shared" si="2"/>
        <v>2.4725874484723656E-3</v>
      </c>
      <c r="K16">
        <f t="shared" si="9"/>
        <v>1.6959315629310807E-2</v>
      </c>
      <c r="L16">
        <f t="shared" si="5"/>
        <v>2030</v>
      </c>
      <c r="N16">
        <f t="shared" si="6"/>
        <v>0.16231827093832263</v>
      </c>
      <c r="O16" s="14">
        <f t="shared" si="7"/>
        <v>0.16231827093832263</v>
      </c>
      <c r="P16" s="14"/>
      <c r="AB16">
        <v>2030</v>
      </c>
      <c r="AC16" s="14">
        <v>0.16231827093832263</v>
      </c>
      <c r="AD16">
        <v>2030</v>
      </c>
      <c r="AE16" s="14">
        <v>0</v>
      </c>
    </row>
    <row r="17" spans="2:31" x14ac:dyDescent="0.25">
      <c r="B17">
        <f t="shared" si="3"/>
        <v>2002</v>
      </c>
      <c r="C17">
        <f t="shared" si="3"/>
        <v>13</v>
      </c>
      <c r="D17">
        <v>0.44292226797185663</v>
      </c>
      <c r="E17">
        <f t="shared" si="0"/>
        <v>4.7614990859803141E-2</v>
      </c>
      <c r="F17">
        <f t="shared" si="8"/>
        <v>0.40376408019859422</v>
      </c>
      <c r="G17">
        <f t="shared" si="1"/>
        <v>0.15626784333774585</v>
      </c>
      <c r="H17">
        <f t="shared" si="10"/>
        <v>1.5333636696860777E-3</v>
      </c>
      <c r="I17">
        <f t="shared" si="4"/>
        <v>6.5780697139173366E-2</v>
      </c>
      <c r="J17">
        <f t="shared" si="2"/>
        <v>6.6928249299429655E-3</v>
      </c>
      <c r="K17">
        <f t="shared" si="9"/>
        <v>3.5545670710369258E-2</v>
      </c>
      <c r="L17">
        <f t="shared" si="5"/>
        <v>2031</v>
      </c>
      <c r="M17">
        <f>K20</f>
        <v>0.20446188651226122</v>
      </c>
      <c r="N17">
        <f t="shared" si="6"/>
        <v>0</v>
      </c>
      <c r="O17" s="14">
        <f t="shared" si="7"/>
        <v>0.20446188651226122</v>
      </c>
      <c r="P17" s="14"/>
      <c r="AB17">
        <v>2031</v>
      </c>
      <c r="AC17" s="14">
        <v>0.20446188651226122</v>
      </c>
      <c r="AD17">
        <v>2031</v>
      </c>
      <c r="AE17" s="14">
        <v>3.0983739831044227E-3</v>
      </c>
    </row>
    <row r="18" spans="2:31" x14ac:dyDescent="0.25">
      <c r="B18">
        <f t="shared" si="3"/>
        <v>2003</v>
      </c>
      <c r="C18">
        <f t="shared" si="3"/>
        <v>14</v>
      </c>
      <c r="D18">
        <v>0.54334542816902598</v>
      </c>
      <c r="E18">
        <f t="shared" si="0"/>
        <v>0.12316939496599436</v>
      </c>
      <c r="F18">
        <f t="shared" si="8"/>
        <v>0.55972775239269534</v>
      </c>
      <c r="G18">
        <f t="shared" si="1"/>
        <v>0.17654789887823516</v>
      </c>
      <c r="H18">
        <f t="shared" si="10"/>
        <v>2.6838054696942405E-4</v>
      </c>
      <c r="I18">
        <f t="shared" si="4"/>
        <v>8.0791268888555728E-2</v>
      </c>
      <c r="J18">
        <f t="shared" si="2"/>
        <v>1.798620996200135E-2</v>
      </c>
      <c r="K18">
        <f t="shared" si="9"/>
        <v>6.7271829155623894E-2</v>
      </c>
      <c r="L18">
        <f t="shared" si="5"/>
        <v>2032</v>
      </c>
      <c r="N18">
        <f t="shared" si="6"/>
        <v>0.26623180983745631</v>
      </c>
      <c r="O18" s="14">
        <f t="shared" si="7"/>
        <v>0.26623180983745631</v>
      </c>
      <c r="P18" s="14"/>
      <c r="AB18">
        <v>2032</v>
      </c>
      <c r="AC18" s="14">
        <v>0.26623180983745631</v>
      </c>
      <c r="AD18">
        <v>2032</v>
      </c>
      <c r="AE18" s="14">
        <v>6.1967479662088454E-3</v>
      </c>
    </row>
    <row r="19" spans="2:31" x14ac:dyDescent="0.25">
      <c r="B19">
        <f t="shared" si="3"/>
        <v>2004</v>
      </c>
      <c r="C19">
        <f t="shared" si="3"/>
        <v>15</v>
      </c>
      <c r="D19">
        <v>0.72282734166985985</v>
      </c>
      <c r="E19">
        <f t="shared" si="0"/>
        <v>0.32012551793046634</v>
      </c>
      <c r="F19">
        <f t="shared" si="8"/>
        <v>0.81979450643107077</v>
      </c>
      <c r="G19">
        <f t="shared" si="1"/>
        <v>0.16216875884303356</v>
      </c>
      <c r="H19">
        <f t="shared" si="10"/>
        <v>9.4026310418278258E-3</v>
      </c>
      <c r="I19">
        <f t="shared" si="4"/>
        <v>0.10761900598656279</v>
      </c>
      <c r="J19">
        <f t="shared" si="2"/>
        <v>4.7425940939602305E-2</v>
      </c>
      <c r="K19">
        <f t="shared" si="9"/>
        <v>0.12017465536438403</v>
      </c>
      <c r="L19">
        <f t="shared" si="5"/>
        <v>2033</v>
      </c>
      <c r="M19">
        <f>K21</f>
        <v>0.32800173316265141</v>
      </c>
      <c r="N19">
        <f t="shared" si="6"/>
        <v>0</v>
      </c>
      <c r="O19" s="14">
        <f t="shared" si="7"/>
        <v>0.32800173316265141</v>
      </c>
      <c r="P19" s="14"/>
      <c r="AB19">
        <v>2033</v>
      </c>
      <c r="AC19" s="14">
        <v>0.32800173316265141</v>
      </c>
      <c r="AD19">
        <v>2033</v>
      </c>
      <c r="AE19" s="14">
        <v>1.1578031797759826E-2</v>
      </c>
    </row>
    <row r="20" spans="2:31" x14ac:dyDescent="0.25">
      <c r="B20">
        <f t="shared" si="3"/>
        <v>2005</v>
      </c>
      <c r="C20">
        <f t="shared" si="3"/>
        <v>16</v>
      </c>
      <c r="D20">
        <v>1.2024963649503719</v>
      </c>
      <c r="E20">
        <f t="shared" si="0"/>
        <v>0.80032561922860379</v>
      </c>
      <c r="F20">
        <f t="shared" si="8"/>
        <v>1.2341448952932996</v>
      </c>
      <c r="G20">
        <f t="shared" si="1"/>
        <v>0.16174130871440309</v>
      </c>
      <c r="H20">
        <f t="shared" si="10"/>
        <v>1.001629472867215E-3</v>
      </c>
      <c r="I20">
        <f t="shared" si="4"/>
        <v>0.17931667289698169</v>
      </c>
      <c r="J20">
        <f t="shared" si="2"/>
        <v>0.11920315499546588</v>
      </c>
      <c r="K20">
        <f t="shared" si="9"/>
        <v>0.20446188651226122</v>
      </c>
      <c r="L20">
        <f t="shared" si="5"/>
        <v>2034</v>
      </c>
      <c r="N20">
        <f t="shared" si="6"/>
        <v>0.40688452914140238</v>
      </c>
      <c r="O20" s="14">
        <f t="shared" si="7"/>
        <v>0.40688452914140238</v>
      </c>
      <c r="P20" s="14"/>
      <c r="AB20">
        <v>2034</v>
      </c>
      <c r="AC20" s="14">
        <v>0.40688452914140238</v>
      </c>
      <c r="AD20">
        <v>2034</v>
      </c>
      <c r="AE20" s="14">
        <v>1.6959315629310807E-2</v>
      </c>
    </row>
    <row r="21" spans="2:31" x14ac:dyDescent="0.25">
      <c r="B21">
        <f t="shared" si="3"/>
        <v>2006</v>
      </c>
      <c r="C21">
        <f t="shared" si="3"/>
        <v>17</v>
      </c>
      <c r="D21">
        <v>1.9466677274927582</v>
      </c>
      <c r="E21">
        <f t="shared" si="0"/>
        <v>1.8021004722294149</v>
      </c>
      <c r="F21">
        <f t="shared" si="8"/>
        <v>1.8414585156655419</v>
      </c>
      <c r="G21">
        <f t="shared" si="1"/>
        <v>2.0899691294376643E-2</v>
      </c>
      <c r="H21">
        <f t="shared" si="10"/>
        <v>1.1068978253304074E-2</v>
      </c>
      <c r="I21">
        <f t="shared" si="4"/>
        <v>0.29055035255161765</v>
      </c>
      <c r="J21">
        <f t="shared" si="2"/>
        <v>0.26894199900078553</v>
      </c>
      <c r="K21">
        <f t="shared" si="9"/>
        <v>0.32800173316265141</v>
      </c>
      <c r="L21">
        <f t="shared" si="5"/>
        <v>2035</v>
      </c>
      <c r="M21">
        <f>K22</f>
        <v>0.48576732512015336</v>
      </c>
      <c r="N21">
        <f t="shared" si="6"/>
        <v>0</v>
      </c>
      <c r="O21" s="14">
        <f t="shared" si="7"/>
        <v>0.48576732512015336</v>
      </c>
      <c r="P21" s="14"/>
      <c r="AB21">
        <v>2035</v>
      </c>
      <c r="AC21" s="14">
        <v>0.48576732512015336</v>
      </c>
      <c r="AD21">
        <v>2035</v>
      </c>
      <c r="AE21" s="14">
        <v>2.6252493169840033E-2</v>
      </c>
    </row>
    <row r="22" spans="2:31" x14ac:dyDescent="0.25">
      <c r="B22">
        <f t="shared" si="3"/>
        <v>2007</v>
      </c>
      <c r="C22">
        <f t="shared" si="3"/>
        <v>18</v>
      </c>
      <c r="D22">
        <v>2.6778269298566646</v>
      </c>
      <c r="E22">
        <f t="shared" si="0"/>
        <v>3.347919848339854</v>
      </c>
      <c r="F22">
        <f t="shared" si="8"/>
        <v>2.6170236100032862</v>
      </c>
      <c r="G22">
        <f t="shared" si="1"/>
        <v>0.44902451940131832</v>
      </c>
      <c r="H22">
        <f t="shared" si="10"/>
        <v>3.6970437051922389E-3</v>
      </c>
      <c r="I22">
        <f t="shared" si="4"/>
        <v>0.39983906290245919</v>
      </c>
      <c r="J22">
        <f t="shared" si="2"/>
        <v>0.50000110946501497</v>
      </c>
      <c r="K22">
        <f t="shared" si="9"/>
        <v>0.48576732512015336</v>
      </c>
      <c r="L22">
        <f t="shared" si="5"/>
        <v>2036</v>
      </c>
      <c r="N22">
        <f t="shared" si="6"/>
        <v>0.56871181462513032</v>
      </c>
      <c r="O22" s="14">
        <f t="shared" si="7"/>
        <v>0.56871181462513032</v>
      </c>
      <c r="P22" s="14"/>
      <c r="AB22">
        <v>2036</v>
      </c>
      <c r="AC22" s="14">
        <v>0.56871181462513032</v>
      </c>
      <c r="AD22">
        <v>2036</v>
      </c>
      <c r="AE22" s="14">
        <v>3.5545670710369258E-2</v>
      </c>
    </row>
    <row r="23" spans="2:31" x14ac:dyDescent="0.25">
      <c r="B23">
        <f t="shared" ref="B23:C35" si="11">B22+1</f>
        <v>2008</v>
      </c>
      <c r="C23">
        <f t="shared" si="11"/>
        <v>19</v>
      </c>
      <c r="D23">
        <v>3.3468759970900019</v>
      </c>
      <c r="E23">
        <f t="shared" si="0"/>
        <v>4.8937392244502931</v>
      </c>
      <c r="F23">
        <f t="shared" si="8"/>
        <v>3.4325227315741307</v>
      </c>
      <c r="G23">
        <f t="shared" si="1"/>
        <v>2.3927858441594956</v>
      </c>
      <c r="H23">
        <f t="shared" si="10"/>
        <v>7.3353631277948469E-3</v>
      </c>
      <c r="I23">
        <f t="shared" si="4"/>
        <v>0.4998439722067019</v>
      </c>
      <c r="J23">
        <f t="shared" si="2"/>
        <v>0.7310602199292443</v>
      </c>
      <c r="K23">
        <f t="shared" si="9"/>
        <v>0.65165630413010722</v>
      </c>
      <c r="L23">
        <f t="shared" si="5"/>
        <v>2037</v>
      </c>
      <c r="M23">
        <f>K23</f>
        <v>0.65165630413010722</v>
      </c>
      <c r="N23">
        <f t="shared" si="6"/>
        <v>0</v>
      </c>
      <c r="O23" s="14">
        <f t="shared" si="7"/>
        <v>0.65165630413010722</v>
      </c>
      <c r="P23" s="14"/>
      <c r="AB23">
        <v>2037</v>
      </c>
      <c r="AC23" s="14">
        <v>0.65165630413010722</v>
      </c>
      <c r="AD23">
        <v>2037</v>
      </c>
      <c r="AE23" s="14">
        <v>5.1408749932996572E-2</v>
      </c>
    </row>
    <row r="24" spans="2:31" x14ac:dyDescent="0.25">
      <c r="B24">
        <f t="shared" si="11"/>
        <v>2009</v>
      </c>
      <c r="C24">
        <f t="shared" si="11"/>
        <v>20</v>
      </c>
      <c r="D24">
        <v>4.0419886523809776</v>
      </c>
      <c r="E24">
        <f t="shared" si="0"/>
        <v>5.8955140774511037</v>
      </c>
      <c r="F24">
        <f t="shared" si="8"/>
        <v>4.1184079386930375</v>
      </c>
      <c r="G24">
        <f t="shared" si="1"/>
        <v>3.4355565013813916</v>
      </c>
      <c r="H24">
        <f t="shared" si="10"/>
        <v>5.8399073204445781E-3</v>
      </c>
      <c r="I24">
        <f t="shared" si="4"/>
        <v>0.60374468958766103</v>
      </c>
      <c r="J24">
        <f t="shared" si="2"/>
        <v>0.88079906393456386</v>
      </c>
      <c r="K24">
        <f t="shared" si="9"/>
        <v>0.79117919718708263</v>
      </c>
      <c r="L24">
        <f t="shared" si="5"/>
        <v>2038</v>
      </c>
      <c r="N24">
        <f t="shared" si="6"/>
        <v>0.72141775065859493</v>
      </c>
      <c r="O24" s="14">
        <f t="shared" si="7"/>
        <v>0.72141775065859493</v>
      </c>
      <c r="P24" s="14"/>
      <c r="AB24">
        <v>2038</v>
      </c>
      <c r="AC24" s="14">
        <v>0.72141775065859493</v>
      </c>
      <c r="AD24">
        <v>2038</v>
      </c>
      <c r="AE24" s="14">
        <v>6.7271829155623894E-2</v>
      </c>
    </row>
    <row r="25" spans="2:31" x14ac:dyDescent="0.25">
      <c r="B25">
        <f t="shared" si="11"/>
        <v>2010</v>
      </c>
      <c r="C25">
        <f t="shared" si="11"/>
        <v>21</v>
      </c>
      <c r="D25">
        <v>4.5976293512192425</v>
      </c>
      <c r="E25">
        <f t="shared" si="0"/>
        <v>6.3757141787492433</v>
      </c>
      <c r="F25">
        <f t="shared" si="8"/>
        <v>4.5885513797419826</v>
      </c>
      <c r="G25">
        <f t="shared" si="1"/>
        <v>3.1615856538923923</v>
      </c>
      <c r="H25">
        <f t="shared" si="10"/>
        <v>8.2409566141945597E-5</v>
      </c>
      <c r="I25">
        <f t="shared" si="4"/>
        <v>0.68679808643768203</v>
      </c>
      <c r="J25">
        <f t="shared" si="2"/>
        <v>0.95257627799042777</v>
      </c>
      <c r="K25">
        <f t="shared" si="9"/>
        <v>0.88681586111580113</v>
      </c>
      <c r="L25">
        <f t="shared" si="5"/>
        <v>2039</v>
      </c>
      <c r="M25">
        <f>K24</f>
        <v>0.79117919718708263</v>
      </c>
      <c r="N25">
        <f t="shared" si="6"/>
        <v>0</v>
      </c>
      <c r="O25" s="14">
        <f t="shared" si="7"/>
        <v>0.79117919718708263</v>
      </c>
      <c r="P25" s="14"/>
      <c r="AB25">
        <v>2039</v>
      </c>
      <c r="AC25" s="14">
        <v>0.79117919718708263</v>
      </c>
      <c r="AD25">
        <v>2039</v>
      </c>
      <c r="AE25" s="14">
        <v>9.3723242260003961E-2</v>
      </c>
    </row>
    <row r="26" spans="2:31" x14ac:dyDescent="0.25">
      <c r="B26">
        <f t="shared" si="11"/>
        <v>2011</v>
      </c>
      <c r="C26">
        <f t="shared" si="11"/>
        <v>22</v>
      </c>
      <c r="D26">
        <v>4.8787216238790965</v>
      </c>
      <c r="E26">
        <f t="shared" si="0"/>
        <v>6.572670301713714</v>
      </c>
      <c r="F26">
        <f t="shared" si="8"/>
        <v>4.8655134717487467</v>
      </c>
      <c r="G26">
        <f t="shared" si="1"/>
        <v>2.8694621231376489</v>
      </c>
      <c r="H26">
        <f t="shared" si="10"/>
        <v>1.744552826984629E-4</v>
      </c>
      <c r="I26">
        <f t="shared" si="4"/>
        <v>0.72881384972050911</v>
      </c>
      <c r="J26">
        <f t="shared" si="2"/>
        <v>0.98201600896802854</v>
      </c>
      <c r="K26">
        <f t="shared" si="9"/>
        <v>0.9431555400341084</v>
      </c>
      <c r="L26">
        <f t="shared" si="5"/>
        <v>2040</v>
      </c>
      <c r="N26">
        <f t="shared" si="6"/>
        <v>0.83899752915144188</v>
      </c>
      <c r="O26" s="14">
        <f t="shared" si="7"/>
        <v>0.83899752915144188</v>
      </c>
      <c r="P26" s="14"/>
      <c r="AB26">
        <v>2040</v>
      </c>
      <c r="AC26" s="14">
        <v>0.83899752915144188</v>
      </c>
      <c r="AD26">
        <v>2040</v>
      </c>
      <c r="AE26" s="14">
        <v>0.12017465536438403</v>
      </c>
    </row>
    <row r="27" spans="2:31" x14ac:dyDescent="0.25">
      <c r="B27">
        <f t="shared" si="11"/>
        <v>2012</v>
      </c>
      <c r="C27">
        <f t="shared" si="11"/>
        <v>23</v>
      </c>
      <c r="D27">
        <v>5.3740580503461661</v>
      </c>
      <c r="E27">
        <f t="shared" si="0"/>
        <v>6.6482247058199055</v>
      </c>
      <c r="F27">
        <f t="shared" si="8"/>
        <v>5.0139407558092115</v>
      </c>
      <c r="G27">
        <f t="shared" si="1"/>
        <v>1.6235006659211351</v>
      </c>
      <c r="H27">
        <f t="shared" si="10"/>
        <v>0.12968446582461574</v>
      </c>
      <c r="I27">
        <f t="shared" si="4"/>
        <v>0.80285337362085518</v>
      </c>
      <c r="J27">
        <f t="shared" si="2"/>
        <v>0.99330939400008689</v>
      </c>
      <c r="K27">
        <f t="shared" si="9"/>
        <v>0.97334864504025764</v>
      </c>
      <c r="L27">
        <f t="shared" si="5"/>
        <v>2041</v>
      </c>
      <c r="M27">
        <f>K25</f>
        <v>0.88681586111580113</v>
      </c>
      <c r="N27">
        <f t="shared" si="6"/>
        <v>0</v>
      </c>
      <c r="O27" s="14">
        <f t="shared" si="7"/>
        <v>0.88681586111580113</v>
      </c>
      <c r="P27" s="14"/>
      <c r="AB27">
        <v>2041</v>
      </c>
      <c r="AC27" s="14">
        <v>0.88681586111580113</v>
      </c>
      <c r="AD27">
        <v>2041</v>
      </c>
      <c r="AE27" s="14">
        <v>0.16231827093832263</v>
      </c>
    </row>
    <row r="28" spans="2:31" x14ac:dyDescent="0.25">
      <c r="B28">
        <f t="shared" si="11"/>
        <v>2013</v>
      </c>
      <c r="C28">
        <f t="shared" si="11"/>
        <v>24</v>
      </c>
      <c r="D28">
        <v>4.8424949953973018</v>
      </c>
      <c r="E28">
        <f t="shared" si="0"/>
        <v>6.676458714241118</v>
      </c>
      <c r="F28">
        <f t="shared" si="8"/>
        <v>5.0894051636378261</v>
      </c>
      <c r="G28">
        <f t="shared" si="1"/>
        <v>3.3634229220354404</v>
      </c>
      <c r="H28">
        <f t="shared" si="10"/>
        <v>6.0964631180564048E-2</v>
      </c>
      <c r="I28">
        <f t="shared" si="4"/>
        <v>0.72339893940503464</v>
      </c>
      <c r="J28">
        <f t="shared" si="2"/>
        <v>0.9975296314815576</v>
      </c>
      <c r="K28">
        <f t="shared" si="9"/>
        <v>0.98869962854857296</v>
      </c>
      <c r="L28">
        <f t="shared" si="5"/>
        <v>2042</v>
      </c>
      <c r="N28">
        <f t="shared" si="6"/>
        <v>0.91498570057495476</v>
      </c>
      <c r="O28" s="14">
        <f t="shared" si="7"/>
        <v>0.91498570057495476</v>
      </c>
      <c r="P28" s="14"/>
      <c r="AB28">
        <v>2042</v>
      </c>
      <c r="AC28" s="14">
        <v>0.91498570057495476</v>
      </c>
      <c r="AD28">
        <v>2042</v>
      </c>
      <c r="AE28" s="14">
        <v>0.20446188651226122</v>
      </c>
    </row>
    <row r="29" spans="2:31" x14ac:dyDescent="0.25">
      <c r="B29">
        <f t="shared" si="11"/>
        <v>2014</v>
      </c>
      <c r="C29">
        <f t="shared" si="11"/>
        <v>25</v>
      </c>
      <c r="D29">
        <v>5.136742826190047</v>
      </c>
      <c r="E29">
        <f t="shared" si="0"/>
        <v>6.6869058840052737</v>
      </c>
      <c r="F29">
        <f t="shared" si="8"/>
        <v>5.1267385268785688</v>
      </c>
      <c r="G29">
        <f t="shared" si="1"/>
        <v>2.4030055058150541</v>
      </c>
      <c r="H29">
        <f t="shared" si="10"/>
        <v>1.0008600471364261E-4</v>
      </c>
      <c r="I29">
        <f t="shared" si="4"/>
        <v>0.76738110614369015</v>
      </c>
      <c r="J29">
        <f t="shared" si="2"/>
        <v>0.99909120703810705</v>
      </c>
      <c r="K29">
        <f t="shared" si="9"/>
        <v>0.99629398806067759</v>
      </c>
      <c r="L29">
        <f t="shared" si="5"/>
        <v>2043</v>
      </c>
      <c r="M29">
        <f>K26</f>
        <v>0.9431555400341084</v>
      </c>
      <c r="N29">
        <f t="shared" si="6"/>
        <v>0</v>
      </c>
      <c r="O29" s="14">
        <f t="shared" si="7"/>
        <v>0.9431555400341084</v>
      </c>
      <c r="P29" s="14"/>
      <c r="AB29">
        <v>2043</v>
      </c>
      <c r="AC29" s="14">
        <v>0.9431555400341084</v>
      </c>
      <c r="AD29">
        <v>2043</v>
      </c>
      <c r="AE29" s="14">
        <v>0.26623180983745631</v>
      </c>
    </row>
    <row r="30" spans="2:31" x14ac:dyDescent="0.25">
      <c r="B30">
        <f t="shared" si="11"/>
        <v>2015</v>
      </c>
      <c r="C30">
        <f t="shared" si="11"/>
        <v>26</v>
      </c>
      <c r="D30">
        <v>5.0774564812953304</v>
      </c>
      <c r="E30">
        <f t="shared" si="0"/>
        <v>6.6907574175200795</v>
      </c>
      <c r="F30">
        <f t="shared" si="8"/>
        <v>5.1449570336117203</v>
      </c>
      <c r="G30">
        <f t="shared" si="1"/>
        <v>2.6027399108236517</v>
      </c>
      <c r="H30">
        <f t="shared" si="10"/>
        <v>4.5563245630176833E-3</v>
      </c>
      <c r="I30">
        <f t="shared" si="4"/>
        <v>0.75851938607778591</v>
      </c>
      <c r="J30">
        <f t="shared" si="2"/>
        <v>0.99966690942714909</v>
      </c>
      <c r="K30">
        <f t="shared" si="9"/>
        <v>1</v>
      </c>
      <c r="L30">
        <f t="shared" si="5"/>
        <v>2044</v>
      </c>
      <c r="N30">
        <f t="shared" si="6"/>
        <v>0.95825209253718302</v>
      </c>
      <c r="O30" s="14">
        <f t="shared" si="7"/>
        <v>0.95825209253718302</v>
      </c>
      <c r="P30" s="14"/>
      <c r="AB30">
        <v>2044</v>
      </c>
      <c r="AC30" s="14">
        <v>0.95825209253718302</v>
      </c>
      <c r="AD30">
        <v>2044</v>
      </c>
      <c r="AE30" s="14">
        <v>0.32800173316265141</v>
      </c>
    </row>
    <row r="31" spans="2:31" x14ac:dyDescent="0.25">
      <c r="B31">
        <f t="shared" si="11"/>
        <v>2016</v>
      </c>
      <c r="C31">
        <f t="shared" si="11"/>
        <v>27</v>
      </c>
      <c r="D31">
        <v>4.8396513277490403</v>
      </c>
      <c r="E31">
        <f t="shared" si="0"/>
        <v>6.6921754345655069</v>
      </c>
      <c r="G31">
        <f t="shared" si="1"/>
        <v>3.4318455663361473</v>
      </c>
      <c r="I31">
        <f t="shared" si="4"/>
        <v>0.72297388728377276</v>
      </c>
      <c r="J31">
        <f t="shared" si="2"/>
        <v>0.99987886546949345</v>
      </c>
      <c r="L31">
        <f t="shared" si="5"/>
        <v>2045</v>
      </c>
      <c r="M31">
        <f>K27</f>
        <v>0.97334864504025764</v>
      </c>
      <c r="N31">
        <f t="shared" si="6"/>
        <v>0</v>
      </c>
      <c r="O31" s="14">
        <f t="shared" si="7"/>
        <v>0.97334864504025764</v>
      </c>
      <c r="P31" s="14"/>
      <c r="AB31">
        <v>2045</v>
      </c>
      <c r="AC31" s="14">
        <v>0.97334864504025764</v>
      </c>
      <c r="AD31">
        <v>2045</v>
      </c>
      <c r="AE31" s="14">
        <v>0.40688452914140238</v>
      </c>
    </row>
    <row r="32" spans="2:31" x14ac:dyDescent="0.25">
      <c r="B32">
        <f t="shared" si="11"/>
        <v>2017</v>
      </c>
      <c r="C32">
        <f t="shared" si="11"/>
        <v>28</v>
      </c>
      <c r="D32">
        <v>5.1797766065714175</v>
      </c>
      <c r="E32">
        <f t="shared" si="0"/>
        <v>6.6926972451907911</v>
      </c>
      <c r="G32">
        <f t="shared" si="1"/>
        <v>2.2889288587604533</v>
      </c>
      <c r="I32">
        <f t="shared" si="4"/>
        <v>0.77381350327990317</v>
      </c>
      <c r="J32">
        <f t="shared" si="2"/>
        <v>0.99995686235630454</v>
      </c>
      <c r="L32">
        <f t="shared" si="5"/>
        <v>2046</v>
      </c>
      <c r="N32">
        <f t="shared" si="6"/>
        <v>0.98102413679441525</v>
      </c>
      <c r="O32" s="14">
        <f t="shared" si="7"/>
        <v>0.98102413679441525</v>
      </c>
      <c r="P32" s="14"/>
      <c r="AB32">
        <v>2046</v>
      </c>
      <c r="AC32" s="14">
        <v>0.98102413679441525</v>
      </c>
      <c r="AD32">
        <v>2046</v>
      </c>
      <c r="AE32" s="14">
        <v>0.48576732512015336</v>
      </c>
    </row>
    <row r="33" spans="2:31" x14ac:dyDescent="0.25">
      <c r="B33">
        <f t="shared" si="11"/>
        <v>2018</v>
      </c>
      <c r="C33">
        <f t="shared" si="11"/>
        <v>29</v>
      </c>
      <c r="D33">
        <v>5.6914055186085006</v>
      </c>
      <c r="E33">
        <f t="shared" si="0"/>
        <v>6.6928892290757274</v>
      </c>
      <c r="G33">
        <f t="shared" si="1"/>
        <v>1.0029696223312041</v>
      </c>
      <c r="I33">
        <f t="shared" si="4"/>
        <v>0.85028831723828269</v>
      </c>
      <c r="J33">
        <f t="shared" si="2"/>
        <v>0.99998555886921048</v>
      </c>
      <c r="L33">
        <f t="shared" si="5"/>
        <v>2047</v>
      </c>
      <c r="M33">
        <f>K28</f>
        <v>0.98869962854857296</v>
      </c>
      <c r="N33">
        <f t="shared" si="6"/>
        <v>0</v>
      </c>
      <c r="O33" s="14">
        <f t="shared" si="7"/>
        <v>0.98869962854857296</v>
      </c>
      <c r="P33" s="14"/>
      <c r="AB33">
        <v>2047</v>
      </c>
      <c r="AC33" s="14">
        <v>0.98869962854857296</v>
      </c>
      <c r="AD33">
        <v>2047</v>
      </c>
      <c r="AE33" s="14">
        <v>0.56871181462513032</v>
      </c>
    </row>
    <row r="34" spans="2:31" x14ac:dyDescent="0.25">
      <c r="B34">
        <f t="shared" si="11"/>
        <v>2019</v>
      </c>
      <c r="C34">
        <f t="shared" si="11"/>
        <v>30</v>
      </c>
      <c r="D34">
        <v>5.8424460960148963</v>
      </c>
      <c r="E34">
        <f t="shared" si="0"/>
        <v>6.6929598587725234</v>
      </c>
      <c r="G34">
        <f t="shared" si="1"/>
        <v>0.72337366064013731</v>
      </c>
      <c r="I34">
        <f t="shared" si="4"/>
        <v>0.87286483663655146</v>
      </c>
      <c r="J34">
        <f t="shared" si="2"/>
        <v>0.99999611614075612</v>
      </c>
      <c r="L34">
        <f t="shared" si="5"/>
        <v>2048</v>
      </c>
      <c r="N34">
        <f t="shared" si="6"/>
        <v>0.99249680830462528</v>
      </c>
      <c r="O34" s="14">
        <f t="shared" si="7"/>
        <v>0.99249680830462528</v>
      </c>
      <c r="P34" s="14"/>
      <c r="AB34">
        <v>2048</v>
      </c>
      <c r="AC34" s="14">
        <v>0.99249680830462528</v>
      </c>
      <c r="AD34">
        <v>2048</v>
      </c>
      <c r="AE34" s="14">
        <v>0.65165630413010722</v>
      </c>
    </row>
    <row r="35" spans="2:31" x14ac:dyDescent="0.25">
      <c r="B35">
        <f t="shared" si="11"/>
        <v>2020</v>
      </c>
      <c r="C35">
        <f t="shared" si="11"/>
        <v>31</v>
      </c>
      <c r="D35">
        <v>6.6930009642973936</v>
      </c>
      <c r="E35">
        <f t="shared" si="0"/>
        <v>6.6929858423611437</v>
      </c>
      <c r="G35">
        <f t="shared" si="1"/>
        <v>2.286729559448978E-10</v>
      </c>
      <c r="I35">
        <f t="shared" si="4"/>
        <v>1</v>
      </c>
      <c r="J35">
        <f t="shared" si="2"/>
        <v>1</v>
      </c>
      <c r="L35">
        <f t="shared" si="5"/>
        <v>2049</v>
      </c>
      <c r="M35">
        <f>K29</f>
        <v>0.99629398806067759</v>
      </c>
      <c r="N35">
        <f t="shared" si="6"/>
        <v>0</v>
      </c>
      <c r="O35">
        <f t="shared" si="7"/>
        <v>0.99629398806067759</v>
      </c>
      <c r="AB35">
        <v>2049</v>
      </c>
      <c r="AC35">
        <v>0.99629398806067759</v>
      </c>
      <c r="AD35">
        <v>2049</v>
      </c>
      <c r="AE35" s="14">
        <v>0.72141775065859493</v>
      </c>
    </row>
    <row r="36" spans="2:31" x14ac:dyDescent="0.25">
      <c r="G36">
        <f>SUM(G5:G35)/C35</f>
        <v>0.99154527826440597</v>
      </c>
      <c r="H36">
        <f>SUM(H14:H30)/COUNT(H14:H31)</f>
        <v>1.4842213175554671E-2</v>
      </c>
      <c r="L36">
        <f t="shared" si="5"/>
        <v>2050</v>
      </c>
      <c r="N36">
        <f t="shared" si="6"/>
        <v>0.9981469940303388</v>
      </c>
      <c r="O36">
        <f t="shared" si="7"/>
        <v>0.9981469940303388</v>
      </c>
      <c r="AB36">
        <v>2050</v>
      </c>
      <c r="AC36">
        <v>0.9981469940303388</v>
      </c>
      <c r="AD36">
        <v>2050</v>
      </c>
      <c r="AE36" s="14">
        <v>0.79117919718708263</v>
      </c>
    </row>
    <row r="37" spans="2:31" x14ac:dyDescent="0.25">
      <c r="H37">
        <f>COUNT(H14:H31)</f>
        <v>16</v>
      </c>
      <c r="M37">
        <f>K30</f>
        <v>1</v>
      </c>
      <c r="AE37" s="14"/>
    </row>
    <row r="38" spans="2:31" x14ac:dyDescent="0.25">
      <c r="AE38" s="14"/>
    </row>
    <row r="39" spans="2:31" x14ac:dyDescent="0.25">
      <c r="AE39" s="14"/>
    </row>
    <row r="40" spans="2:31" x14ac:dyDescent="0.25">
      <c r="AE40" s="14"/>
    </row>
    <row r="41" spans="2:31" x14ac:dyDescent="0.25">
      <c r="AE41" s="14"/>
    </row>
    <row r="42" spans="2:31" x14ac:dyDescent="0.25">
      <c r="AE42" s="14"/>
    </row>
    <row r="43" spans="2:31" x14ac:dyDescent="0.25">
      <c r="AE43" s="14"/>
    </row>
    <row r="44" spans="2:31" x14ac:dyDescent="0.25">
      <c r="AE44" s="14"/>
    </row>
    <row r="45" spans="2:31" x14ac:dyDescent="0.25">
      <c r="AE45" s="14"/>
    </row>
    <row r="96" spans="14:17" x14ac:dyDescent="0.25">
      <c r="N96" t="s">
        <v>81</v>
      </c>
      <c r="Q96" t="s">
        <v>76</v>
      </c>
    </row>
    <row r="97" spans="10:17" x14ac:dyDescent="0.25">
      <c r="J97">
        <v>1990</v>
      </c>
      <c r="K97">
        <v>1</v>
      </c>
      <c r="Q97" t="e">
        <f>#REF!+($N$142-#REF!)*(1/(1+EXP(-1*(J97-$J$124))))^1</f>
        <v>#REF!</v>
      </c>
    </row>
    <row r="98" spans="10:17" x14ac:dyDescent="0.25">
      <c r="J98">
        <f>J97+1</f>
        <v>1991</v>
      </c>
      <c r="K98">
        <f>K97+1</f>
        <v>2</v>
      </c>
      <c r="Q98" t="e">
        <f>#REF!+($N$142-#REF!)*(1/(1+EXP(-1*(J98-$J$124))))^1</f>
        <v>#REF!</v>
      </c>
    </row>
    <row r="99" spans="10:17" x14ac:dyDescent="0.25">
      <c r="J99">
        <f t="shared" ref="J99:K114" si="12">J98+1</f>
        <v>1992</v>
      </c>
      <c r="K99">
        <f t="shared" si="12"/>
        <v>3</v>
      </c>
      <c r="Q99" t="e">
        <f>#REF!+($N$142-#REF!)*(1/(1+EXP(-1*(J99-$J$124))))^1</f>
        <v>#REF!</v>
      </c>
    </row>
    <row r="100" spans="10:17" x14ac:dyDescent="0.25">
      <c r="J100">
        <f t="shared" si="12"/>
        <v>1993</v>
      </c>
      <c r="K100">
        <f t="shared" si="12"/>
        <v>4</v>
      </c>
      <c r="Q100" t="e">
        <f>#REF!+($N$142-#REF!)*(1/(1+EXP(-1*(J100-$J$124))))^1</f>
        <v>#REF!</v>
      </c>
    </row>
    <row r="101" spans="10:17" x14ac:dyDescent="0.25">
      <c r="J101">
        <f t="shared" si="12"/>
        <v>1994</v>
      </c>
      <c r="K101">
        <f t="shared" si="12"/>
        <v>5</v>
      </c>
      <c r="Q101" t="e">
        <f>#REF!+($N$142-#REF!)*(1/(1+EXP(-1*(J101-$J$124))))^1</f>
        <v>#REF!</v>
      </c>
    </row>
    <row r="102" spans="10:17" x14ac:dyDescent="0.25">
      <c r="J102">
        <f t="shared" si="12"/>
        <v>1995</v>
      </c>
      <c r="K102">
        <f t="shared" si="12"/>
        <v>6</v>
      </c>
      <c r="Q102" t="e">
        <f>#REF!+($N$142-#REF!)*(1/(1+EXP(-1*(J102-$J$124))))^1</f>
        <v>#REF!</v>
      </c>
    </row>
    <row r="103" spans="10:17" x14ac:dyDescent="0.25">
      <c r="J103">
        <f t="shared" si="12"/>
        <v>1996</v>
      </c>
      <c r="K103">
        <f t="shared" si="12"/>
        <v>7</v>
      </c>
      <c r="Q103" t="e">
        <f>#REF!+($N$142-#REF!)*(1/(1+EXP(-1*(J103-$J$124))))^1</f>
        <v>#REF!</v>
      </c>
    </row>
    <row r="104" spans="10:17" x14ac:dyDescent="0.25">
      <c r="J104">
        <f t="shared" si="12"/>
        <v>1997</v>
      </c>
      <c r="K104">
        <f t="shared" si="12"/>
        <v>8</v>
      </c>
      <c r="Q104" t="e">
        <f>#REF!+($N$142-#REF!)*(1/(1+EXP(-1*(J104-$J$124))))^1</f>
        <v>#REF!</v>
      </c>
    </row>
    <row r="105" spans="10:17" x14ac:dyDescent="0.25">
      <c r="J105">
        <f t="shared" si="12"/>
        <v>1998</v>
      </c>
      <c r="K105">
        <f t="shared" si="12"/>
        <v>9</v>
      </c>
      <c r="Q105" t="e">
        <f>#REF!+($N$142-#REF!)*(1/(1+EXP(-1*(J105-$J$124))))^1</f>
        <v>#REF!</v>
      </c>
    </row>
    <row r="106" spans="10:17" x14ac:dyDescent="0.25">
      <c r="J106">
        <f t="shared" si="12"/>
        <v>1999</v>
      </c>
      <c r="K106">
        <f t="shared" si="12"/>
        <v>10</v>
      </c>
      <c r="Q106" t="e">
        <f>#REF!+($N$142-#REF!)*(1/(1+EXP(-1*(J106-$J$124))))^1</f>
        <v>#REF!</v>
      </c>
    </row>
    <row r="107" spans="10:17" x14ac:dyDescent="0.25">
      <c r="J107">
        <f t="shared" si="12"/>
        <v>2000</v>
      </c>
      <c r="K107">
        <f t="shared" si="12"/>
        <v>11</v>
      </c>
      <c r="Q107" t="e">
        <f>#REF!+($N$142-#REF!)*(1/(1+EXP(-1*(J107-$J$124))))^1</f>
        <v>#REF!</v>
      </c>
    </row>
    <row r="108" spans="10:17" x14ac:dyDescent="0.25">
      <c r="J108">
        <f t="shared" si="12"/>
        <v>2001</v>
      </c>
      <c r="K108">
        <f t="shared" si="12"/>
        <v>12</v>
      </c>
      <c r="Q108" t="e">
        <f>#REF!+($N$142-#REF!)*(1/(1+EXP(-1*(J108-$J$124))))^1</f>
        <v>#REF!</v>
      </c>
    </row>
    <row r="109" spans="10:17" x14ac:dyDescent="0.25">
      <c r="J109">
        <f t="shared" si="12"/>
        <v>2002</v>
      </c>
      <c r="K109">
        <f t="shared" si="12"/>
        <v>13</v>
      </c>
      <c r="Q109" t="e">
        <f>#REF!+($N$142-#REF!)*(1/(1+EXP(-1*(J109-$J$124))))^1</f>
        <v>#REF!</v>
      </c>
    </row>
    <row r="110" spans="10:17" x14ac:dyDescent="0.25">
      <c r="J110">
        <f t="shared" si="12"/>
        <v>2003</v>
      </c>
      <c r="K110">
        <f t="shared" si="12"/>
        <v>14</v>
      </c>
      <c r="Q110" t="e">
        <f>#REF!+($N$142-#REF!)*(1/(1+EXP(-1*(J110-$J$124))))^1</f>
        <v>#REF!</v>
      </c>
    </row>
    <row r="111" spans="10:17" x14ac:dyDescent="0.25">
      <c r="J111">
        <f t="shared" si="12"/>
        <v>2004</v>
      </c>
      <c r="K111">
        <f t="shared" si="12"/>
        <v>15</v>
      </c>
      <c r="Q111" t="e">
        <f>#REF!+($N$142-#REF!)*(1/(1+EXP(-1*(J111-$J$124))))^1</f>
        <v>#REF!</v>
      </c>
    </row>
    <row r="112" spans="10:17" x14ac:dyDescent="0.25">
      <c r="J112">
        <f t="shared" si="12"/>
        <v>2005</v>
      </c>
      <c r="K112">
        <f t="shared" si="12"/>
        <v>16</v>
      </c>
      <c r="Q112" t="e">
        <f>#REF!+($N$142-#REF!)*(1/(1+EXP(-1*(J112-$J$124))))^1</f>
        <v>#REF!</v>
      </c>
    </row>
    <row r="113" spans="7:17" x14ac:dyDescent="0.25">
      <c r="J113">
        <f t="shared" si="12"/>
        <v>2006</v>
      </c>
      <c r="K113">
        <f t="shared" si="12"/>
        <v>17</v>
      </c>
      <c r="Q113" t="e">
        <f>#REF!+($N$142-#REF!)*(1/(1+EXP(-1*(J113-$J$124))))^1</f>
        <v>#REF!</v>
      </c>
    </row>
    <row r="114" spans="7:17" x14ac:dyDescent="0.25">
      <c r="J114">
        <f t="shared" si="12"/>
        <v>2007</v>
      </c>
      <c r="K114">
        <f t="shared" si="12"/>
        <v>18</v>
      </c>
      <c r="Q114" t="e">
        <f>#REF!+($N$142-#REF!)*(1/(1+EXP(-1*(J114-$J$124))))^1</f>
        <v>#REF!</v>
      </c>
    </row>
    <row r="115" spans="7:17" x14ac:dyDescent="0.25">
      <c r="J115">
        <f t="shared" ref="J115:K130" si="13">J114+1</f>
        <v>2008</v>
      </c>
      <c r="K115">
        <f t="shared" si="13"/>
        <v>19</v>
      </c>
      <c r="Q115" t="e">
        <f>#REF!+($N$142-#REF!)*(1/(1+EXP(-1*(J115-$J$124))))^1</f>
        <v>#REF!</v>
      </c>
    </row>
    <row r="116" spans="7:17" x14ac:dyDescent="0.25">
      <c r="J116">
        <f t="shared" si="13"/>
        <v>2009</v>
      </c>
      <c r="K116">
        <f t="shared" si="13"/>
        <v>20</v>
      </c>
      <c r="Q116" t="e">
        <f>#REF!+($N$142-#REF!)*(1/(1+EXP(-1*(J116-$J$124))))^1</f>
        <v>#REF!</v>
      </c>
    </row>
    <row r="117" spans="7:17" x14ac:dyDescent="0.25">
      <c r="J117">
        <f t="shared" si="13"/>
        <v>2010</v>
      </c>
      <c r="K117">
        <f t="shared" si="13"/>
        <v>21</v>
      </c>
      <c r="Q117" t="e">
        <f>#REF!+($N$142-#REF!)*(1/(1+EXP(-1*(J117-$J$124))))^1</f>
        <v>#REF!</v>
      </c>
    </row>
    <row r="118" spans="7:17" x14ac:dyDescent="0.25">
      <c r="J118">
        <f t="shared" si="13"/>
        <v>2011</v>
      </c>
      <c r="K118">
        <f t="shared" si="13"/>
        <v>22</v>
      </c>
      <c r="Q118" t="e">
        <f>#REF!+($N$142-#REF!)*(1/(1+EXP(-1*(J118-$J$124))))^1</f>
        <v>#REF!</v>
      </c>
    </row>
    <row r="119" spans="7:17" x14ac:dyDescent="0.25">
      <c r="J119">
        <f t="shared" si="13"/>
        <v>2012</v>
      </c>
      <c r="K119">
        <f t="shared" si="13"/>
        <v>23</v>
      </c>
      <c r="Q119" t="e">
        <f>#REF!+($N$142-#REF!)*(1/(1+EXP(-1*(J119-$J$124))))^1</f>
        <v>#REF!</v>
      </c>
    </row>
    <row r="120" spans="7:17" x14ac:dyDescent="0.25">
      <c r="J120">
        <f t="shared" si="13"/>
        <v>2013</v>
      </c>
      <c r="K120">
        <f t="shared" si="13"/>
        <v>24</v>
      </c>
      <c r="Q120" t="e">
        <f>#REF!+($N$142-#REF!)*(1/(1+EXP(-1*(J120-$J$124))))^1</f>
        <v>#REF!</v>
      </c>
    </row>
    <row r="121" spans="7:17" x14ac:dyDescent="0.25">
      <c r="J121">
        <f t="shared" si="13"/>
        <v>2014</v>
      </c>
      <c r="K121">
        <f t="shared" si="13"/>
        <v>25</v>
      </c>
      <c r="Q121" t="e">
        <f>#REF!+($N$142-#REF!)*(1/(1+EXP(-1*(J121-$J$124))))^1</f>
        <v>#REF!</v>
      </c>
    </row>
    <row r="122" spans="7:17" x14ac:dyDescent="0.25">
      <c r="J122">
        <f t="shared" si="13"/>
        <v>2015</v>
      </c>
      <c r="K122">
        <f t="shared" si="13"/>
        <v>26</v>
      </c>
      <c r="Q122" t="e">
        <f>#REF!+($N$142-#REF!)*(1/(1+EXP(-1*(J122-$J$124))))^1</f>
        <v>#REF!</v>
      </c>
    </row>
    <row r="123" spans="7:17" x14ac:dyDescent="0.25">
      <c r="J123">
        <f t="shared" si="13"/>
        <v>2016</v>
      </c>
      <c r="K123">
        <f t="shared" si="13"/>
        <v>27</v>
      </c>
      <c r="Q123" t="e">
        <f>#REF!+($N$142-#REF!)*(1/(1+EXP(-1*(J123-$J$124))))^1</f>
        <v>#REF!</v>
      </c>
    </row>
    <row r="124" spans="7:17" x14ac:dyDescent="0.25">
      <c r="J124">
        <f t="shared" si="13"/>
        <v>2017</v>
      </c>
      <c r="K124">
        <f t="shared" si="13"/>
        <v>28</v>
      </c>
      <c r="Q124" t="e">
        <f>#REF!+($N$142-#REF!)*(1/(1+EXP(-1*(J124-$J$124))))^1</f>
        <v>#REF!</v>
      </c>
    </row>
    <row r="125" spans="7:17" x14ac:dyDescent="0.25">
      <c r="J125">
        <f t="shared" si="13"/>
        <v>2018</v>
      </c>
      <c r="K125">
        <f t="shared" si="13"/>
        <v>29</v>
      </c>
      <c r="Q125" t="e">
        <f>#REF!+($N$142-#REF!)*(1/(1+EXP(-1*(J125-$J$124))))^1</f>
        <v>#REF!</v>
      </c>
    </row>
    <row r="126" spans="7:17" x14ac:dyDescent="0.25">
      <c r="J126">
        <f t="shared" si="13"/>
        <v>2019</v>
      </c>
      <c r="K126">
        <f t="shared" si="13"/>
        <v>30</v>
      </c>
      <c r="Q126" t="e">
        <f>#REF!+($N$142-#REF!)*(1/(1+EXP(-1*(J126-$J$124))))^1</f>
        <v>#REF!</v>
      </c>
    </row>
    <row r="127" spans="7:17" x14ac:dyDescent="0.25">
      <c r="J127">
        <f t="shared" si="13"/>
        <v>2020</v>
      </c>
      <c r="K127">
        <f t="shared" si="13"/>
        <v>31</v>
      </c>
      <c r="N127" s="15" t="e">
        <f>#REF!</f>
        <v>#REF!</v>
      </c>
      <c r="O127" s="15"/>
      <c r="P127" s="15"/>
      <c r="Q127" t="e">
        <f>#REF!+($N$142-#REF!)*(1/(1+EXP(-1*(J127-$J$124))))^1</f>
        <v>#REF!</v>
      </c>
    </row>
    <row r="128" spans="7:17" x14ac:dyDescent="0.25">
      <c r="G128">
        <v>30</v>
      </c>
      <c r="H128">
        <v>2379.9699999999998</v>
      </c>
      <c r="J128">
        <f t="shared" si="13"/>
        <v>2021</v>
      </c>
      <c r="K128">
        <f t="shared" si="13"/>
        <v>32</v>
      </c>
      <c r="N128" t="e">
        <f>#REF!*2-H128</f>
        <v>#REF!</v>
      </c>
      <c r="Q128" t="e">
        <f>#REF!+($N$142-#REF!)*(1/(1+EXP(-1*(J128-$J$124))))^1</f>
        <v>#REF!</v>
      </c>
    </row>
    <row r="129" spans="7:17" x14ac:dyDescent="0.25">
      <c r="G129">
        <v>29</v>
      </c>
      <c r="H129">
        <v>1586.433</v>
      </c>
      <c r="J129">
        <f t="shared" si="13"/>
        <v>2022</v>
      </c>
      <c r="K129">
        <f t="shared" si="13"/>
        <v>33</v>
      </c>
      <c r="N129" t="e">
        <f>#REF!*2-H129</f>
        <v>#REF!</v>
      </c>
      <c r="Q129" t="e">
        <f>#REF!+($N$142-#REF!)*(1/(1+EXP(-1*(J129-$J$124))))^1</f>
        <v>#REF!</v>
      </c>
    </row>
    <row r="130" spans="7:17" x14ac:dyDescent="0.25">
      <c r="G130">
        <v>28</v>
      </c>
      <c r="H130">
        <v>1234.992</v>
      </c>
      <c r="J130">
        <f t="shared" si="13"/>
        <v>2023</v>
      </c>
      <c r="K130">
        <f t="shared" si="13"/>
        <v>34</v>
      </c>
      <c r="N130" t="e">
        <f>#REF!*2-H130</f>
        <v>#REF!</v>
      </c>
      <c r="Q130" t="e">
        <f>#REF!+($N$142-#REF!)*(1/(1+EXP(-1*(J130-$J$124))))^1</f>
        <v>#REF!</v>
      </c>
    </row>
    <row r="131" spans="7:17" x14ac:dyDescent="0.25">
      <c r="G131">
        <v>27</v>
      </c>
      <c r="H131">
        <v>1003.893</v>
      </c>
      <c r="J131">
        <f t="shared" ref="J131:K142" si="14">J130+1</f>
        <v>2024</v>
      </c>
      <c r="K131">
        <f t="shared" si="14"/>
        <v>35</v>
      </c>
      <c r="N131" t="e">
        <f>#REF!*2-H131</f>
        <v>#REF!</v>
      </c>
      <c r="Q131" t="e">
        <f>#REF!+($N$142-#REF!)*(1/(1+EXP(-1*(J131-$J$124))))^1</f>
        <v>#REF!</v>
      </c>
    </row>
    <row r="132" spans="7:17" x14ac:dyDescent="0.25">
      <c r="G132">
        <v>26</v>
      </c>
      <c r="H132">
        <v>937.76900000000001</v>
      </c>
      <c r="J132">
        <f t="shared" si="14"/>
        <v>2025</v>
      </c>
      <c r="K132">
        <f t="shared" si="14"/>
        <v>36</v>
      </c>
      <c r="N132" t="e">
        <f>#REF!*2-H132</f>
        <v>#REF!</v>
      </c>
      <c r="Q132" t="e">
        <f>#REF!+($N$142-#REF!)*(1/(1+EXP(-1*(J132-$J$124))))^1</f>
        <v>#REF!</v>
      </c>
    </row>
    <row r="133" spans="7:17" x14ac:dyDescent="0.25">
      <c r="G133">
        <v>25</v>
      </c>
      <c r="H133">
        <v>716.37099999999998</v>
      </c>
      <c r="J133">
        <f t="shared" si="14"/>
        <v>2026</v>
      </c>
      <c r="K133">
        <f t="shared" si="14"/>
        <v>37</v>
      </c>
      <c r="N133" t="e">
        <f>#REF!*2-H133</f>
        <v>#REF!</v>
      </c>
      <c r="Q133" t="e">
        <f>#REF!+($N$142-#REF!)*(1/(1+EXP(-1*(J133-$J$124))))^1</f>
        <v>#REF!</v>
      </c>
    </row>
    <row r="134" spans="7:17" x14ac:dyDescent="0.25">
      <c r="G134">
        <v>24</v>
      </c>
      <c r="H134">
        <v>618.04999999999995</v>
      </c>
      <c r="J134">
        <f t="shared" si="14"/>
        <v>2027</v>
      </c>
      <c r="K134">
        <f t="shared" si="14"/>
        <v>38</v>
      </c>
      <c r="N134" t="e">
        <f>#REF!*2-H134</f>
        <v>#REF!</v>
      </c>
      <c r="Q134" t="e">
        <f>#REF!+($N$142-#REF!)*(1/(1+EXP(-1*(J134-$J$124))))^1</f>
        <v>#REF!</v>
      </c>
    </row>
    <row r="135" spans="7:17" x14ac:dyDescent="0.25">
      <c r="G135">
        <v>23</v>
      </c>
      <c r="H135">
        <v>482.53100000000001</v>
      </c>
      <c r="J135">
        <f t="shared" si="14"/>
        <v>2028</v>
      </c>
      <c r="K135">
        <f t="shared" si="14"/>
        <v>39</v>
      </c>
      <c r="N135" t="e">
        <f>#REF!*2-H135</f>
        <v>#REF!</v>
      </c>
      <c r="Q135" t="e">
        <f>#REF!+($N$142-#REF!)*(1/(1+EXP(-1*(J135-$J$124))))^1</f>
        <v>#REF!</v>
      </c>
    </row>
    <row r="136" spans="7:17" x14ac:dyDescent="0.25">
      <c r="G136">
        <v>22</v>
      </c>
      <c r="H136">
        <v>482.81099999999998</v>
      </c>
      <c r="J136">
        <f t="shared" si="14"/>
        <v>2029</v>
      </c>
      <c r="K136">
        <f t="shared" si="14"/>
        <v>40</v>
      </c>
      <c r="N136" t="e">
        <f>#REF!*2-H136</f>
        <v>#REF!</v>
      </c>
      <c r="Q136" t="e">
        <f>#REF!+($N$142-#REF!)*(1/(1+EXP(-1*(J136-$J$124))))^1</f>
        <v>#REF!</v>
      </c>
    </row>
    <row r="137" spans="7:17" x14ac:dyDescent="0.25">
      <c r="G137">
        <v>21</v>
      </c>
      <c r="H137">
        <v>407.24400000000003</v>
      </c>
      <c r="J137">
        <f t="shared" si="14"/>
        <v>2030</v>
      </c>
      <c r="K137">
        <f t="shared" si="14"/>
        <v>41</v>
      </c>
      <c r="N137" t="e">
        <f>#REF!*2-H137</f>
        <v>#REF!</v>
      </c>
      <c r="Q137" t="e">
        <f>#REF!+($N$142-#REF!)*(1/(1+EXP(-1*(J137-$J$124))))^1</f>
        <v>#REF!</v>
      </c>
    </row>
    <row r="138" spans="7:17" x14ac:dyDescent="0.25">
      <c r="G138">
        <v>20</v>
      </c>
      <c r="H138">
        <v>348.80399999999997</v>
      </c>
      <c r="J138">
        <f t="shared" si="14"/>
        <v>2031</v>
      </c>
      <c r="K138">
        <f t="shared" si="14"/>
        <v>42</v>
      </c>
      <c r="N138" t="e">
        <f>#REF!*2-H138</f>
        <v>#REF!</v>
      </c>
      <c r="Q138" t="e">
        <f>#REF!+($N$142-#REF!)*(1/(1+EXP(-1*(J138-$J$124))))^1</f>
        <v>#REF!</v>
      </c>
    </row>
    <row r="139" spans="7:17" x14ac:dyDescent="0.25">
      <c r="G139">
        <v>19</v>
      </c>
      <c r="H139">
        <v>306.15100000000001</v>
      </c>
      <c r="J139">
        <f t="shared" si="14"/>
        <v>2032</v>
      </c>
      <c r="K139">
        <f t="shared" si="14"/>
        <v>43</v>
      </c>
      <c r="N139" t="e">
        <f>#REF!*2-H139</f>
        <v>#REF!</v>
      </c>
      <c r="Q139" t="e">
        <f>#REF!+($N$142-#REF!)*(1/(1+EXP(-1*(J139-$J$124))))^1</f>
        <v>#REF!</v>
      </c>
    </row>
    <row r="140" spans="7:17" x14ac:dyDescent="0.25">
      <c r="G140">
        <v>18</v>
      </c>
      <c r="H140">
        <v>307.25799999999998</v>
      </c>
      <c r="J140">
        <f t="shared" si="14"/>
        <v>2033</v>
      </c>
      <c r="K140">
        <f t="shared" si="14"/>
        <v>44</v>
      </c>
      <c r="N140" t="e">
        <f>#REF!*2-H140</f>
        <v>#REF!</v>
      </c>
      <c r="Q140" t="e">
        <f>#REF!+($N$142-#REF!)*(1/(1+EXP(-1*(J140-$J$124))))^1</f>
        <v>#REF!</v>
      </c>
    </row>
    <row r="141" spans="7:17" x14ac:dyDescent="0.25">
      <c r="G141">
        <v>17</v>
      </c>
      <c r="H141">
        <v>308.73899999999998</v>
      </c>
      <c r="J141">
        <f t="shared" si="14"/>
        <v>2034</v>
      </c>
      <c r="K141">
        <f t="shared" si="14"/>
        <v>45</v>
      </c>
      <c r="N141" t="e">
        <f>#REF!*2-H141</f>
        <v>#REF!</v>
      </c>
      <c r="Q141" t="e">
        <f>#REF!+($N$142-#REF!)*(1/(1+EXP(-1*(J141-$J$124))))^1</f>
        <v>#REF!</v>
      </c>
    </row>
    <row r="142" spans="7:17" x14ac:dyDescent="0.25">
      <c r="G142">
        <v>16</v>
      </c>
      <c r="H142">
        <v>303.56099999999998</v>
      </c>
      <c r="J142">
        <f t="shared" si="14"/>
        <v>2035</v>
      </c>
      <c r="K142">
        <f t="shared" si="14"/>
        <v>46</v>
      </c>
      <c r="N142" t="e">
        <f>#REF!*2-H142</f>
        <v>#REF!</v>
      </c>
      <c r="Q142" t="e">
        <f>#REF!+($N$142-#REF!)*(1/(1+EXP(-1*(J142-$J$124))))^1</f>
        <v>#REF!</v>
      </c>
    </row>
  </sheetData>
  <mergeCells count="3">
    <mergeCell ref="I3:K3"/>
    <mergeCell ref="D3:F3"/>
    <mergeCell ref="G3:H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62418f3-8967-42a1-91f5-8aa137fbcf65" xsi:nil="true"/>
    <lcf76f155ced4ddcb4097134ff3c332f xmlns="1fa5a077-4a93-48a7-9217-96ff940fe08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8331A7A67074A478E4DEB50568F0747" ma:contentTypeVersion="12" ma:contentTypeDescription="Opret et nyt dokument." ma:contentTypeScope="" ma:versionID="a1e86bcd7b00a3670fe7f90c0152ce35">
  <xsd:schema xmlns:xsd="http://www.w3.org/2001/XMLSchema" xmlns:xs="http://www.w3.org/2001/XMLSchema" xmlns:p="http://schemas.microsoft.com/office/2006/metadata/properties" xmlns:ns2="1fa5a077-4a93-48a7-9217-96ff940fe088" xmlns:ns3="262418f3-8967-42a1-91f5-8aa137fbcf65" targetNamespace="http://schemas.microsoft.com/office/2006/metadata/properties" ma:root="true" ma:fieldsID="3fd4310cff1c0468adc12803bd0fadfe" ns2:_="" ns3:_="">
    <xsd:import namespace="1fa5a077-4a93-48a7-9217-96ff940fe088"/>
    <xsd:import namespace="262418f3-8967-42a1-91f5-8aa137fbcf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a5a077-4a93-48a7-9217-96ff940fe0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418f3-8967-42a1-91f5-8aa137fbcf6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eed5283-a12c-4ab7-a850-5e2ba5083357}" ma:internalName="TaxCatchAll" ma:showField="CatchAllData" ma:web="262418f3-8967-42a1-91f5-8aa137fbcf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EDA6BE-81EB-4E59-89D7-E527A2295E12}">
  <ds:schemaRefs>
    <ds:schemaRef ds:uri="http://schemas.microsoft.com/office/2006/metadata/properties"/>
    <ds:schemaRef ds:uri="1fa5a077-4a93-48a7-9217-96ff940fe088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262418f3-8967-42a1-91f5-8aa137fbcf65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C8002C9-459B-4B7A-9F0A-1AAF2826CE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a5a077-4a93-48a7-9217-96ff940fe088"/>
    <ds:schemaRef ds:uri="262418f3-8967-42a1-91f5-8aa137fbcf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D88DED-A1A9-49EC-9762-27E77EF67D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Energy consumption</vt:lpstr>
      <vt:lpstr>Energy demand</vt:lpstr>
      <vt:lpstr>GDP vs energy demand</vt:lpstr>
      <vt:lpstr>Emissions</vt:lpstr>
      <vt:lpstr>Vehicle cost</vt:lpstr>
      <vt:lpstr>Vehicle number</vt:lpstr>
      <vt:lpstr>New registration heavy duty</vt:lpstr>
      <vt:lpstr>New registration light duty</vt:lpstr>
      <vt:lpstr>S-shaped curve</vt:lpstr>
      <vt:lpstr>Hoja1</vt:lpstr>
      <vt:lpstr>OVERLEAF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Gomez Delicado</dc:creator>
  <cp:lastModifiedBy>Frederik Skou Fertin</cp:lastModifiedBy>
  <dcterms:created xsi:type="dcterms:W3CDTF">2022-05-25T15:27:39Z</dcterms:created>
  <dcterms:modified xsi:type="dcterms:W3CDTF">2025-03-25T09:38:47Z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0x010100D8331A7A67074A478E4DEB50568F0747</vt:lpwstr>
  </property>
  <property fmtid="{D5CDD505-2E9C-101B-9397-08002B2CF9AE}" pid="3" name="MediaServiceImageTags">
    <vt:lpwstr/>
  </property>
</Properties>
</file>