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ka\Downloads\"/>
    </mc:Choice>
  </mc:AlternateContent>
  <xr:revisionPtr revIDLastSave="0" documentId="13_ncr:1_{0D269B71-345A-4886-A800-166DAEB9E024}" xr6:coauthVersionLast="47" xr6:coauthVersionMax="47" xr10:uidLastSave="{00000000-0000-0000-0000-000000000000}"/>
  <bookViews>
    <workbookView xWindow="-108" yWindow="-108" windowWidth="23256" windowHeight="14016" activeTab="2" xr2:uid="{19559F06-547F-4635-9403-D085AEE95DC0}"/>
  </bookViews>
  <sheets>
    <sheet name="case1 R32・INV・HP拡販" sheetId="20" r:id="rId1"/>
    <sheet name="case2　ワーストケース" sheetId="14" r:id="rId2"/>
    <sheet name="case3 他社" sheetId="26" r:id="rId3"/>
    <sheet name="case4他社" sheetId="28" r:id="rId4"/>
    <sheet name="⇒裏データcase1" sheetId="25" r:id="rId5"/>
    <sheet name="計算用case1" sheetId="21" r:id="rId6"/>
    <sheet name="機器台数case1" sheetId="22" r:id="rId7"/>
    <sheet name="ﾕﾆﾀﾘACcase1" sheetId="23" r:id="rId8"/>
    <sheet name="ﾕﾆﾀﾘHPcase1" sheetId="24" r:id="rId9"/>
    <sheet name="Sheet3" sheetId="10" state="hidden" r:id="rId10"/>
    <sheet name="シミュレーション (3)" sheetId="8" state="hidden" r:id="rId11"/>
    <sheet name="シミュレーション (2)" sheetId="7" state="hidden" r:id="rId12"/>
    <sheet name="シミュレーション" sheetId="6" state="hidden" r:id="rId13"/>
    <sheet name="⇒裏case2" sheetId="36" r:id="rId14"/>
    <sheet name="計算用2" sheetId="13" r:id="rId15"/>
    <sheet name="機器台数2" sheetId="11" r:id="rId16"/>
    <sheet name="ﾕﾆﾀﾘAC2" sheetId="12" r:id="rId17"/>
    <sheet name="ﾕﾆﾀﾘHP2" sheetId="3" r:id="rId18"/>
    <sheet name="⇒裏case3" sheetId="38" r:id="rId19"/>
    <sheet name="機器台数case３" sheetId="27" r:id="rId20"/>
    <sheet name="計算用case３" sheetId="32" r:id="rId21"/>
    <sheet name="ﾕﾆﾀﾘACcase３" sheetId="33" r:id="rId22"/>
    <sheet name="ﾕﾆﾀﾘHPcase３" sheetId="34" r:id="rId23"/>
    <sheet name="⇒裏case4" sheetId="37" r:id="rId24"/>
    <sheet name="計算用４" sheetId="29" r:id="rId25"/>
    <sheet name="機器台数４" sheetId="30" r:id="rId26"/>
    <sheet name="ﾕﾆﾀﾘAC４" sheetId="31" r:id="rId27"/>
    <sheet name="ﾕﾆﾀﾘHP４" sheetId="35" r:id="rId28"/>
    <sheet name="ﾕﾆﾀﾘAC" sheetId="1" state="hidden" r:id="rId29"/>
    <sheet name="業務用" sheetId="2" state="hidden" r:id="rId30"/>
    <sheet name="RA QA" sheetId="4" state="hidden" r:id="rId31"/>
  </sheets>
  <externalReferences>
    <externalReference r:id="rId32"/>
    <externalReference r:id="rId3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6" i="27" l="1"/>
  <c r="O6" i="27"/>
  <c r="M6" i="27"/>
  <c r="K6" i="27"/>
  <c r="I6" i="27"/>
  <c r="T22" i="26"/>
  <c r="S22" i="26"/>
  <c r="D8" i="21"/>
  <c r="S7" i="11" l="1"/>
  <c r="R6" i="11"/>
  <c r="S15" i="20"/>
  <c r="E9" i="26"/>
  <c r="F3" i="26"/>
  <c r="H3" i="35"/>
  <c r="I3" i="35"/>
  <c r="M3" i="35"/>
  <c r="N3" i="35"/>
  <c r="R3" i="35"/>
  <c r="S3" i="35"/>
  <c r="W3" i="35"/>
  <c r="X3" i="35"/>
  <c r="AB3" i="35"/>
  <c r="AC3" i="35"/>
  <c r="AG3" i="35"/>
  <c r="AH3" i="35"/>
  <c r="AL3" i="35"/>
  <c r="AM3" i="35"/>
  <c r="AQ3" i="35"/>
  <c r="AR3" i="35"/>
  <c r="D4" i="35"/>
  <c r="D5" i="35"/>
  <c r="A6" i="35"/>
  <c r="D6" i="35"/>
  <c r="D7" i="35"/>
  <c r="D8" i="35"/>
  <c r="D9" i="35"/>
  <c r="D10" i="35"/>
  <c r="D11" i="35"/>
  <c r="H11" i="35"/>
  <c r="I11" i="35"/>
  <c r="M11" i="35"/>
  <c r="N11" i="35"/>
  <c r="R11" i="35"/>
  <c r="S11" i="35"/>
  <c r="W11" i="35"/>
  <c r="X11" i="35"/>
  <c r="AB11" i="35"/>
  <c r="AC11" i="35"/>
  <c r="AG11" i="35"/>
  <c r="AH11" i="35"/>
  <c r="AL11" i="35"/>
  <c r="AM11" i="35"/>
  <c r="AQ11" i="35"/>
  <c r="AR11" i="35"/>
  <c r="D12" i="35"/>
  <c r="G12" i="35"/>
  <c r="L12" i="35"/>
  <c r="Q12" i="35"/>
  <c r="V12" i="35"/>
  <c r="AA12" i="35"/>
  <c r="AP12" i="35"/>
  <c r="D13" i="35"/>
  <c r="A14" i="35"/>
  <c r="F12" i="35" s="1"/>
  <c r="D14" i="35"/>
  <c r="D15" i="35"/>
  <c r="F15" i="35"/>
  <c r="D16" i="35"/>
  <c r="F16" i="35"/>
  <c r="H16" i="35"/>
  <c r="J16" i="35" s="1"/>
  <c r="I16" i="35"/>
  <c r="K16" i="35" s="1"/>
  <c r="M16" i="35"/>
  <c r="O16" i="35" s="1"/>
  <c r="N16" i="35"/>
  <c r="P16" i="35" s="1"/>
  <c r="R16" i="35"/>
  <c r="T16" i="35" s="1"/>
  <c r="S16" i="35"/>
  <c r="U16" i="35" s="1"/>
  <c r="W16" i="35"/>
  <c r="Y16" i="35" s="1"/>
  <c r="X16" i="35"/>
  <c r="Z16" i="35" s="1"/>
  <c r="AB16" i="35"/>
  <c r="AD16" i="35" s="1"/>
  <c r="AC16" i="35"/>
  <c r="AE16" i="35" s="1"/>
  <c r="AG16" i="35"/>
  <c r="AI16" i="35" s="1"/>
  <c r="AH16" i="35"/>
  <c r="AJ16" i="35" s="1"/>
  <c r="AL16" i="35"/>
  <c r="AN16" i="35" s="1"/>
  <c r="AM16" i="35"/>
  <c r="AO16" i="35" s="1"/>
  <c r="AQ16" i="35"/>
  <c r="AS16" i="35" s="1"/>
  <c r="AR16" i="35"/>
  <c r="AT16" i="35" s="1"/>
  <c r="D17" i="35"/>
  <c r="F17" i="35"/>
  <c r="D18" i="35"/>
  <c r="F18" i="35"/>
  <c r="H18" i="35"/>
  <c r="J18" i="35" s="1"/>
  <c r="I18" i="35"/>
  <c r="K18" i="35" s="1"/>
  <c r="M18" i="35"/>
  <c r="O18" i="35" s="1"/>
  <c r="N18" i="35"/>
  <c r="P18" i="35" s="1"/>
  <c r="R18" i="35"/>
  <c r="T18" i="35" s="1"/>
  <c r="S18" i="35"/>
  <c r="U18" i="35" s="1"/>
  <c r="W18" i="35"/>
  <c r="Y18" i="35" s="1"/>
  <c r="X18" i="35"/>
  <c r="Z18" i="35" s="1"/>
  <c r="AB18" i="35"/>
  <c r="AD18" i="35" s="1"/>
  <c r="AC18" i="35"/>
  <c r="AE18" i="35" s="1"/>
  <c r="AG18" i="35"/>
  <c r="AI18" i="35" s="1"/>
  <c r="AH18" i="35"/>
  <c r="AJ18" i="35" s="1"/>
  <c r="AL18" i="35"/>
  <c r="AN18" i="35" s="1"/>
  <c r="AM18" i="35"/>
  <c r="AO18" i="35" s="1"/>
  <c r="AQ18" i="35"/>
  <c r="AS18" i="35" s="1"/>
  <c r="AR18" i="35"/>
  <c r="AT18" i="35" s="1"/>
  <c r="D19" i="35"/>
  <c r="H19" i="35"/>
  <c r="H21" i="35" s="1"/>
  <c r="J21" i="35" s="1"/>
  <c r="I19" i="35"/>
  <c r="M19" i="35"/>
  <c r="N19" i="35"/>
  <c r="R19" i="35"/>
  <c r="R21" i="35" s="1"/>
  <c r="T21" i="35" s="1"/>
  <c r="S19" i="35"/>
  <c r="W19" i="35"/>
  <c r="X19" i="35"/>
  <c r="AB19" i="35"/>
  <c r="AB21" i="35" s="1"/>
  <c r="AD21" i="35" s="1"/>
  <c r="AC19" i="35"/>
  <c r="AG19" i="35"/>
  <c r="AH19" i="35"/>
  <c r="AL19" i="35"/>
  <c r="AL21" i="35" s="1"/>
  <c r="AN21" i="35" s="1"/>
  <c r="AM19" i="35"/>
  <c r="AQ19" i="35"/>
  <c r="AR19" i="35"/>
  <c r="D20" i="35"/>
  <c r="N20" i="35"/>
  <c r="X20" i="35"/>
  <c r="AC20" i="35"/>
  <c r="AM20" i="35"/>
  <c r="AO20" i="35"/>
  <c r="AR20" i="35"/>
  <c r="AT20" i="35"/>
  <c r="D21" i="35"/>
  <c r="F21" i="35"/>
  <c r="I21" i="35"/>
  <c r="K21" i="35" s="1"/>
  <c r="N21" i="35"/>
  <c r="P21" i="35" s="1"/>
  <c r="S21" i="35"/>
  <c r="U21" i="35" s="1"/>
  <c r="X21" i="35"/>
  <c r="Z21" i="35" s="1"/>
  <c r="AC21" i="35"/>
  <c r="AE21" i="35" s="1"/>
  <c r="AH21" i="35"/>
  <c r="AJ21" i="35" s="1"/>
  <c r="AM21" i="35"/>
  <c r="AO21" i="35" s="1"/>
  <c r="AR21" i="35"/>
  <c r="AT21" i="35" s="1"/>
  <c r="A22" i="35"/>
  <c r="F20" i="35" s="1"/>
  <c r="D22" i="35"/>
  <c r="F22" i="35"/>
  <c r="H22" i="35"/>
  <c r="J22" i="35"/>
  <c r="R22" i="35"/>
  <c r="T22" i="35"/>
  <c r="AB22" i="35"/>
  <c r="AC22" i="35"/>
  <c r="AD22" i="35"/>
  <c r="AH22" i="35"/>
  <c r="AL22" i="35"/>
  <c r="AM22" i="35"/>
  <c r="AN22" i="35"/>
  <c r="AR22" i="35"/>
  <c r="D23" i="35"/>
  <c r="F23" i="35"/>
  <c r="D24" i="35"/>
  <c r="H24" i="35"/>
  <c r="I24" i="35"/>
  <c r="M24" i="35"/>
  <c r="R24" i="35"/>
  <c r="S24" i="35"/>
  <c r="W24" i="35"/>
  <c r="X24" i="35"/>
  <c r="AB24" i="35"/>
  <c r="AC24" i="35"/>
  <c r="AG24" i="35"/>
  <c r="AH24" i="35"/>
  <c r="AL24" i="35"/>
  <c r="AM24" i="35"/>
  <c r="AQ24" i="35"/>
  <c r="AR24" i="35"/>
  <c r="D25" i="35"/>
  <c r="D26" i="35"/>
  <c r="A27" i="35"/>
  <c r="F27" i="35" s="1"/>
  <c r="S27" i="35" s="1"/>
  <c r="U27" i="35" s="1"/>
  <c r="D27" i="35"/>
  <c r="AC27" i="35"/>
  <c r="AE27" i="35" s="1"/>
  <c r="AM27" i="35"/>
  <c r="AO27" i="35" s="1"/>
  <c r="D28" i="35"/>
  <c r="D29" i="35"/>
  <c r="D30" i="35"/>
  <c r="D31" i="35"/>
  <c r="D32" i="35"/>
  <c r="H32" i="35"/>
  <c r="I32" i="35"/>
  <c r="M32" i="35"/>
  <c r="R32" i="35"/>
  <c r="S32" i="35"/>
  <c r="W32" i="35"/>
  <c r="X32" i="35"/>
  <c r="AB32" i="35"/>
  <c r="AC32" i="35"/>
  <c r="AG32" i="35"/>
  <c r="AH32" i="35"/>
  <c r="AL32" i="35"/>
  <c r="AM32" i="35"/>
  <c r="AM33" i="35" s="1"/>
  <c r="AO33" i="35" s="1"/>
  <c r="AQ32" i="35"/>
  <c r="AR32" i="35"/>
  <c r="AR33" i="35" s="1"/>
  <c r="AT33" i="35" s="1"/>
  <c r="D33" i="35"/>
  <c r="K33" i="35" s="1"/>
  <c r="E33" i="35"/>
  <c r="H33" i="35"/>
  <c r="I33" i="35"/>
  <c r="M33" i="35"/>
  <c r="O33" i="35" s="1"/>
  <c r="N33" i="35"/>
  <c r="R33" i="35"/>
  <c r="T33" i="35" s="1"/>
  <c r="S33" i="35"/>
  <c r="W33" i="35"/>
  <c r="Y33" i="35" s="1"/>
  <c r="X33" i="35"/>
  <c r="AB33" i="35"/>
  <c r="AD33" i="35" s="1"/>
  <c r="AC33" i="35"/>
  <c r="AG33" i="35"/>
  <c r="AI33" i="35" s="1"/>
  <c r="AH33" i="35"/>
  <c r="AJ33" i="35"/>
  <c r="AL33" i="35"/>
  <c r="AN33" i="35"/>
  <c r="AQ33" i="35"/>
  <c r="AS33" i="35"/>
  <c r="D34" i="35"/>
  <c r="K34" i="35" s="1"/>
  <c r="E34" i="35"/>
  <c r="H34" i="35"/>
  <c r="J34" i="35" s="1"/>
  <c r="I34" i="35"/>
  <c r="M34" i="35"/>
  <c r="O34" i="35" s="1"/>
  <c r="N34" i="35"/>
  <c r="R34" i="35"/>
  <c r="T34" i="35" s="1"/>
  <c r="S34" i="35"/>
  <c r="W34" i="35"/>
  <c r="Y34" i="35" s="1"/>
  <c r="X34" i="35"/>
  <c r="AB34" i="35"/>
  <c r="AD34" i="35" s="1"/>
  <c r="AC34" i="35"/>
  <c r="AG34" i="35"/>
  <c r="AI34" i="35" s="1"/>
  <c r="AH34" i="35"/>
  <c r="AL34" i="35"/>
  <c r="AM34" i="35"/>
  <c r="AQ34" i="35"/>
  <c r="AS34" i="35" s="1"/>
  <c r="AR34" i="35"/>
  <c r="D35" i="35"/>
  <c r="E35" i="35"/>
  <c r="I35" i="35"/>
  <c r="M35" i="35"/>
  <c r="N35" i="35"/>
  <c r="O35" i="35"/>
  <c r="R35" i="35"/>
  <c r="S35" i="35"/>
  <c r="T35" i="35"/>
  <c r="W35" i="35"/>
  <c r="X35" i="35"/>
  <c r="Y35" i="35"/>
  <c r="AB35" i="35"/>
  <c r="AC35" i="35"/>
  <c r="AD35" i="35"/>
  <c r="AG35" i="35"/>
  <c r="AH35" i="35"/>
  <c r="AI35" i="35"/>
  <c r="AL35" i="35"/>
  <c r="AM35" i="35"/>
  <c r="AN35" i="35"/>
  <c r="AQ35" i="35"/>
  <c r="AR35" i="35"/>
  <c r="AS35" i="35"/>
  <c r="D36" i="35"/>
  <c r="K36" i="35" s="1"/>
  <c r="E36" i="35"/>
  <c r="I36" i="35"/>
  <c r="M36" i="35"/>
  <c r="O36" i="35" s="1"/>
  <c r="N36" i="35"/>
  <c r="R36" i="35"/>
  <c r="T36" i="35" s="1"/>
  <c r="S36" i="35"/>
  <c r="W36" i="35"/>
  <c r="Y36" i="35" s="1"/>
  <c r="X36" i="35"/>
  <c r="AB36" i="35"/>
  <c r="AD36" i="35" s="1"/>
  <c r="AC36" i="35"/>
  <c r="AG36" i="35"/>
  <c r="AI36" i="35" s="1"/>
  <c r="AH36" i="35"/>
  <c r="AL36" i="35"/>
  <c r="AN36" i="35" s="1"/>
  <c r="AM36" i="35"/>
  <c r="AQ36" i="35"/>
  <c r="AS36" i="35" s="1"/>
  <c r="AR36" i="35"/>
  <c r="D37" i="35"/>
  <c r="E37" i="35"/>
  <c r="I37" i="35"/>
  <c r="M37" i="35"/>
  <c r="N37" i="35"/>
  <c r="O37" i="35"/>
  <c r="R37" i="35"/>
  <c r="S37" i="35"/>
  <c r="T37" i="35"/>
  <c r="W37" i="35"/>
  <c r="X37" i="35"/>
  <c r="Y37" i="35"/>
  <c r="AB37" i="35"/>
  <c r="AC37" i="35"/>
  <c r="AD37" i="35"/>
  <c r="AG37" i="35"/>
  <c r="AH37" i="35"/>
  <c r="AI37" i="35"/>
  <c r="AL37" i="35"/>
  <c r="AM37" i="35"/>
  <c r="AN37" i="35"/>
  <c r="AQ37" i="35"/>
  <c r="AR37" i="35"/>
  <c r="AS37" i="35"/>
  <c r="D38" i="35"/>
  <c r="K38" i="35" s="1"/>
  <c r="E38" i="35"/>
  <c r="H38" i="35"/>
  <c r="J38" i="35" s="1"/>
  <c r="I38" i="35"/>
  <c r="M38" i="35"/>
  <c r="O38" i="35" s="1"/>
  <c r="N38" i="35"/>
  <c r="R38" i="35"/>
  <c r="T38" i="35" s="1"/>
  <c r="S38" i="35"/>
  <c r="W38" i="35"/>
  <c r="Y38" i="35" s="1"/>
  <c r="X38" i="35"/>
  <c r="AB38" i="35"/>
  <c r="AD38" i="35" s="1"/>
  <c r="AC38" i="35"/>
  <c r="AG38" i="35"/>
  <c r="AI38" i="35" s="1"/>
  <c r="AH38" i="35"/>
  <c r="AL38" i="35"/>
  <c r="AN38" i="35" s="1"/>
  <c r="AM38" i="35"/>
  <c r="AQ38" i="35"/>
  <c r="AS38" i="35" s="1"/>
  <c r="AR38" i="35"/>
  <c r="D39" i="35"/>
  <c r="E39" i="35"/>
  <c r="I39" i="35"/>
  <c r="M39" i="35"/>
  <c r="N39" i="35"/>
  <c r="O39" i="35"/>
  <c r="R39" i="35"/>
  <c r="S39" i="35"/>
  <c r="T39" i="35"/>
  <c r="W39" i="35"/>
  <c r="X39" i="35"/>
  <c r="Y39" i="35"/>
  <c r="AB39" i="35"/>
  <c r="AC39" i="35"/>
  <c r="AD39" i="35"/>
  <c r="AG39" i="35"/>
  <c r="AH39" i="35"/>
  <c r="AI39" i="35"/>
  <c r="AL39" i="35"/>
  <c r="AM39" i="35"/>
  <c r="AN39" i="35"/>
  <c r="AQ39" i="35"/>
  <c r="AR39" i="35"/>
  <c r="AS39" i="35"/>
  <c r="D40" i="35"/>
  <c r="H40" i="35"/>
  <c r="I40" i="35"/>
  <c r="M40" i="35"/>
  <c r="R40" i="35"/>
  <c r="S40" i="35"/>
  <c r="W40" i="35"/>
  <c r="X40" i="35"/>
  <c r="AB40" i="35"/>
  <c r="AC40" i="35"/>
  <c r="AG40" i="35"/>
  <c r="AH40" i="35"/>
  <c r="AL40" i="35"/>
  <c r="AM40" i="35"/>
  <c r="AQ40" i="35"/>
  <c r="AR40" i="35"/>
  <c r="D41" i="35"/>
  <c r="D42" i="35"/>
  <c r="A43" i="35"/>
  <c r="D43" i="35"/>
  <c r="D44" i="35"/>
  <c r="D45" i="35"/>
  <c r="H45" i="35"/>
  <c r="I45" i="35"/>
  <c r="I50" i="35" s="1"/>
  <c r="M45" i="35"/>
  <c r="R45" i="35"/>
  <c r="S45" i="35"/>
  <c r="W45" i="35"/>
  <c r="X45" i="35"/>
  <c r="AB45" i="35"/>
  <c r="AC45" i="35"/>
  <c r="AG45" i="35"/>
  <c r="AH45" i="35"/>
  <c r="AL45" i="35"/>
  <c r="AM45" i="35"/>
  <c r="AQ45" i="35"/>
  <c r="AR45" i="35"/>
  <c r="D46" i="35"/>
  <c r="A47" i="35"/>
  <c r="D47" i="35"/>
  <c r="F47" i="35"/>
  <c r="N47" i="35"/>
  <c r="P47" i="35" s="1"/>
  <c r="S47" i="35"/>
  <c r="U47" i="35"/>
  <c r="X47" i="35"/>
  <c r="Z47" i="35" s="1"/>
  <c r="AC47" i="35"/>
  <c r="AE47" i="35"/>
  <c r="AH47" i="35"/>
  <c r="AJ47" i="35" s="1"/>
  <c r="AM47" i="35"/>
  <c r="AO47" i="35"/>
  <c r="AR47" i="35"/>
  <c r="AT47" i="35" s="1"/>
  <c r="D48" i="35"/>
  <c r="D49" i="35"/>
  <c r="D50" i="35"/>
  <c r="E50" i="35"/>
  <c r="F50" i="35"/>
  <c r="M50" i="35"/>
  <c r="N50" i="35"/>
  <c r="R50" i="35"/>
  <c r="R52" i="35" s="1"/>
  <c r="S50" i="35"/>
  <c r="W50" i="35"/>
  <c r="X50" i="35"/>
  <c r="AB50" i="35"/>
  <c r="AB52" i="35" s="1"/>
  <c r="AC50" i="35"/>
  <c r="AG50" i="35"/>
  <c r="AH50" i="35"/>
  <c r="AL50" i="35"/>
  <c r="AL52" i="35" s="1"/>
  <c r="AM50" i="35"/>
  <c r="AQ50" i="35"/>
  <c r="AR50" i="35"/>
  <c r="D51" i="35"/>
  <c r="E51" i="35"/>
  <c r="D52" i="35"/>
  <c r="W52" i="35"/>
  <c r="AG52" i="35"/>
  <c r="AQ52" i="35"/>
  <c r="D53" i="35"/>
  <c r="E53" i="35"/>
  <c r="H3" i="34"/>
  <c r="I3" i="34"/>
  <c r="M3" i="34"/>
  <c r="N3" i="34"/>
  <c r="AQ3" i="34"/>
  <c r="AR3" i="34"/>
  <c r="D4" i="34"/>
  <c r="D5" i="34"/>
  <c r="A6" i="34"/>
  <c r="D6" i="34"/>
  <c r="D7" i="34"/>
  <c r="D8" i="34"/>
  <c r="D9" i="34"/>
  <c r="D10" i="34"/>
  <c r="D11" i="34"/>
  <c r="H11" i="34"/>
  <c r="I11" i="34"/>
  <c r="M11" i="34"/>
  <c r="N11" i="34"/>
  <c r="AQ11" i="34"/>
  <c r="AR11" i="34"/>
  <c r="D12" i="34"/>
  <c r="G12" i="34"/>
  <c r="L12" i="34"/>
  <c r="V12" i="34"/>
  <c r="AA12" i="34"/>
  <c r="AP12" i="34"/>
  <c r="D13" i="34"/>
  <c r="F13" i="34"/>
  <c r="M13" i="34"/>
  <c r="O13" i="34" s="1"/>
  <c r="A14" i="34"/>
  <c r="F12" i="34" s="1"/>
  <c r="D14" i="34"/>
  <c r="F14" i="34"/>
  <c r="AR14" i="34"/>
  <c r="AT14" i="34" s="1"/>
  <c r="D15" i="34"/>
  <c r="D16" i="34"/>
  <c r="F16" i="34"/>
  <c r="D17" i="34"/>
  <c r="D18" i="34"/>
  <c r="F18" i="34"/>
  <c r="H18" i="34"/>
  <c r="J18" i="34" s="1"/>
  <c r="M18" i="34"/>
  <c r="O18" i="34"/>
  <c r="D19" i="34"/>
  <c r="H19" i="34"/>
  <c r="I19" i="34"/>
  <c r="M19" i="34"/>
  <c r="N19" i="34"/>
  <c r="AQ19" i="34"/>
  <c r="AR19" i="34"/>
  <c r="D20" i="34"/>
  <c r="D21" i="34"/>
  <c r="I21" i="34"/>
  <c r="K21" i="34"/>
  <c r="N21" i="34"/>
  <c r="P21" i="34"/>
  <c r="S21" i="34"/>
  <c r="U21" i="34"/>
  <c r="A22" i="34"/>
  <c r="F23" i="34" s="1"/>
  <c r="D22" i="34"/>
  <c r="F22" i="34"/>
  <c r="D23" i="34"/>
  <c r="I23" i="34"/>
  <c r="M23" i="34"/>
  <c r="O23" i="34"/>
  <c r="S23" i="34"/>
  <c r="AQ23" i="34"/>
  <c r="AS23" i="34" s="1"/>
  <c r="D24" i="34"/>
  <c r="H24" i="34"/>
  <c r="I24" i="34"/>
  <c r="M24" i="34"/>
  <c r="AQ24" i="34"/>
  <c r="AQ25" i="34" s="1"/>
  <c r="AS25" i="34" s="1"/>
  <c r="AR24" i="34"/>
  <c r="D25" i="34"/>
  <c r="F25" i="34"/>
  <c r="D26" i="34"/>
  <c r="F26" i="34"/>
  <c r="N26" i="34" s="1"/>
  <c r="P26" i="34" s="1"/>
  <c r="AR26" i="34"/>
  <c r="AT26" i="34" s="1"/>
  <c r="A27" i="34"/>
  <c r="D27" i="34"/>
  <c r="F27" i="34"/>
  <c r="H27" i="34"/>
  <c r="J27" i="34" s="1"/>
  <c r="M27" i="34"/>
  <c r="O27" i="34"/>
  <c r="D28" i="34"/>
  <c r="F28" i="34"/>
  <c r="N28" i="34"/>
  <c r="P28" i="34" s="1"/>
  <c r="D29" i="34"/>
  <c r="F29" i="34"/>
  <c r="N29" i="34"/>
  <c r="P29" i="34" s="1"/>
  <c r="D30" i="34"/>
  <c r="F30" i="34"/>
  <c r="I30" i="34"/>
  <c r="K30" i="34" s="1"/>
  <c r="M30" i="34"/>
  <c r="O30" i="34" s="1"/>
  <c r="AQ30" i="34"/>
  <c r="AS30" i="34" s="1"/>
  <c r="AR30" i="34"/>
  <c r="AT30" i="34"/>
  <c r="D31" i="34"/>
  <c r="F31" i="34"/>
  <c r="D32" i="34"/>
  <c r="H32" i="34"/>
  <c r="H33" i="34" s="1"/>
  <c r="I32" i="34"/>
  <c r="M32" i="34"/>
  <c r="W32" i="34"/>
  <c r="X32" i="34"/>
  <c r="AB32" i="34"/>
  <c r="AC32" i="34"/>
  <c r="AG32" i="34"/>
  <c r="AH32" i="34"/>
  <c r="AL32" i="34"/>
  <c r="AM32" i="34"/>
  <c r="AQ32" i="34"/>
  <c r="AR32" i="34"/>
  <c r="D33" i="34"/>
  <c r="E33" i="34"/>
  <c r="I33" i="34"/>
  <c r="M33" i="34"/>
  <c r="O33" i="34" s="1"/>
  <c r="N33" i="34"/>
  <c r="X33" i="34"/>
  <c r="AC33" i="34"/>
  <c r="AH33" i="34"/>
  <c r="AM33" i="34"/>
  <c r="AR33" i="34"/>
  <c r="D34" i="34"/>
  <c r="E34" i="34"/>
  <c r="H34" i="34"/>
  <c r="J34" i="34" s="1"/>
  <c r="I34" i="34"/>
  <c r="K34" i="34"/>
  <c r="M34" i="34"/>
  <c r="O34" i="34" s="1"/>
  <c r="N34" i="34"/>
  <c r="P34" i="34"/>
  <c r="X34" i="34"/>
  <c r="Z34" i="34"/>
  <c r="AC34" i="34"/>
  <c r="AE34" i="34"/>
  <c r="AH34" i="34"/>
  <c r="AJ34" i="34"/>
  <c r="AM34" i="34"/>
  <c r="AO34" i="34"/>
  <c r="AR34" i="34"/>
  <c r="AT34" i="34"/>
  <c r="D35" i="34"/>
  <c r="E35" i="34"/>
  <c r="I35" i="34"/>
  <c r="K35" i="34" s="1"/>
  <c r="M35" i="34"/>
  <c r="N35" i="34"/>
  <c r="P35" i="34" s="1"/>
  <c r="O35" i="34"/>
  <c r="X35" i="34"/>
  <c r="Z35" i="34" s="1"/>
  <c r="AC35" i="34"/>
  <c r="AE35" i="34" s="1"/>
  <c r="AH35" i="34"/>
  <c r="AJ35" i="34" s="1"/>
  <c r="AM35" i="34"/>
  <c r="AO35" i="34" s="1"/>
  <c r="AR35" i="34"/>
  <c r="AT35" i="34" s="1"/>
  <c r="D36" i="34"/>
  <c r="E36" i="34"/>
  <c r="H36" i="34"/>
  <c r="J36" i="34" s="1"/>
  <c r="I36" i="34"/>
  <c r="K36" i="34"/>
  <c r="M36" i="34"/>
  <c r="O36" i="34" s="1"/>
  <c r="N36" i="34"/>
  <c r="P36" i="34"/>
  <c r="X36" i="34"/>
  <c r="Z36" i="34"/>
  <c r="AC36" i="34"/>
  <c r="AE36" i="34"/>
  <c r="AH36" i="34"/>
  <c r="AJ36" i="34"/>
  <c r="AM36" i="34"/>
  <c r="AO36" i="34"/>
  <c r="AR36" i="34"/>
  <c r="AT36" i="34"/>
  <c r="D37" i="34"/>
  <c r="E37" i="34"/>
  <c r="I37" i="34"/>
  <c r="K37" i="34" s="1"/>
  <c r="M37" i="34"/>
  <c r="N37" i="34"/>
  <c r="P37" i="34" s="1"/>
  <c r="O37" i="34"/>
  <c r="X37" i="34"/>
  <c r="Z37" i="34" s="1"/>
  <c r="AC37" i="34"/>
  <c r="AE37" i="34" s="1"/>
  <c r="AH37" i="34"/>
  <c r="AJ37" i="34" s="1"/>
  <c r="AM37" i="34"/>
  <c r="AO37" i="34" s="1"/>
  <c r="AR37" i="34"/>
  <c r="AT37" i="34" s="1"/>
  <c r="D38" i="34"/>
  <c r="E38" i="34"/>
  <c r="H38" i="34"/>
  <c r="J38" i="34" s="1"/>
  <c r="I38" i="34"/>
  <c r="K38" i="34"/>
  <c r="M38" i="34"/>
  <c r="O38" i="34" s="1"/>
  <c r="N38" i="34"/>
  <c r="P38" i="34"/>
  <c r="X38" i="34"/>
  <c r="Z38" i="34"/>
  <c r="AC38" i="34"/>
  <c r="AE38" i="34"/>
  <c r="AH38" i="34"/>
  <c r="AJ38" i="34"/>
  <c r="AM38" i="34"/>
  <c r="AO38" i="34"/>
  <c r="AR38" i="34"/>
  <c r="AT38" i="34"/>
  <c r="D39" i="34"/>
  <c r="E39" i="34"/>
  <c r="I39" i="34"/>
  <c r="K39" i="34" s="1"/>
  <c r="M39" i="34"/>
  <c r="N39" i="34"/>
  <c r="P39" i="34" s="1"/>
  <c r="O39" i="34"/>
  <c r="X39" i="34"/>
  <c r="Z39" i="34" s="1"/>
  <c r="AC39" i="34"/>
  <c r="AE39" i="34" s="1"/>
  <c r="AH39" i="34"/>
  <c r="AJ39" i="34" s="1"/>
  <c r="AM39" i="34"/>
  <c r="AO39" i="34" s="1"/>
  <c r="AR39" i="34"/>
  <c r="AT39" i="34" s="1"/>
  <c r="D40" i="34"/>
  <c r="H40" i="34"/>
  <c r="I40" i="34"/>
  <c r="M40" i="34"/>
  <c r="AQ40" i="34"/>
  <c r="AR40" i="34"/>
  <c r="D41" i="34"/>
  <c r="D42" i="34"/>
  <c r="F42" i="34"/>
  <c r="I42" i="34"/>
  <c r="K42" i="34" s="1"/>
  <c r="AR42" i="34"/>
  <c r="AT42" i="34"/>
  <c r="A43" i="34"/>
  <c r="F41" i="34" s="1"/>
  <c r="D43" i="34"/>
  <c r="D44" i="34"/>
  <c r="P44" i="34" s="1"/>
  <c r="F44" i="34"/>
  <c r="I44" i="34"/>
  <c r="K44" i="34" s="1"/>
  <c r="N44" i="34"/>
  <c r="D45" i="34"/>
  <c r="H45" i="34"/>
  <c r="I45" i="34"/>
  <c r="M45" i="34"/>
  <c r="AQ45" i="34"/>
  <c r="AR45" i="34"/>
  <c r="D46" i="34"/>
  <c r="M46" i="34"/>
  <c r="O46" i="34" s="1"/>
  <c r="AR46" i="34"/>
  <c r="AT46" i="34" s="1"/>
  <c r="A47" i="34"/>
  <c r="F46" i="34" s="1"/>
  <c r="D47" i="34"/>
  <c r="F47" i="34"/>
  <c r="H47" i="34"/>
  <c r="J47" i="34"/>
  <c r="M47" i="34"/>
  <c r="O47" i="34"/>
  <c r="AQ47" i="34"/>
  <c r="AS47" i="34"/>
  <c r="D48" i="34"/>
  <c r="F48" i="34"/>
  <c r="H48" i="34" s="1"/>
  <c r="J48" i="34" s="1"/>
  <c r="D49" i="34"/>
  <c r="F49" i="34"/>
  <c r="I49" i="34"/>
  <c r="K49" i="34" s="1"/>
  <c r="N49" i="34"/>
  <c r="P49" i="34"/>
  <c r="AR49" i="34"/>
  <c r="AT49" i="34" s="1"/>
  <c r="D50" i="34"/>
  <c r="E50" i="34"/>
  <c r="E51" i="34" s="1"/>
  <c r="H50" i="34"/>
  <c r="M50" i="34"/>
  <c r="N50" i="34"/>
  <c r="AQ50" i="34"/>
  <c r="AQ52" i="34" s="1"/>
  <c r="AR50" i="34"/>
  <c r="D51" i="34"/>
  <c r="D52" i="34"/>
  <c r="D53" i="34"/>
  <c r="E53" i="34"/>
  <c r="G2" i="33"/>
  <c r="I3" i="33" s="1"/>
  <c r="I10" i="33" s="1"/>
  <c r="K10" i="33" s="1"/>
  <c r="L2" i="33"/>
  <c r="R2" i="33"/>
  <c r="W2" i="33"/>
  <c r="AL2" i="33"/>
  <c r="AQ2" i="33"/>
  <c r="H3" i="33"/>
  <c r="M3" i="33"/>
  <c r="N3" i="33"/>
  <c r="S3" i="33"/>
  <c r="AB3" i="33"/>
  <c r="AG3" i="33"/>
  <c r="AL3" i="33"/>
  <c r="AQ3" i="33"/>
  <c r="AR3" i="33"/>
  <c r="AS3" i="33"/>
  <c r="D4" i="33"/>
  <c r="H4" i="33"/>
  <c r="J4" i="33" s="1"/>
  <c r="M4" i="33"/>
  <c r="O4" i="33" s="1"/>
  <c r="N4" i="33"/>
  <c r="P4" i="33" s="1"/>
  <c r="Q4" i="33"/>
  <c r="S4" i="33"/>
  <c r="T4" i="33"/>
  <c r="U4" i="33"/>
  <c r="V4" i="33"/>
  <c r="AD4" i="33"/>
  <c r="AF4" i="33" s="1"/>
  <c r="AR4" i="33"/>
  <c r="AT4" i="33"/>
  <c r="D5" i="33"/>
  <c r="H5" i="33"/>
  <c r="J5" i="33" s="1"/>
  <c r="M5" i="33"/>
  <c r="O5" i="33" s="1"/>
  <c r="N5" i="33"/>
  <c r="P5" i="33" s="1"/>
  <c r="Q5" i="33"/>
  <c r="S5" i="33"/>
  <c r="T5" i="33"/>
  <c r="U5" i="33"/>
  <c r="V5" i="33"/>
  <c r="AD5" i="33"/>
  <c r="AF5" i="33" s="1"/>
  <c r="AR5" i="33"/>
  <c r="AQ4" i="33" s="1"/>
  <c r="AS5" i="33"/>
  <c r="AU5" i="33" s="1"/>
  <c r="AT5" i="33"/>
  <c r="A6" i="33"/>
  <c r="D6" i="33"/>
  <c r="P6" i="33" s="1"/>
  <c r="H6" i="33"/>
  <c r="J6" i="33" s="1"/>
  <c r="M6" i="33"/>
  <c r="O6" i="33" s="1"/>
  <c r="N6" i="33"/>
  <c r="Q6" i="33"/>
  <c r="S6" i="33"/>
  <c r="T6" i="33"/>
  <c r="U6" i="33"/>
  <c r="AD6" i="33"/>
  <c r="AR6" i="33"/>
  <c r="AT6" i="33"/>
  <c r="D7" i="33"/>
  <c r="H7" i="33"/>
  <c r="J7" i="33" s="1"/>
  <c r="M7" i="33"/>
  <c r="O7" i="33" s="1"/>
  <c r="N7" i="33"/>
  <c r="P7" i="33" s="1"/>
  <c r="Q7" i="33"/>
  <c r="S7" i="33"/>
  <c r="T7" i="33"/>
  <c r="V7" i="33"/>
  <c r="AD7" i="33"/>
  <c r="AF7" i="33"/>
  <c r="AR7" i="33"/>
  <c r="AT7" i="33" s="1"/>
  <c r="A8" i="33"/>
  <c r="D8" i="33"/>
  <c r="V8" i="33" s="1"/>
  <c r="H8" i="33"/>
  <c r="I8" i="33"/>
  <c r="K8" i="33" s="1"/>
  <c r="J8" i="33"/>
  <c r="M8" i="33"/>
  <c r="N8" i="33"/>
  <c r="P8" i="33" s="1"/>
  <c r="O8" i="33"/>
  <c r="Q8" i="33"/>
  <c r="S8" i="33"/>
  <c r="U8" i="33" s="1"/>
  <c r="T8" i="33"/>
  <c r="AD8" i="33"/>
  <c r="AF8" i="33" s="1"/>
  <c r="AR8" i="33"/>
  <c r="AT8" i="33" s="1"/>
  <c r="D9" i="33"/>
  <c r="H9" i="33"/>
  <c r="J9" i="33" s="1"/>
  <c r="M9" i="33"/>
  <c r="O9" i="33" s="1"/>
  <c r="N9" i="33"/>
  <c r="Q9" i="33"/>
  <c r="S9" i="33"/>
  <c r="T9" i="33"/>
  <c r="U9" i="33"/>
  <c r="AD9" i="33"/>
  <c r="AR9" i="33"/>
  <c r="AT9" i="33"/>
  <c r="D10" i="33"/>
  <c r="V10" i="33" s="1"/>
  <c r="H10" i="33"/>
  <c r="J10" i="33"/>
  <c r="M10" i="33"/>
  <c r="N10" i="33"/>
  <c r="P10" i="33" s="1"/>
  <c r="O10" i="33"/>
  <c r="Q10" i="33"/>
  <c r="S10" i="33"/>
  <c r="U10" i="33" s="1"/>
  <c r="T10" i="33"/>
  <c r="AD10" i="33"/>
  <c r="AF10" i="33" s="1"/>
  <c r="AR10" i="33"/>
  <c r="AT10" i="33" s="1"/>
  <c r="D11" i="33"/>
  <c r="G11" i="33" a="1"/>
  <c r="G11" i="33" s="1"/>
  <c r="H11" i="33" s="1"/>
  <c r="L11" i="33"/>
  <c r="M11" i="33"/>
  <c r="N11" i="33"/>
  <c r="R11" i="33"/>
  <c r="T11" i="33" s="1"/>
  <c r="S11" i="33"/>
  <c r="W11" i="33"/>
  <c r="AL11" i="33"/>
  <c r="AQ11" i="33"/>
  <c r="AR11" i="33"/>
  <c r="AS11" i="33"/>
  <c r="D12" i="33"/>
  <c r="Q12" i="33"/>
  <c r="D13" i="33"/>
  <c r="D14" i="33"/>
  <c r="Q14" i="33"/>
  <c r="A15" i="33"/>
  <c r="Q13" i="33" s="1"/>
  <c r="D15" i="33"/>
  <c r="Q15" i="33"/>
  <c r="D16" i="33"/>
  <c r="F16" i="33"/>
  <c r="H16" i="33"/>
  <c r="J16" i="33" s="1"/>
  <c r="M16" i="33"/>
  <c r="O16" i="33" s="1"/>
  <c r="Q16" i="33"/>
  <c r="D17" i="33"/>
  <c r="F17" i="33"/>
  <c r="Q17" i="33"/>
  <c r="D18" i="33"/>
  <c r="Q18" i="33"/>
  <c r="D19" i="33"/>
  <c r="K19" i="33" s="1"/>
  <c r="G19" i="33"/>
  <c r="H19" i="33" s="1"/>
  <c r="H25" i="33" s="1"/>
  <c r="J25" i="33" s="1"/>
  <c r="I19" i="33"/>
  <c r="I23" i="33" s="1"/>
  <c r="K23" i="33" s="1"/>
  <c r="L19" i="33"/>
  <c r="M19" i="33"/>
  <c r="M24" i="33" s="1"/>
  <c r="N19" i="33"/>
  <c r="N25" i="33" s="1"/>
  <c r="P25" i="33" s="1"/>
  <c r="R19" i="33"/>
  <c r="T19" i="33" s="1"/>
  <c r="T22" i="33" s="1"/>
  <c r="S19" i="33"/>
  <c r="W19" i="33"/>
  <c r="AL19" i="33"/>
  <c r="AQ19" i="33"/>
  <c r="AR19" i="33"/>
  <c r="AS19" i="33"/>
  <c r="AS22" i="33" s="1"/>
  <c r="D20" i="33"/>
  <c r="Q20" i="33"/>
  <c r="T20" i="33"/>
  <c r="AR20" i="33"/>
  <c r="AT20" i="33" s="1"/>
  <c r="AS20" i="33"/>
  <c r="AU20" i="33"/>
  <c r="D21" i="33"/>
  <c r="Q21" i="33"/>
  <c r="T21" i="33"/>
  <c r="AS21" i="33"/>
  <c r="A22" i="33"/>
  <c r="D22" i="33"/>
  <c r="H22" i="33"/>
  <c r="J22" i="33" s="1"/>
  <c r="M22" i="33"/>
  <c r="O22" i="33" s="1"/>
  <c r="Q22" i="33"/>
  <c r="V22" i="33"/>
  <c r="AR22" i="33"/>
  <c r="AT22" i="33"/>
  <c r="D23" i="33"/>
  <c r="H23" i="33"/>
  <c r="J23" i="33"/>
  <c r="M23" i="33"/>
  <c r="O23" i="33" s="1"/>
  <c r="N23" i="33"/>
  <c r="P23" i="33" s="1"/>
  <c r="Q23" i="33"/>
  <c r="T23" i="33"/>
  <c r="V23" i="33" s="1"/>
  <c r="AR23" i="33"/>
  <c r="AT23" i="33" s="1"/>
  <c r="AS23" i="33"/>
  <c r="AU23" i="33"/>
  <c r="D24" i="33"/>
  <c r="H24" i="33"/>
  <c r="J24" i="33" s="1"/>
  <c r="O24" i="33"/>
  <c r="Q24" i="33"/>
  <c r="T24" i="33"/>
  <c r="V24" i="33"/>
  <c r="AS24" i="33"/>
  <c r="AU24" i="33"/>
  <c r="D25" i="33"/>
  <c r="I25" i="33"/>
  <c r="K25" i="33" s="1"/>
  <c r="M25" i="33"/>
  <c r="O25" i="33"/>
  <c r="Q25" i="33"/>
  <c r="T25" i="33"/>
  <c r="V25" i="33"/>
  <c r="AR25" i="33"/>
  <c r="AT25" i="33" s="1"/>
  <c r="AS25" i="33"/>
  <c r="AU25" i="33" s="1"/>
  <c r="D26" i="33"/>
  <c r="H26" i="33"/>
  <c r="J26" i="33"/>
  <c r="M26" i="33"/>
  <c r="O26" i="33" s="1"/>
  <c r="Q26" i="33"/>
  <c r="T26" i="33"/>
  <c r="AS26" i="33"/>
  <c r="D27" i="33"/>
  <c r="G27" i="33"/>
  <c r="L27" i="33"/>
  <c r="R27" i="33"/>
  <c r="W27" i="33"/>
  <c r="X27" i="33"/>
  <c r="X30" i="33" s="1"/>
  <c r="Z30" i="33" s="1"/>
  <c r="Y27" i="33"/>
  <c r="Y33" i="33" s="1"/>
  <c r="AL27" i="33"/>
  <c r="AQ27" i="33"/>
  <c r="AR27" i="33"/>
  <c r="AS27" i="33"/>
  <c r="AS28" i="33" s="1"/>
  <c r="AU28" i="33" s="1"/>
  <c r="D28" i="33"/>
  <c r="Y28" i="33"/>
  <c r="AA28" i="33"/>
  <c r="AR28" i="33"/>
  <c r="AT28" i="33"/>
  <c r="D29" i="33"/>
  <c r="X29" i="33"/>
  <c r="Z29" i="33" s="1"/>
  <c r="Y29" i="33"/>
  <c r="AA29" i="33" s="1"/>
  <c r="AR29" i="33"/>
  <c r="AT29" i="33" s="1"/>
  <c r="AS29" i="33"/>
  <c r="AU29" i="33" s="1"/>
  <c r="A30" i="33"/>
  <c r="Q28" i="33" s="1"/>
  <c r="D30" i="33"/>
  <c r="Y30" i="33"/>
  <c r="AR30" i="33"/>
  <c r="AS30" i="33"/>
  <c r="AT30" i="33"/>
  <c r="D31" i="33"/>
  <c r="Y31" i="33"/>
  <c r="AA31" i="33"/>
  <c r="AR31" i="33"/>
  <c r="AT31" i="33"/>
  <c r="D32" i="33"/>
  <c r="X32" i="33"/>
  <c r="Z32" i="33" s="1"/>
  <c r="Y32" i="33"/>
  <c r="AA32" i="33" s="1"/>
  <c r="AR32" i="33"/>
  <c r="AT32" i="33" s="1"/>
  <c r="AS32" i="33"/>
  <c r="AU32" i="33" s="1"/>
  <c r="D33" i="33"/>
  <c r="AR33" i="33"/>
  <c r="AS33" i="33"/>
  <c r="AT33" i="33"/>
  <c r="D34" i="33"/>
  <c r="X34" i="33"/>
  <c r="Z34" i="33" s="1"/>
  <c r="AR34" i="33"/>
  <c r="AT34" i="33" s="1"/>
  <c r="AS34" i="33"/>
  <c r="AU34" i="33" s="1"/>
  <c r="D35" i="33"/>
  <c r="G35" i="33"/>
  <c r="H35" i="33" s="1"/>
  <c r="I35" i="33"/>
  <c r="L35" i="33"/>
  <c r="M35" i="33"/>
  <c r="N35" i="33"/>
  <c r="R35" i="33"/>
  <c r="S35" i="33"/>
  <c r="T35" i="33"/>
  <c r="T38" i="33" s="1"/>
  <c r="W35" i="33"/>
  <c r="Y35" i="33" s="1"/>
  <c r="Y38" i="33" s="1"/>
  <c r="X35" i="33"/>
  <c r="X36" i="33" s="1"/>
  <c r="AC35" i="33"/>
  <c r="AL35" i="33"/>
  <c r="AQ35" i="33"/>
  <c r="AR35" i="33"/>
  <c r="AS35" i="33"/>
  <c r="AS38" i="33" s="1"/>
  <c r="D36" i="33"/>
  <c r="H36" i="33"/>
  <c r="J36" i="33" s="1"/>
  <c r="M36" i="33"/>
  <c r="O36" i="33" s="1"/>
  <c r="Q36" i="33"/>
  <c r="S36" i="33"/>
  <c r="T36" i="33"/>
  <c r="Y36" i="33"/>
  <c r="AC36" i="33"/>
  <c r="AR36" i="33"/>
  <c r="AT36" i="33" s="1"/>
  <c r="AS36" i="33"/>
  <c r="D37" i="33"/>
  <c r="H37" i="33"/>
  <c r="J37" i="33" s="1"/>
  <c r="M37" i="33"/>
  <c r="O37" i="33" s="1"/>
  <c r="Q37" i="33"/>
  <c r="T37" i="33"/>
  <c r="Y37" i="33"/>
  <c r="AS37" i="33"/>
  <c r="A38" i="33"/>
  <c r="D38" i="33"/>
  <c r="H38" i="33"/>
  <c r="J38" i="33" s="1"/>
  <c r="M38" i="33"/>
  <c r="O38" i="33" s="1"/>
  <c r="N38" i="33"/>
  <c r="Q38" i="33"/>
  <c r="S38" i="33"/>
  <c r="U38" i="33" s="1"/>
  <c r="AC38" i="33"/>
  <c r="AE38" i="33"/>
  <c r="AR38" i="33"/>
  <c r="AT38" i="33" s="1"/>
  <c r="D39" i="33"/>
  <c r="H39" i="33"/>
  <c r="J39" i="33" s="1"/>
  <c r="M39" i="33"/>
  <c r="O39" i="33" s="1"/>
  <c r="N39" i="33"/>
  <c r="P39" i="33" s="1"/>
  <c r="Q39" i="33"/>
  <c r="S39" i="33"/>
  <c r="U39" i="33" s="1"/>
  <c r="T39" i="33"/>
  <c r="V39" i="33" s="1"/>
  <c r="Y39" i="33"/>
  <c r="AA39" i="33" s="1"/>
  <c r="AC39" i="33"/>
  <c r="AE39" i="33" s="1"/>
  <c r="AR39" i="33"/>
  <c r="AT39" i="33" s="1"/>
  <c r="AS39" i="33"/>
  <c r="AU39" i="33" s="1"/>
  <c r="D40" i="33"/>
  <c r="AA40" i="33" s="1"/>
  <c r="H40" i="33"/>
  <c r="J40" i="33"/>
  <c r="Q40" i="33"/>
  <c r="T40" i="33"/>
  <c r="V40" i="33"/>
  <c r="Y40" i="33"/>
  <c r="AS40" i="33"/>
  <c r="AU40" i="33"/>
  <c r="D41" i="33"/>
  <c r="H41" i="33"/>
  <c r="J41" i="33"/>
  <c r="N41" i="33"/>
  <c r="P41" i="33" s="1"/>
  <c r="Q41" i="33"/>
  <c r="T41" i="33"/>
  <c r="V41" i="33" s="1"/>
  <c r="Y41" i="33"/>
  <c r="AA41" i="33" s="1"/>
  <c r="AC41" i="33"/>
  <c r="AE41" i="33" s="1"/>
  <c r="AR41" i="33"/>
  <c r="AT41" i="33" s="1"/>
  <c r="AS41" i="33"/>
  <c r="AU41" i="33" s="1"/>
  <c r="D42" i="33"/>
  <c r="H42" i="33"/>
  <c r="J42" i="33" s="1"/>
  <c r="Q42" i="33"/>
  <c r="T42" i="33"/>
  <c r="V42" i="33"/>
  <c r="Y42" i="33"/>
  <c r="AA42" i="33"/>
  <c r="AS42" i="33"/>
  <c r="AU42" i="33"/>
  <c r="D43" i="33"/>
  <c r="G43" i="33"/>
  <c r="H43" i="33"/>
  <c r="I43" i="33"/>
  <c r="K43" i="33" s="1"/>
  <c r="L43" i="33"/>
  <c r="N43" i="33" s="1"/>
  <c r="M43" i="33"/>
  <c r="M44" i="33" s="1"/>
  <c r="O44" i="33" s="1"/>
  <c r="R43" i="33"/>
  <c r="S43" i="33" s="1"/>
  <c r="T43" i="33"/>
  <c r="W43" i="33"/>
  <c r="X43" i="33"/>
  <c r="Y43" i="33"/>
  <c r="AC43" i="33"/>
  <c r="AL43" i="33"/>
  <c r="AQ43" i="33"/>
  <c r="AR43" i="33"/>
  <c r="AS43" i="33"/>
  <c r="D44" i="33"/>
  <c r="F44" i="33"/>
  <c r="H44" i="33" s="1"/>
  <c r="J44" i="33" s="1"/>
  <c r="Q44" i="33"/>
  <c r="S44" i="33"/>
  <c r="U44" i="33" s="1"/>
  <c r="Y44" i="33"/>
  <c r="AA44" i="33" s="1"/>
  <c r="AC44" i="33"/>
  <c r="AS44" i="33"/>
  <c r="AU44" i="33" s="1"/>
  <c r="D45" i="33"/>
  <c r="F45" i="33"/>
  <c r="M45" i="33" s="1"/>
  <c r="O45" i="33" s="1"/>
  <c r="H45" i="33"/>
  <c r="J45" i="33" s="1"/>
  <c r="N45" i="33"/>
  <c r="P45" i="33" s="1"/>
  <c r="S45" i="33"/>
  <c r="U45" i="33"/>
  <c r="A46" i="33"/>
  <c r="Q45" i="33" s="1"/>
  <c r="D46" i="33"/>
  <c r="F46" i="33"/>
  <c r="M46" i="33" s="1"/>
  <c r="O46" i="33" s="1"/>
  <c r="H46" i="33"/>
  <c r="J46" i="33" s="1"/>
  <c r="N46" i="33"/>
  <c r="P46" i="33" s="1"/>
  <c r="S46" i="33"/>
  <c r="U46" i="33"/>
  <c r="D47" i="33"/>
  <c r="F47" i="33"/>
  <c r="S47" i="33"/>
  <c r="U47" i="33" s="1"/>
  <c r="A48" i="33"/>
  <c r="D48" i="33"/>
  <c r="G48" i="33"/>
  <c r="H48" i="33" s="1"/>
  <c r="I48" i="33"/>
  <c r="L48" i="33"/>
  <c r="N48" i="33" s="1"/>
  <c r="N49" i="33" s="1"/>
  <c r="M48" i="33"/>
  <c r="M52" i="33" s="1"/>
  <c r="R48" i="33"/>
  <c r="W48" i="33"/>
  <c r="X48" i="33"/>
  <c r="Y48" i="33"/>
  <c r="Y53" i="33" s="1"/>
  <c r="AC48" i="33"/>
  <c r="AL48" i="33"/>
  <c r="AQ48" i="33"/>
  <c r="AR48" i="33"/>
  <c r="AS48" i="33"/>
  <c r="AS50" i="33" s="1"/>
  <c r="D49" i="33"/>
  <c r="P49" i="33"/>
  <c r="AC49" i="33"/>
  <c r="AE49" i="33" s="1"/>
  <c r="AR49" i="33"/>
  <c r="AS49" i="33"/>
  <c r="AU49" i="33" s="1"/>
  <c r="AT49" i="33"/>
  <c r="D50" i="33"/>
  <c r="I50" i="33"/>
  <c r="M50" i="33"/>
  <c r="O50" i="33" s="1"/>
  <c r="AC50" i="33"/>
  <c r="AE50" i="33" s="1"/>
  <c r="AE48" i="33" s="1"/>
  <c r="AR50" i="33"/>
  <c r="AT50" i="33" s="1"/>
  <c r="AU50" i="33"/>
  <c r="A51" i="33"/>
  <c r="Q52" i="33" s="1"/>
  <c r="D51" i="33"/>
  <c r="I51" i="33"/>
  <c r="K51" i="33" s="1"/>
  <c r="M51" i="33"/>
  <c r="O51" i="33"/>
  <c r="Q51" i="33"/>
  <c r="Y51" i="33"/>
  <c r="AA51" i="33" s="1"/>
  <c r="AC51" i="33"/>
  <c r="AE51" i="33" s="1"/>
  <c r="AR51" i="33"/>
  <c r="AT51" i="33" s="1"/>
  <c r="AS51" i="33"/>
  <c r="AU51" i="33" s="1"/>
  <c r="D52" i="33"/>
  <c r="P52" i="33" s="1"/>
  <c r="N52" i="33"/>
  <c r="O52" i="33"/>
  <c r="Y52" i="33"/>
  <c r="AC52" i="33"/>
  <c r="AE52" i="33"/>
  <c r="AR52" i="33"/>
  <c r="AS52" i="33"/>
  <c r="AT52" i="33"/>
  <c r="D53" i="33"/>
  <c r="K53" i="33" s="1"/>
  <c r="I53" i="33"/>
  <c r="M53" i="33"/>
  <c r="O53" i="33" s="1"/>
  <c r="Q53" i="33"/>
  <c r="AC53" i="33"/>
  <c r="AE53" i="33"/>
  <c r="AR53" i="33"/>
  <c r="AS53" i="33"/>
  <c r="AT53" i="33"/>
  <c r="D54" i="33"/>
  <c r="I54" i="33"/>
  <c r="K54" i="33" s="1"/>
  <c r="N54" i="33"/>
  <c r="P54" i="33" s="1"/>
  <c r="X54" i="33"/>
  <c r="Z54" i="33" s="1"/>
  <c r="Y54" i="33"/>
  <c r="AC54" i="33"/>
  <c r="AE54" i="33" s="1"/>
  <c r="AR54" i="33"/>
  <c r="AT54" i="33" s="1"/>
  <c r="AS54" i="33"/>
  <c r="D55" i="33"/>
  <c r="M55" i="33"/>
  <c r="O55" i="33" s="1"/>
  <c r="N55" i="33"/>
  <c r="P55" i="33"/>
  <c r="Q55" i="33"/>
  <c r="AC55" i="33"/>
  <c r="AE55" i="33"/>
  <c r="AR55" i="33"/>
  <c r="AS55" i="33"/>
  <c r="AT55" i="33"/>
  <c r="D56" i="33"/>
  <c r="K56" i="33" s="1"/>
  <c r="G56" i="33"/>
  <c r="H56" i="33"/>
  <c r="I56" i="33"/>
  <c r="I58" i="33" s="1"/>
  <c r="L56" i="33"/>
  <c r="R56" i="33"/>
  <c r="T56" i="33" s="1"/>
  <c r="S56" i="33"/>
  <c r="S57" i="33" s="1"/>
  <c r="W56" i="33"/>
  <c r="X56" i="33" s="1"/>
  <c r="Y56" i="33"/>
  <c r="AB56" i="33"/>
  <c r="AC56" i="33"/>
  <c r="AD56" i="33"/>
  <c r="AD58" i="33" s="1"/>
  <c r="AG56" i="33"/>
  <c r="AH56" i="33"/>
  <c r="AI56" i="33"/>
  <c r="AI57" i="33" s="1"/>
  <c r="AK57" i="33" s="1"/>
  <c r="AL56" i="33"/>
  <c r="AM56" i="33"/>
  <c r="AM57" i="33" s="1"/>
  <c r="AN56" i="33"/>
  <c r="AQ56" i="33"/>
  <c r="AR56" i="33"/>
  <c r="AS56" i="33"/>
  <c r="D57" i="33"/>
  <c r="E57" i="33"/>
  <c r="E74" i="33" s="1"/>
  <c r="I57" i="33"/>
  <c r="K57" i="33"/>
  <c r="T57" i="33"/>
  <c r="V57" i="33" s="1"/>
  <c r="X57" i="33"/>
  <c r="AD57" i="33"/>
  <c r="AF57" i="33"/>
  <c r="AH57" i="33"/>
  <c r="AJ57" i="33"/>
  <c r="AN57" i="33"/>
  <c r="AP57" i="33" s="1"/>
  <c r="AR57" i="33"/>
  <c r="D58" i="33"/>
  <c r="E58" i="33"/>
  <c r="S58" i="33"/>
  <c r="U58" i="33"/>
  <c r="AH58" i="33"/>
  <c r="AJ58" i="33"/>
  <c r="AM58" i="33"/>
  <c r="AN58" i="33"/>
  <c r="AO58" i="33"/>
  <c r="AR58" i="33"/>
  <c r="AT58" i="33"/>
  <c r="D59" i="33"/>
  <c r="K59" i="33" s="1"/>
  <c r="E59" i="33"/>
  <c r="I59" i="33"/>
  <c r="S59" i="33"/>
  <c r="U59" i="33" s="1"/>
  <c r="X59" i="33"/>
  <c r="Z59" i="33" s="1"/>
  <c r="AC59" i="33"/>
  <c r="AE59" i="33" s="1"/>
  <c r="AD59" i="33"/>
  <c r="AH59" i="33"/>
  <c r="AJ59" i="33" s="1"/>
  <c r="AI59" i="33"/>
  <c r="AM59" i="33"/>
  <c r="AO59" i="33" s="1"/>
  <c r="AN59" i="33"/>
  <c r="AR59" i="33"/>
  <c r="AT59" i="33" s="1"/>
  <c r="D60" i="33"/>
  <c r="E60" i="33"/>
  <c r="S60" i="33"/>
  <c r="U60" i="33"/>
  <c r="AH60" i="33"/>
  <c r="AJ60" i="33"/>
  <c r="AM60" i="33"/>
  <c r="AN60" i="33"/>
  <c r="AO60" i="33"/>
  <c r="AR60" i="33"/>
  <c r="AT60" i="33"/>
  <c r="D61" i="33"/>
  <c r="K61" i="33" s="1"/>
  <c r="E61" i="33"/>
  <c r="I61" i="33"/>
  <c r="S61" i="33"/>
  <c r="U61" i="33" s="1"/>
  <c r="X61" i="33"/>
  <c r="Z61" i="33" s="1"/>
  <c r="AC61" i="33"/>
  <c r="AE61" i="33" s="1"/>
  <c r="AD61" i="33"/>
  <c r="AH61" i="33"/>
  <c r="AJ61" i="33" s="1"/>
  <c r="AI61" i="33"/>
  <c r="AM61" i="33"/>
  <c r="AO61" i="33" s="1"/>
  <c r="AN61" i="33"/>
  <c r="AR61" i="33"/>
  <c r="AT61" i="33" s="1"/>
  <c r="D62" i="33"/>
  <c r="E62" i="33"/>
  <c r="S62" i="33"/>
  <c r="U62" i="33"/>
  <c r="AH62" i="33"/>
  <c r="AJ62" i="33"/>
  <c r="AM62" i="33"/>
  <c r="AN62" i="33"/>
  <c r="AO62" i="33"/>
  <c r="AR62" i="33"/>
  <c r="AT62" i="33"/>
  <c r="D63" i="33"/>
  <c r="K63" i="33" s="1"/>
  <c r="E63" i="33"/>
  <c r="H63" i="33"/>
  <c r="J63" i="33" s="1"/>
  <c r="I63" i="33"/>
  <c r="S63" i="33"/>
  <c r="U63" i="33" s="1"/>
  <c r="X63" i="33"/>
  <c r="Z63" i="33" s="1"/>
  <c r="AC63" i="33"/>
  <c r="AE63" i="33" s="1"/>
  <c r="AD63" i="33"/>
  <c r="AH63" i="33"/>
  <c r="AJ63" i="33" s="1"/>
  <c r="AI63" i="33"/>
  <c r="AM63" i="33"/>
  <c r="AO63" i="33" s="1"/>
  <c r="AN63" i="33"/>
  <c r="AR63" i="33"/>
  <c r="AT63" i="33" s="1"/>
  <c r="D64" i="33"/>
  <c r="K64" i="33" s="1"/>
  <c r="G64" i="33"/>
  <c r="I64" i="33" s="1"/>
  <c r="H64" i="33"/>
  <c r="H66" i="33" s="1"/>
  <c r="J66" i="33" s="1"/>
  <c r="L64" i="33"/>
  <c r="M64" i="33" s="1"/>
  <c r="N64" i="33"/>
  <c r="R64" i="33"/>
  <c r="S64" i="33"/>
  <c r="T64" i="33"/>
  <c r="T68" i="33" s="1"/>
  <c r="W64" i="33"/>
  <c r="AC64" i="33"/>
  <c r="AC65" i="33" s="1"/>
  <c r="AL64" i="33"/>
  <c r="AQ64" i="33"/>
  <c r="AR64" i="33"/>
  <c r="AR67" i="33" s="1"/>
  <c r="AT67" i="33" s="1"/>
  <c r="AS64" i="33"/>
  <c r="AS65" i="33" s="1"/>
  <c r="AU65" i="33" s="1"/>
  <c r="D65" i="33"/>
  <c r="H65" i="33"/>
  <c r="J65" i="33"/>
  <c r="J64" i="33" s="1"/>
  <c r="N65" i="33"/>
  <c r="P65" i="33" s="1"/>
  <c r="T65" i="33"/>
  <c r="V65" i="33"/>
  <c r="AR65" i="33"/>
  <c r="AQ65" i="33" s="1"/>
  <c r="AT65" i="33"/>
  <c r="D66" i="33"/>
  <c r="V66" i="33" s="1"/>
  <c r="I66" i="33"/>
  <c r="K66" i="33" s="1"/>
  <c r="N66" i="33"/>
  <c r="P66" i="33" s="1"/>
  <c r="S66" i="33"/>
  <c r="U66" i="33" s="1"/>
  <c r="T66" i="33"/>
  <c r="AC66" i="33"/>
  <c r="AE66" i="33" s="1"/>
  <c r="AR66" i="33"/>
  <c r="AT66" i="33" s="1"/>
  <c r="AS66" i="33"/>
  <c r="A67" i="33"/>
  <c r="D67" i="33"/>
  <c r="H67" i="33"/>
  <c r="J67" i="33"/>
  <c r="T67" i="33"/>
  <c r="V67" i="33" s="1"/>
  <c r="AS67" i="33"/>
  <c r="AU67" i="33" s="1"/>
  <c r="D68" i="33"/>
  <c r="H68" i="33"/>
  <c r="J68" i="33" s="1"/>
  <c r="AC68" i="33"/>
  <c r="AE68" i="33"/>
  <c r="AR68" i="33"/>
  <c r="AT68" i="33"/>
  <c r="D69" i="33"/>
  <c r="K69" i="33" s="1"/>
  <c r="G69" i="33"/>
  <c r="H69" i="33"/>
  <c r="I69" i="33"/>
  <c r="I71" i="33" s="1"/>
  <c r="K71" i="33" s="1"/>
  <c r="L69" i="33"/>
  <c r="R69" i="33"/>
  <c r="T69" i="33" s="1"/>
  <c r="T72" i="33" s="1"/>
  <c r="S69" i="33"/>
  <c r="S70" i="33" s="1"/>
  <c r="W69" i="33"/>
  <c r="X69" i="33" s="1"/>
  <c r="X71" i="33" s="1"/>
  <c r="Z71" i="33" s="1"/>
  <c r="Y69" i="33"/>
  <c r="Y73" i="33" s="1"/>
  <c r="AC69" i="33"/>
  <c r="AC72" i="33" s="1"/>
  <c r="AE72" i="33" s="1"/>
  <c r="AL69" i="33"/>
  <c r="AQ69" i="33"/>
  <c r="AR69" i="33"/>
  <c r="AS69" i="33"/>
  <c r="AS73" i="33" s="1"/>
  <c r="D70" i="33"/>
  <c r="H70" i="33"/>
  <c r="J70" i="33" s="1"/>
  <c r="I70" i="33"/>
  <c r="K70" i="33" s="1"/>
  <c r="T70" i="33"/>
  <c r="V70" i="33" s="1"/>
  <c r="AR70" i="33"/>
  <c r="A71" i="33"/>
  <c r="D71" i="33"/>
  <c r="Y71" i="33"/>
  <c r="AA71" i="33" s="1"/>
  <c r="AR71" i="33"/>
  <c r="AT71" i="33"/>
  <c r="D72" i="33"/>
  <c r="I72" i="33"/>
  <c r="K72" i="33"/>
  <c r="S72" i="33"/>
  <c r="U72" i="33"/>
  <c r="X72" i="33"/>
  <c r="Z72" i="33" s="1"/>
  <c r="AR72" i="33"/>
  <c r="AT72" i="33" s="1"/>
  <c r="D73" i="33"/>
  <c r="I73" i="33"/>
  <c r="S73" i="33"/>
  <c r="T73" i="33"/>
  <c r="U73" i="33"/>
  <c r="X73" i="33"/>
  <c r="Z73" i="33"/>
  <c r="AR73" i="33"/>
  <c r="AT73" i="33"/>
  <c r="D74" i="33"/>
  <c r="D75" i="33"/>
  <c r="R3" i="32"/>
  <c r="R7" i="32"/>
  <c r="B14" i="32"/>
  <c r="C14" i="32"/>
  <c r="B18" i="32"/>
  <c r="C18" i="32"/>
  <c r="G2" i="31"/>
  <c r="L2" i="31"/>
  <c r="R2" i="31"/>
  <c r="W2" i="31"/>
  <c r="X3" i="31" s="1"/>
  <c r="AB2" i="31"/>
  <c r="AG2" i="31"/>
  <c r="AL2" i="31"/>
  <c r="AQ2" i="31"/>
  <c r="H3" i="31"/>
  <c r="I3" i="31"/>
  <c r="M3" i="31"/>
  <c r="N3" i="31"/>
  <c r="S3" i="31"/>
  <c r="T3" i="31"/>
  <c r="Y3" i="31"/>
  <c r="AB3" i="31"/>
  <c r="AC3" i="31"/>
  <c r="AD3" i="31"/>
  <c r="AG3" i="31"/>
  <c r="AH3" i="31"/>
  <c r="AI3" i="31"/>
  <c r="AL3" i="31"/>
  <c r="AM3" i="31"/>
  <c r="AN3" i="31"/>
  <c r="AQ3" i="31"/>
  <c r="AR3" i="31"/>
  <c r="AS3" i="31"/>
  <c r="D4" i="31"/>
  <c r="V4" i="31" s="1"/>
  <c r="H4" i="31"/>
  <c r="I4" i="31"/>
  <c r="J4" i="31"/>
  <c r="K4" i="31"/>
  <c r="M4" i="31"/>
  <c r="N4" i="31"/>
  <c r="O4" i="31"/>
  <c r="P4" i="31"/>
  <c r="S4" i="31"/>
  <c r="T4" i="31"/>
  <c r="Y4" i="31"/>
  <c r="AA4" i="31"/>
  <c r="AC4" i="31"/>
  <c r="AD4" i="31"/>
  <c r="AE4" i="31"/>
  <c r="AF4" i="31"/>
  <c r="AH4" i="31"/>
  <c r="AI4" i="31"/>
  <c r="AK4" i="31" s="1"/>
  <c r="AJ4" i="31"/>
  <c r="AN4" i="31"/>
  <c r="AR4" i="31"/>
  <c r="AT4" i="31" s="1"/>
  <c r="AS4" i="31"/>
  <c r="AU4" i="31"/>
  <c r="D5" i="31"/>
  <c r="V5" i="31" s="1"/>
  <c r="H5" i="31"/>
  <c r="I5" i="31"/>
  <c r="J5" i="31"/>
  <c r="K5" i="31"/>
  <c r="M5" i="31"/>
  <c r="N5" i="31"/>
  <c r="O5" i="31"/>
  <c r="P5" i="31"/>
  <c r="S5" i="31"/>
  <c r="U5" i="31" s="1"/>
  <c r="T5" i="31"/>
  <c r="Y5" i="31"/>
  <c r="AA5" i="31"/>
  <c r="AC5" i="31"/>
  <c r="AD5" i="31"/>
  <c r="AE5" i="31"/>
  <c r="AF5" i="31"/>
  <c r="AH5" i="31"/>
  <c r="AI5" i="31"/>
  <c r="AK5" i="31" s="1"/>
  <c r="AJ5" i="31"/>
  <c r="AN5" i="31"/>
  <c r="AR5" i="31"/>
  <c r="AT5" i="31" s="1"/>
  <c r="AS5" i="31"/>
  <c r="AU5" i="31"/>
  <c r="A6" i="31"/>
  <c r="Q4" i="31" s="1"/>
  <c r="D6" i="31"/>
  <c r="V6" i="31" s="1"/>
  <c r="H6" i="31"/>
  <c r="I6" i="31"/>
  <c r="K6" i="31" s="1"/>
  <c r="J6" i="31"/>
  <c r="M6" i="31"/>
  <c r="N6" i="31"/>
  <c r="P6" i="31" s="1"/>
  <c r="O6" i="31"/>
  <c r="S6" i="31"/>
  <c r="U6" i="31" s="1"/>
  <c r="T6" i="31"/>
  <c r="Y6" i="31"/>
  <c r="AC6" i="31"/>
  <c r="AD6" i="31"/>
  <c r="AH6" i="31"/>
  <c r="AN6" i="31"/>
  <c r="AP6" i="31" s="1"/>
  <c r="AR6" i="31"/>
  <c r="AS6" i="31"/>
  <c r="AU6" i="31" s="1"/>
  <c r="D7" i="31"/>
  <c r="V7" i="31" s="1"/>
  <c r="H7" i="31"/>
  <c r="I7" i="31"/>
  <c r="J7" i="31"/>
  <c r="K7" i="31"/>
  <c r="M7" i="31"/>
  <c r="N7" i="31"/>
  <c r="O7" i="31"/>
  <c r="P7" i="31"/>
  <c r="Q7" i="31"/>
  <c r="S7" i="31"/>
  <c r="T7" i="31"/>
  <c r="U7" i="31"/>
  <c r="Y7" i="31"/>
  <c r="AC7" i="31"/>
  <c r="AD7" i="31"/>
  <c r="AE7" i="31"/>
  <c r="AH7" i="31"/>
  <c r="AI7" i="31"/>
  <c r="AJ7" i="31"/>
  <c r="AN7" i="31"/>
  <c r="AR7" i="31"/>
  <c r="AS7" i="31"/>
  <c r="AT7" i="31"/>
  <c r="A8" i="31"/>
  <c r="D8" i="31"/>
  <c r="H8" i="31"/>
  <c r="J8" i="31" s="1"/>
  <c r="I8" i="31"/>
  <c r="M8" i="31"/>
  <c r="O8" i="31" s="1"/>
  <c r="N8" i="31"/>
  <c r="Q8" i="31"/>
  <c r="S8" i="31"/>
  <c r="T8" i="31"/>
  <c r="U8" i="31"/>
  <c r="Y8" i="31"/>
  <c r="AC8" i="31"/>
  <c r="AD8" i="31"/>
  <c r="AE8" i="31"/>
  <c r="AH8" i="31"/>
  <c r="AJ8" i="31"/>
  <c r="AN8" i="31"/>
  <c r="AR8" i="31"/>
  <c r="AS8" i="31"/>
  <c r="AT8" i="31"/>
  <c r="D9" i="31"/>
  <c r="H9" i="31"/>
  <c r="I9" i="31"/>
  <c r="K9" i="31" s="1"/>
  <c r="J9" i="31"/>
  <c r="M9" i="31"/>
  <c r="N9" i="31"/>
  <c r="P9" i="31" s="1"/>
  <c r="O9" i="31"/>
  <c r="Q9" i="31"/>
  <c r="S9" i="31"/>
  <c r="U9" i="31" s="1"/>
  <c r="T9" i="31"/>
  <c r="V9" i="31" s="1"/>
  <c r="Y9" i="31"/>
  <c r="AA9" i="31" s="1"/>
  <c r="AC9" i="31"/>
  <c r="AE9" i="31" s="1"/>
  <c r="AD9" i="31"/>
  <c r="AF9" i="31" s="1"/>
  <c r="AH9" i="31"/>
  <c r="AJ9" i="31" s="1"/>
  <c r="AN9" i="31"/>
  <c r="AP9" i="31" s="1"/>
  <c r="AR9" i="31"/>
  <c r="AT9" i="31" s="1"/>
  <c r="AS9" i="31"/>
  <c r="AU9" i="31" s="1"/>
  <c r="D10" i="31"/>
  <c r="H10" i="31"/>
  <c r="J10" i="31" s="1"/>
  <c r="I10" i="31"/>
  <c r="K10" i="31"/>
  <c r="M10" i="31"/>
  <c r="O10" i="31" s="1"/>
  <c r="N10" i="31"/>
  <c r="P10" i="31"/>
  <c r="Q10" i="31"/>
  <c r="S10" i="31"/>
  <c r="T10" i="31"/>
  <c r="U10" i="31"/>
  <c r="Y10" i="31"/>
  <c r="AC10" i="31"/>
  <c r="AD10" i="31"/>
  <c r="AE10" i="31"/>
  <c r="AH10" i="31"/>
  <c r="AJ10" i="31"/>
  <c r="AN10" i="31"/>
  <c r="AR10" i="31"/>
  <c r="AS10" i="31"/>
  <c r="AT10" i="31"/>
  <c r="D11" i="31"/>
  <c r="G11" i="31" a="1"/>
  <c r="G11" i="31"/>
  <c r="L11" i="31"/>
  <c r="M11" i="31" s="1"/>
  <c r="M17" i="31" s="1"/>
  <c r="O17" i="31" s="1"/>
  <c r="N11" i="31"/>
  <c r="R11" i="31"/>
  <c r="S11" i="31"/>
  <c r="T11" i="31"/>
  <c r="W11" i="31"/>
  <c r="X11" i="31"/>
  <c r="Y11" i="31"/>
  <c r="AB11" i="31"/>
  <c r="AC11" i="31" s="1"/>
  <c r="AD11" i="31"/>
  <c r="AG11" i="31"/>
  <c r="AH11" i="31"/>
  <c r="AI11" i="31"/>
  <c r="AL11" i="31"/>
  <c r="AM11" i="31"/>
  <c r="AN11" i="31"/>
  <c r="AQ11" i="31"/>
  <c r="AR11" i="31"/>
  <c r="AR17" i="31" s="1"/>
  <c r="AT17" i="31" s="1"/>
  <c r="AS11" i="31"/>
  <c r="D12" i="31"/>
  <c r="D13" i="31"/>
  <c r="Q13" i="31"/>
  <c r="D14" i="31"/>
  <c r="A15" i="31"/>
  <c r="D15" i="31"/>
  <c r="Q15" i="31"/>
  <c r="D16" i="31"/>
  <c r="D17" i="31"/>
  <c r="F17" i="31"/>
  <c r="N17" i="31"/>
  <c r="P17" i="31"/>
  <c r="Q17" i="31"/>
  <c r="S17" i="31"/>
  <c r="U17" i="31"/>
  <c r="AC17" i="31"/>
  <c r="AE17" i="31" s="1"/>
  <c r="AH17" i="31"/>
  <c r="AJ17" i="31"/>
  <c r="AM17" i="31"/>
  <c r="AO17" i="31"/>
  <c r="D18" i="31"/>
  <c r="Q18" i="31"/>
  <c r="D19" i="31"/>
  <c r="G19" i="31"/>
  <c r="H19" i="31" s="1"/>
  <c r="I19" i="31"/>
  <c r="I23" i="31" s="1"/>
  <c r="K23" i="31" s="1"/>
  <c r="L19" i="31"/>
  <c r="M19" i="31"/>
  <c r="N19" i="31"/>
  <c r="R19" i="31"/>
  <c r="S19" i="31"/>
  <c r="T19" i="31"/>
  <c r="T22" i="31" s="1"/>
  <c r="W19" i="31"/>
  <c r="X19" i="31"/>
  <c r="Y19" i="31"/>
  <c r="AC19" i="31"/>
  <c r="AD19" i="31"/>
  <c r="AG19" i="31"/>
  <c r="AH19" i="31"/>
  <c r="AI19" i="31"/>
  <c r="AI22" i="31" s="1"/>
  <c r="AL19" i="31"/>
  <c r="AM19" i="31"/>
  <c r="AM21" i="31" s="1"/>
  <c r="AN19" i="31"/>
  <c r="AN22" i="31" s="1"/>
  <c r="AQ19" i="31"/>
  <c r="AR19" i="31"/>
  <c r="AR21" i="31" s="1"/>
  <c r="AS19" i="31"/>
  <c r="AS22" i="31" s="1"/>
  <c r="D20" i="31"/>
  <c r="H20" i="31"/>
  <c r="J20" i="31"/>
  <c r="Q20" i="31"/>
  <c r="T20" i="31"/>
  <c r="Y20" i="31"/>
  <c r="AA20" i="31"/>
  <c r="AD20" i="31"/>
  <c r="AF20" i="31"/>
  <c r="AH20" i="31"/>
  <c r="AI20" i="31"/>
  <c r="AK20" i="31" s="1"/>
  <c r="AJ20" i="31"/>
  <c r="AM20" i="31"/>
  <c r="AN20" i="31"/>
  <c r="AO20" i="31"/>
  <c r="AR20" i="31"/>
  <c r="AT20" i="31" s="1"/>
  <c r="AS20" i="31"/>
  <c r="AU20" i="31"/>
  <c r="D21" i="31"/>
  <c r="H21" i="31"/>
  <c r="J21" i="31" s="1"/>
  <c r="Q21" i="31"/>
  <c r="T21" i="31"/>
  <c r="V21" i="31"/>
  <c r="Y21" i="31"/>
  <c r="AA21" i="31" s="1"/>
  <c r="AD21" i="31"/>
  <c r="AF21" i="31" s="1"/>
  <c r="AH21" i="31"/>
  <c r="AI21" i="31"/>
  <c r="AK21" i="31" s="1"/>
  <c r="AJ21" i="31"/>
  <c r="AN21" i="31"/>
  <c r="AO21" i="31"/>
  <c r="AP21" i="31"/>
  <c r="AS21" i="31"/>
  <c r="AT21" i="31"/>
  <c r="AU21" i="31"/>
  <c r="A22" i="31"/>
  <c r="D22" i="31"/>
  <c r="H22" i="31"/>
  <c r="J22" i="31" s="1"/>
  <c r="N22" i="31"/>
  <c r="P22" i="31" s="1"/>
  <c r="Q22" i="31"/>
  <c r="V22" i="31"/>
  <c r="X22" i="31"/>
  <c r="Z22" i="31" s="1"/>
  <c r="Y22" i="31"/>
  <c r="AA22" i="31"/>
  <c r="AD22" i="31"/>
  <c r="AF22" i="31"/>
  <c r="AH22" i="31"/>
  <c r="AK22" i="31"/>
  <c r="AM22" i="31"/>
  <c r="AO22" i="31"/>
  <c r="AO19" i="31" s="1"/>
  <c r="AP22" i="31"/>
  <c r="AR22" i="31"/>
  <c r="AT22" i="31" s="1"/>
  <c r="AU22" i="31"/>
  <c r="D23" i="31"/>
  <c r="H23" i="31"/>
  <c r="J23" i="31" s="1"/>
  <c r="N23" i="31"/>
  <c r="P23" i="31" s="1"/>
  <c r="Q23" i="31"/>
  <c r="T23" i="31"/>
  <c r="V23" i="31"/>
  <c r="Y23" i="31"/>
  <c r="AA23" i="31" s="1"/>
  <c r="AD23" i="31"/>
  <c r="AF23" i="31"/>
  <c r="AH23" i="31"/>
  <c r="AJ23" i="31" s="1"/>
  <c r="AI23" i="31"/>
  <c r="AK23" i="31" s="1"/>
  <c r="AM23" i="31"/>
  <c r="AO23" i="31" s="1"/>
  <c r="AN23" i="31"/>
  <c r="AP23" i="31"/>
  <c r="AR23" i="31"/>
  <c r="AT23" i="31" s="1"/>
  <c r="AS23" i="31"/>
  <c r="AU23" i="31" s="1"/>
  <c r="D24" i="31"/>
  <c r="H24" i="31"/>
  <c r="J24" i="31"/>
  <c r="N24" i="31"/>
  <c r="Q24" i="31"/>
  <c r="T24" i="31"/>
  <c r="Y24" i="31"/>
  <c r="AD24" i="31"/>
  <c r="AH24" i="31"/>
  <c r="AI24" i="31"/>
  <c r="AJ24" i="31"/>
  <c r="AM24" i="31"/>
  <c r="AN24" i="31"/>
  <c r="AO24" i="31"/>
  <c r="AR24" i="31"/>
  <c r="AS24" i="31"/>
  <c r="AT24" i="31"/>
  <c r="D25" i="31"/>
  <c r="H25" i="31"/>
  <c r="J25" i="31"/>
  <c r="N25" i="31"/>
  <c r="P25" i="31" s="1"/>
  <c r="Q25" i="31"/>
  <c r="T25" i="31"/>
  <c r="V25" i="31" s="1"/>
  <c r="Y25" i="31"/>
  <c r="AA25" i="31" s="1"/>
  <c r="AD25" i="31"/>
  <c r="AF25" i="31" s="1"/>
  <c r="AH25" i="31"/>
  <c r="AJ25" i="31" s="1"/>
  <c r="AI25" i="31"/>
  <c r="AK25" i="31" s="1"/>
  <c r="AM25" i="31"/>
  <c r="AO25" i="31" s="1"/>
  <c r="AN25" i="31"/>
  <c r="AP25" i="31" s="1"/>
  <c r="AR25" i="31"/>
  <c r="AT25" i="31" s="1"/>
  <c r="AS25" i="31"/>
  <c r="AU25" i="31" s="1"/>
  <c r="D26" i="31"/>
  <c r="H26" i="31"/>
  <c r="J26" i="31" s="1"/>
  <c r="N26" i="31"/>
  <c r="P26" i="31"/>
  <c r="Q26" i="31"/>
  <c r="T26" i="31"/>
  <c r="V26" i="31"/>
  <c r="Y26" i="31"/>
  <c r="AA26" i="31"/>
  <c r="AD26" i="31"/>
  <c r="AF26" i="31"/>
  <c r="AH26" i="31"/>
  <c r="AI26" i="31"/>
  <c r="AJ26" i="31"/>
  <c r="AK26" i="31"/>
  <c r="AM26" i="31"/>
  <c r="AN26" i="31"/>
  <c r="AO26" i="31"/>
  <c r="AP26" i="31"/>
  <c r="AR26" i="31"/>
  <c r="AS26" i="31"/>
  <c r="AT26" i="31"/>
  <c r="AU26" i="31"/>
  <c r="D27" i="31"/>
  <c r="G27" i="31"/>
  <c r="H27" i="31" s="1"/>
  <c r="I27" i="31"/>
  <c r="L27" i="31"/>
  <c r="N27" i="31" s="1"/>
  <c r="M27" i="31"/>
  <c r="R27" i="31"/>
  <c r="S27" i="31" s="1"/>
  <c r="T27" i="31"/>
  <c r="W27" i="31"/>
  <c r="X27" i="31" s="1"/>
  <c r="Y27" i="31"/>
  <c r="AC27" i="31"/>
  <c r="AD27" i="31"/>
  <c r="AG27" i="31"/>
  <c r="AH27" i="31"/>
  <c r="AI27" i="31"/>
  <c r="AI30" i="31" s="1"/>
  <c r="AL27" i="31"/>
  <c r="AM27" i="31"/>
  <c r="AN27" i="31"/>
  <c r="AQ27" i="31"/>
  <c r="AR27" i="31"/>
  <c r="AS27" i="31"/>
  <c r="D28" i="31"/>
  <c r="T28" i="31"/>
  <c r="V28" i="31" s="1"/>
  <c r="Y28" i="31"/>
  <c r="AA28" i="31"/>
  <c r="AC28" i="31"/>
  <c r="AD28" i="31"/>
  <c r="AE28" i="31"/>
  <c r="AF28" i="31"/>
  <c r="AH28" i="31"/>
  <c r="AI28" i="31"/>
  <c r="AK28" i="31" s="1"/>
  <c r="AJ28" i="31"/>
  <c r="AM28" i="31"/>
  <c r="AN28" i="31"/>
  <c r="AP28" i="31" s="1"/>
  <c r="AR28" i="31"/>
  <c r="AT28" i="31" s="1"/>
  <c r="AS28" i="31"/>
  <c r="AU28" i="31"/>
  <c r="D29" i="31"/>
  <c r="V29" i="31" s="1"/>
  <c r="T29" i="31"/>
  <c r="Y29" i="31"/>
  <c r="AA29" i="31" s="1"/>
  <c r="AC29" i="31"/>
  <c r="AD29" i="31"/>
  <c r="AF29" i="31" s="1"/>
  <c r="AE29" i="31"/>
  <c r="AH29" i="31"/>
  <c r="AG28" i="31" s="1"/>
  <c r="AI29" i="31"/>
  <c r="AK29" i="31" s="1"/>
  <c r="AJ29" i="31"/>
  <c r="AN29" i="31"/>
  <c r="AP29" i="31" s="1"/>
  <c r="AR29" i="31"/>
  <c r="AS29" i="31"/>
  <c r="AU29" i="31" s="1"/>
  <c r="AT29" i="31"/>
  <c r="A30" i="31"/>
  <c r="Q28" i="31" s="1"/>
  <c r="D30" i="31"/>
  <c r="M30" i="31"/>
  <c r="O30" i="31" s="1"/>
  <c r="Q30" i="31"/>
  <c r="T30" i="31"/>
  <c r="Y30" i="31"/>
  <c r="AC30" i="31"/>
  <c r="AD30" i="31"/>
  <c r="AE30" i="31"/>
  <c r="AH30" i="31"/>
  <c r="AJ30" i="31"/>
  <c r="AN30" i="31"/>
  <c r="AR30" i="31"/>
  <c r="AT30" i="31" s="1"/>
  <c r="AS30" i="31"/>
  <c r="D31" i="31"/>
  <c r="V31" i="31" s="1"/>
  <c r="I31" i="31"/>
  <c r="K31" i="31" s="1"/>
  <c r="M31" i="31"/>
  <c r="N31" i="31"/>
  <c r="P31" i="31" s="1"/>
  <c r="O31" i="31"/>
  <c r="Q31" i="31"/>
  <c r="T31" i="31"/>
  <c r="X31" i="31"/>
  <c r="Z31" i="31" s="1"/>
  <c r="Y31" i="31"/>
  <c r="AC31" i="31"/>
  <c r="AE31" i="31" s="1"/>
  <c r="AE27" i="31" s="1"/>
  <c r="AD31" i="31"/>
  <c r="AH31" i="31"/>
  <c r="AJ31" i="31" s="1"/>
  <c r="AI31" i="31"/>
  <c r="AM31" i="31"/>
  <c r="AO31" i="31" s="1"/>
  <c r="AN31" i="31"/>
  <c r="AR31" i="31"/>
  <c r="AT31" i="31" s="1"/>
  <c r="AS31" i="31"/>
  <c r="D32" i="31"/>
  <c r="I32" i="31"/>
  <c r="K32" i="31"/>
  <c r="M32" i="31"/>
  <c r="O32" i="31" s="1"/>
  <c r="N32" i="31"/>
  <c r="P32" i="31"/>
  <c r="Q32" i="31"/>
  <c r="T32" i="31"/>
  <c r="V32" i="31"/>
  <c r="X32" i="31"/>
  <c r="Y32" i="31"/>
  <c r="Z32" i="31"/>
  <c r="AA32" i="31"/>
  <c r="AC32" i="31"/>
  <c r="AD32" i="31"/>
  <c r="AE32" i="31"/>
  <c r="AF32" i="31"/>
  <c r="AH32" i="31"/>
  <c r="AI32" i="31"/>
  <c r="AJ32" i="31"/>
  <c r="AK32" i="31"/>
  <c r="AM32" i="31"/>
  <c r="AN32" i="31"/>
  <c r="AO32" i="31"/>
  <c r="AP32" i="31"/>
  <c r="AR32" i="31"/>
  <c r="AS32" i="31"/>
  <c r="AT32" i="31"/>
  <c r="AU32" i="31"/>
  <c r="D33" i="31"/>
  <c r="I33" i="31"/>
  <c r="K33" i="31" s="1"/>
  <c r="M33" i="31"/>
  <c r="N33" i="31"/>
  <c r="P33" i="31" s="1"/>
  <c r="O33" i="31"/>
  <c r="Q33" i="31"/>
  <c r="S33" i="31"/>
  <c r="U33" i="31" s="1"/>
  <c r="T33" i="31"/>
  <c r="X33" i="31"/>
  <c r="Y33" i="31"/>
  <c r="Z33" i="31"/>
  <c r="AC33" i="31"/>
  <c r="AD33" i="31"/>
  <c r="AE33" i="31"/>
  <c r="AH33" i="31"/>
  <c r="AJ33" i="31" s="1"/>
  <c r="AI33" i="31"/>
  <c r="AM33" i="31"/>
  <c r="AO33" i="31" s="1"/>
  <c r="AN33" i="31"/>
  <c r="AR33" i="31"/>
  <c r="AS33" i="31"/>
  <c r="AT33" i="31"/>
  <c r="D34" i="31"/>
  <c r="H34" i="31"/>
  <c r="J34" i="31" s="1"/>
  <c r="I34" i="31"/>
  <c r="K34" i="31"/>
  <c r="M34" i="31"/>
  <c r="O34" i="31" s="1"/>
  <c r="N34" i="31"/>
  <c r="P34" i="31" s="1"/>
  <c r="Q34" i="31"/>
  <c r="S34" i="31"/>
  <c r="T34" i="31"/>
  <c r="U34" i="31"/>
  <c r="V34" i="31"/>
  <c r="X34" i="31"/>
  <c r="Y34" i="31"/>
  <c r="Z34" i="31"/>
  <c r="AA34" i="31"/>
  <c r="AC34" i="31"/>
  <c r="AD34" i="31"/>
  <c r="AE34" i="31"/>
  <c r="AF34" i="31"/>
  <c r="AH34" i="31"/>
  <c r="AI34" i="31"/>
  <c r="AJ34" i="31"/>
  <c r="AK34" i="31"/>
  <c r="AM34" i="31"/>
  <c r="AN34" i="31"/>
  <c r="AO34" i="31"/>
  <c r="AP34" i="31"/>
  <c r="AR34" i="31"/>
  <c r="AS34" i="31"/>
  <c r="AT34" i="31"/>
  <c r="AU34" i="31"/>
  <c r="D35" i="31"/>
  <c r="G35" i="31"/>
  <c r="H35" i="31"/>
  <c r="I35" i="31"/>
  <c r="L35" i="31"/>
  <c r="M35" i="31"/>
  <c r="N35" i="31"/>
  <c r="N36" i="31" s="1"/>
  <c r="R35" i="31"/>
  <c r="S35" i="31"/>
  <c r="S38" i="31" s="1"/>
  <c r="T35" i="31"/>
  <c r="W35" i="31"/>
  <c r="X35" i="31" s="1"/>
  <c r="X38" i="31" s="1"/>
  <c r="Y35" i="31"/>
  <c r="AC35" i="31"/>
  <c r="AD35" i="31"/>
  <c r="AG35" i="31"/>
  <c r="AH35" i="31"/>
  <c r="AH37" i="31" s="1"/>
  <c r="AJ37" i="31" s="1"/>
  <c r="AI35" i="31"/>
  <c r="AL35" i="31"/>
  <c r="AM35" i="31"/>
  <c r="AM36" i="31" s="1"/>
  <c r="AN35" i="31"/>
  <c r="AQ35" i="31"/>
  <c r="AR35" i="31"/>
  <c r="AS35" i="31"/>
  <c r="D36" i="31"/>
  <c r="S36" i="31"/>
  <c r="T36" i="31"/>
  <c r="X36" i="31"/>
  <c r="AC36" i="31"/>
  <c r="AE36" i="31"/>
  <c r="AI36" i="31"/>
  <c r="AN36" i="31"/>
  <c r="AS36" i="31"/>
  <c r="D37" i="31"/>
  <c r="N37" i="31"/>
  <c r="S37" i="31"/>
  <c r="U37" i="31" s="1"/>
  <c r="T37" i="31"/>
  <c r="X37" i="31"/>
  <c r="Z37" i="31"/>
  <c r="AC37" i="31"/>
  <c r="AE37" i="31"/>
  <c r="AI37" i="31"/>
  <c r="AN37" i="31"/>
  <c r="AS37" i="31"/>
  <c r="A38" i="31"/>
  <c r="D38" i="31"/>
  <c r="H38" i="31"/>
  <c r="J38" i="31"/>
  <c r="M38" i="31"/>
  <c r="O38" i="31"/>
  <c r="Q38" i="31"/>
  <c r="T38" i="31"/>
  <c r="U38" i="31"/>
  <c r="V38" i="31"/>
  <c r="Z38" i="31"/>
  <c r="AC38" i="31"/>
  <c r="AE38" i="31"/>
  <c r="AI38" i="31"/>
  <c r="AK38" i="31" s="1"/>
  <c r="AN38" i="31"/>
  <c r="AP38" i="31" s="1"/>
  <c r="AS38" i="31"/>
  <c r="AU38" i="31"/>
  <c r="D39" i="31"/>
  <c r="H39" i="31"/>
  <c r="J39" i="31" s="1"/>
  <c r="M39" i="31"/>
  <c r="O39" i="31" s="1"/>
  <c r="Q39" i="31"/>
  <c r="S39" i="31"/>
  <c r="T39" i="31"/>
  <c r="U39" i="31"/>
  <c r="V39" i="31"/>
  <c r="X39" i="31"/>
  <c r="Z39" i="31"/>
  <c r="AC39" i="31"/>
  <c r="AS39" i="31"/>
  <c r="AU39" i="31"/>
  <c r="D40" i="31"/>
  <c r="S40" i="31"/>
  <c r="U40" i="31" s="1"/>
  <c r="T40" i="31"/>
  <c r="X40" i="31"/>
  <c r="Y40" i="31"/>
  <c r="Z40" i="31"/>
  <c r="AC40" i="31"/>
  <c r="AE40" i="31"/>
  <c r="AI40" i="31"/>
  <c r="AM40" i="31"/>
  <c r="AO40" i="31" s="1"/>
  <c r="AN40" i="31"/>
  <c r="AS40" i="31"/>
  <c r="D41" i="31"/>
  <c r="H41" i="31"/>
  <c r="J41" i="31" s="1"/>
  <c r="I41" i="31"/>
  <c r="K41" i="31" s="1"/>
  <c r="M41" i="31"/>
  <c r="O41" i="31" s="1"/>
  <c r="Q41" i="31"/>
  <c r="S41" i="31"/>
  <c r="T41" i="31"/>
  <c r="U41" i="31"/>
  <c r="V41" i="31"/>
  <c r="X41" i="31"/>
  <c r="Z41" i="31" s="1"/>
  <c r="AC41" i="31"/>
  <c r="AE41" i="31" s="1"/>
  <c r="AH41" i="31"/>
  <c r="AJ41" i="31" s="1"/>
  <c r="AS41" i="31"/>
  <c r="AU41" i="31"/>
  <c r="D42" i="31"/>
  <c r="S42" i="31"/>
  <c r="U42" i="31" s="1"/>
  <c r="T42" i="31"/>
  <c r="X42" i="31"/>
  <c r="Z42" i="31" s="1"/>
  <c r="AC42" i="31"/>
  <c r="AE42" i="31"/>
  <c r="AI42" i="31"/>
  <c r="AN42" i="31"/>
  <c r="AS42" i="31"/>
  <c r="D43" i="31"/>
  <c r="G43" i="31"/>
  <c r="L43" i="31"/>
  <c r="R43" i="31"/>
  <c r="S43" i="31"/>
  <c r="T43" i="31"/>
  <c r="W43" i="31"/>
  <c r="X43" i="31" s="1"/>
  <c r="X44" i="31" s="1"/>
  <c r="Y43" i="31"/>
  <c r="AC43" i="31"/>
  <c r="AC44" i="31" s="1"/>
  <c r="AE44" i="31" s="1"/>
  <c r="AD43" i="31"/>
  <c r="AG43" i="31"/>
  <c r="AH43" i="31"/>
  <c r="AH44" i="31" s="1"/>
  <c r="AJ44" i="31" s="1"/>
  <c r="AI43" i="31"/>
  <c r="AL43" i="31"/>
  <c r="AM43" i="31"/>
  <c r="AN43" i="31"/>
  <c r="AQ43" i="31"/>
  <c r="AR43" i="31"/>
  <c r="AS43" i="31"/>
  <c r="D44" i="31"/>
  <c r="AF44" i="31" s="1"/>
  <c r="F44" i="31"/>
  <c r="Q44" i="31"/>
  <c r="T44" i="31"/>
  <c r="V44" i="31"/>
  <c r="Y44" i="31"/>
  <c r="AD44" i="31"/>
  <c r="AN44" i="31"/>
  <c r="AR44" i="31"/>
  <c r="AS44" i="31"/>
  <c r="D45" i="31"/>
  <c r="F45" i="31"/>
  <c r="AN45" i="31" s="1"/>
  <c r="AP45" i="31" s="1"/>
  <c r="Q45" i="31"/>
  <c r="T45" i="31"/>
  <c r="V45" i="31" s="1"/>
  <c r="A46" i="31"/>
  <c r="D46" i="31"/>
  <c r="F46" i="31"/>
  <c r="Q46" i="31"/>
  <c r="T46" i="31"/>
  <c r="V46" i="31" s="1"/>
  <c r="AN46" i="31"/>
  <c r="AP46" i="31" s="1"/>
  <c r="D47" i="31"/>
  <c r="AF47" i="31" s="1"/>
  <c r="F47" i="31"/>
  <c r="Q47" i="31"/>
  <c r="T47" i="31"/>
  <c r="V47" i="31"/>
  <c r="Y47" i="31"/>
  <c r="AA47" i="31"/>
  <c r="AD47" i="31"/>
  <c r="AI47" i="31"/>
  <c r="AK47" i="31" s="1"/>
  <c r="AN47" i="31"/>
  <c r="AP47" i="31"/>
  <c r="AS47" i="31"/>
  <c r="AU47" i="31"/>
  <c r="D48" i="31"/>
  <c r="G48" i="31"/>
  <c r="I48" i="31" s="1"/>
  <c r="I50" i="31" s="1"/>
  <c r="K48" i="31"/>
  <c r="L48" i="31"/>
  <c r="M48" i="31" s="1"/>
  <c r="R48" i="31"/>
  <c r="S48" i="31"/>
  <c r="S50" i="31" s="1"/>
  <c r="T48" i="31"/>
  <c r="T55" i="31" s="1"/>
  <c r="W48" i="31"/>
  <c r="X48" i="31" s="1"/>
  <c r="Y48" i="31"/>
  <c r="AC48" i="31"/>
  <c r="AC50" i="31" s="1"/>
  <c r="AD48" i="31"/>
  <c r="AD49" i="31" s="1"/>
  <c r="AG48" i="31"/>
  <c r="AH48" i="31"/>
  <c r="AI48" i="31"/>
  <c r="AL48" i="31"/>
  <c r="AM48" i="31"/>
  <c r="AN48" i="31"/>
  <c r="AN49" i="31" s="1"/>
  <c r="AQ48" i="31"/>
  <c r="AR48" i="31"/>
  <c r="AS48" i="31"/>
  <c r="D49" i="31"/>
  <c r="I49" i="31"/>
  <c r="K49" i="31" s="1"/>
  <c r="M49" i="31"/>
  <c r="Q49" i="31"/>
  <c r="S49" i="31"/>
  <c r="X49" i="31"/>
  <c r="AC49" i="31"/>
  <c r="AF49" i="31"/>
  <c r="AI49" i="31"/>
  <c r="AK49" i="31" s="1"/>
  <c r="AM49" i="31"/>
  <c r="AO49" i="31"/>
  <c r="AS49" i="31"/>
  <c r="AU49" i="31" s="1"/>
  <c r="D50" i="31"/>
  <c r="K50" i="31"/>
  <c r="M50" i="31"/>
  <c r="O50" i="31" s="1"/>
  <c r="Q50" i="31"/>
  <c r="U50" i="31"/>
  <c r="AD50" i="31"/>
  <c r="AF50" i="31" s="1"/>
  <c r="AE50" i="31"/>
  <c r="AI50" i="31"/>
  <c r="AK50" i="31"/>
  <c r="AM50" i="31"/>
  <c r="AO50" i="31"/>
  <c r="AS50" i="31"/>
  <c r="AU50" i="31"/>
  <c r="A51" i="31"/>
  <c r="D51" i="31"/>
  <c r="I51" i="31"/>
  <c r="K51" i="31" s="1"/>
  <c r="M51" i="31"/>
  <c r="O51" i="31" s="1"/>
  <c r="Q51" i="31"/>
  <c r="S51" i="31"/>
  <c r="U51" i="31"/>
  <c r="AC51" i="31"/>
  <c r="AD51" i="31"/>
  <c r="AE51" i="31"/>
  <c r="AF51" i="31"/>
  <c r="AH51" i="31"/>
  <c r="AI51" i="31"/>
  <c r="AJ51" i="31"/>
  <c r="AK51" i="31"/>
  <c r="AM51" i="31"/>
  <c r="AO51" i="31"/>
  <c r="AS51" i="31"/>
  <c r="AU51" i="31"/>
  <c r="D52" i="31"/>
  <c r="I52" i="31"/>
  <c r="K52" i="31" s="1"/>
  <c r="M52" i="31"/>
  <c r="O52" i="31" s="1"/>
  <c r="Q52" i="31"/>
  <c r="S52" i="31"/>
  <c r="U52" i="31" s="1"/>
  <c r="AC52" i="31"/>
  <c r="AE52" i="31" s="1"/>
  <c r="AD52" i="31"/>
  <c r="AF52" i="31"/>
  <c r="AH52" i="31"/>
  <c r="AJ52" i="31" s="1"/>
  <c r="AI52" i="31"/>
  <c r="AK52" i="31"/>
  <c r="AM52" i="31"/>
  <c r="AO52" i="31" s="1"/>
  <c r="AS52" i="31"/>
  <c r="AU52" i="31"/>
  <c r="D53" i="31"/>
  <c r="I53" i="31"/>
  <c r="K53" i="31"/>
  <c r="M53" i="31"/>
  <c r="O53" i="31"/>
  <c r="Q53" i="31"/>
  <c r="S53" i="31"/>
  <c r="U53" i="31"/>
  <c r="Y53" i="31"/>
  <c r="AC53" i="31"/>
  <c r="AD53" i="31"/>
  <c r="AE53" i="31"/>
  <c r="AH53" i="31"/>
  <c r="AI53" i="31"/>
  <c r="AJ53" i="31"/>
  <c r="AM53" i="31"/>
  <c r="AO53" i="31"/>
  <c r="AS53" i="31"/>
  <c r="D54" i="31"/>
  <c r="I54" i="31"/>
  <c r="K54" i="31" s="1"/>
  <c r="M54" i="31"/>
  <c r="O54" i="31" s="1"/>
  <c r="Q54" i="31"/>
  <c r="S54" i="31"/>
  <c r="U54" i="31" s="1"/>
  <c r="AC54" i="31"/>
  <c r="AE54" i="31" s="1"/>
  <c r="AD54" i="31"/>
  <c r="AF54" i="31"/>
  <c r="AH54" i="31"/>
  <c r="AJ54" i="31" s="1"/>
  <c r="AI54" i="31"/>
  <c r="AK54" i="31"/>
  <c r="AM54" i="31"/>
  <c r="AO54" i="31" s="1"/>
  <c r="AS54" i="31"/>
  <c r="AU54" i="31"/>
  <c r="D55" i="31"/>
  <c r="I55" i="31"/>
  <c r="K55" i="31"/>
  <c r="M55" i="31"/>
  <c r="O55" i="31"/>
  <c r="Q55" i="31"/>
  <c r="S55" i="31"/>
  <c r="U55" i="31"/>
  <c r="Y55" i="31"/>
  <c r="AC55" i="31"/>
  <c r="AD55" i="31"/>
  <c r="AE55" i="31"/>
  <c r="AH55" i="31"/>
  <c r="AI55" i="31"/>
  <c r="AJ55" i="31"/>
  <c r="AM55" i="31"/>
  <c r="AN55" i="31"/>
  <c r="AO55" i="31"/>
  <c r="AS55" i="31"/>
  <c r="D56" i="31"/>
  <c r="G56" i="31"/>
  <c r="L56" i="31"/>
  <c r="M56" i="31" s="1"/>
  <c r="R56" i="31"/>
  <c r="S56" i="31"/>
  <c r="T56" i="31"/>
  <c r="T62" i="31" s="1"/>
  <c r="W56" i="31"/>
  <c r="X56" i="31"/>
  <c r="X63" i="31" s="1"/>
  <c r="Z63" i="31" s="1"/>
  <c r="Y56" i="31"/>
  <c r="Y57" i="31" s="1"/>
  <c r="AB56" i="31"/>
  <c r="AC56" i="31"/>
  <c r="AC57" i="31" s="1"/>
  <c r="AD56" i="31"/>
  <c r="AD57" i="31" s="1"/>
  <c r="AG56" i="31"/>
  <c r="AH56" i="31"/>
  <c r="AH57" i="31" s="1"/>
  <c r="AI56" i="31"/>
  <c r="AL56" i="31"/>
  <c r="AM56" i="31"/>
  <c r="AN56" i="31"/>
  <c r="AN58" i="31" s="1"/>
  <c r="AQ56" i="31"/>
  <c r="AR56" i="31"/>
  <c r="AS56" i="31"/>
  <c r="AS57" i="31" s="1"/>
  <c r="D57" i="31"/>
  <c r="AA57" i="31" s="1"/>
  <c r="E57" i="31"/>
  <c r="S57" i="31"/>
  <c r="AE57" i="31"/>
  <c r="AI57" i="31"/>
  <c r="AM57" i="31"/>
  <c r="D58" i="31"/>
  <c r="E58" i="31"/>
  <c r="S58" i="31"/>
  <c r="T58" i="31"/>
  <c r="U58" i="31"/>
  <c r="Y58" i="31"/>
  <c r="AD58" i="31"/>
  <c r="AI58" i="31"/>
  <c r="AM58" i="31"/>
  <c r="AO58" i="31"/>
  <c r="AS58" i="31"/>
  <c r="D59" i="31"/>
  <c r="E59" i="31"/>
  <c r="S59" i="31"/>
  <c r="U59" i="31" s="1"/>
  <c r="Y59" i="31"/>
  <c r="AA59" i="31"/>
  <c r="AC59" i="31"/>
  <c r="AE59" i="31" s="1"/>
  <c r="AD59" i="31"/>
  <c r="AF59" i="31"/>
  <c r="AH59" i="31"/>
  <c r="AJ59" i="31" s="1"/>
  <c r="AI59" i="31"/>
  <c r="AK59" i="31"/>
  <c r="AM59" i="31"/>
  <c r="AO59" i="31" s="1"/>
  <c r="AS59" i="31"/>
  <c r="AU59" i="31"/>
  <c r="D60" i="31"/>
  <c r="E60" i="31"/>
  <c r="S60" i="31"/>
  <c r="T60" i="31"/>
  <c r="U60" i="31"/>
  <c r="Y60" i="31"/>
  <c r="AD60" i="31"/>
  <c r="AH60" i="31"/>
  <c r="AI60" i="31"/>
  <c r="AJ60" i="31"/>
  <c r="AM60" i="31"/>
  <c r="AO60" i="31"/>
  <c r="AS60" i="31"/>
  <c r="D61" i="31"/>
  <c r="E61" i="31"/>
  <c r="E74" i="31" s="1"/>
  <c r="S61" i="31"/>
  <c r="U61" i="31" s="1"/>
  <c r="Y61" i="31"/>
  <c r="AA61" i="31"/>
  <c r="AC61" i="31"/>
  <c r="AE61" i="31" s="1"/>
  <c r="AD61" i="31"/>
  <c r="AF61" i="31"/>
  <c r="AH61" i="31"/>
  <c r="AJ61" i="31" s="1"/>
  <c r="AI61" i="31"/>
  <c r="AK61" i="31"/>
  <c r="AM61" i="31"/>
  <c r="AO61" i="31" s="1"/>
  <c r="AS61" i="31"/>
  <c r="AU61" i="31"/>
  <c r="D62" i="31"/>
  <c r="E62" i="31"/>
  <c r="S62" i="31"/>
  <c r="U62" i="31"/>
  <c r="Y62" i="31"/>
  <c r="AC62" i="31"/>
  <c r="AD62" i="31"/>
  <c r="AE62" i="31"/>
  <c r="AH62" i="31"/>
  <c r="AI62" i="31"/>
  <c r="AJ62" i="31"/>
  <c r="AM62" i="31"/>
  <c r="AO62" i="31"/>
  <c r="AS62" i="31"/>
  <c r="D63" i="31"/>
  <c r="E63" i="31"/>
  <c r="S63" i="31"/>
  <c r="U63" i="31" s="1"/>
  <c r="Y63" i="31"/>
  <c r="AA63" i="31"/>
  <c r="AC63" i="31"/>
  <c r="AE63" i="31" s="1"/>
  <c r="AD63" i="31"/>
  <c r="AF63" i="31"/>
  <c r="AH63" i="31"/>
  <c r="AJ63" i="31" s="1"/>
  <c r="AI63" i="31"/>
  <c r="AK63" i="31"/>
  <c r="AM63" i="31"/>
  <c r="AO63" i="31" s="1"/>
  <c r="AR63" i="31"/>
  <c r="AT63" i="31" s="1"/>
  <c r="AS63" i="31"/>
  <c r="AU63" i="31"/>
  <c r="D64" i="31"/>
  <c r="K64" i="31" s="1"/>
  <c r="G64" i="31"/>
  <c r="H64" i="31" s="1"/>
  <c r="I64" i="31"/>
  <c r="I68" i="31" s="1"/>
  <c r="L64" i="31"/>
  <c r="M64" i="31"/>
  <c r="M67" i="31" s="1"/>
  <c r="O67" i="31" s="1"/>
  <c r="N64" i="31"/>
  <c r="N68" i="31" s="1"/>
  <c r="R64" i="31"/>
  <c r="S64" i="31"/>
  <c r="S66" i="31" s="1"/>
  <c r="U66" i="31" s="1"/>
  <c r="T64" i="31"/>
  <c r="T65" i="31" s="1"/>
  <c r="V65" i="31" s="1"/>
  <c r="W64" i="31"/>
  <c r="X64" i="31" s="1"/>
  <c r="Y64" i="31"/>
  <c r="AB64" i="31"/>
  <c r="AC64" i="31"/>
  <c r="AD64" i="31"/>
  <c r="AD65" i="31" s="1"/>
  <c r="AG64" i="31"/>
  <c r="AH64" i="31"/>
  <c r="AH68" i="31" s="1"/>
  <c r="AJ68" i="31" s="1"/>
  <c r="AI64" i="31"/>
  <c r="AI65" i="31" s="1"/>
  <c r="AL64" i="31"/>
  <c r="AM64" i="31"/>
  <c r="AM68" i="31" s="1"/>
  <c r="AN64" i="31"/>
  <c r="AN65" i="31" s="1"/>
  <c r="AP65" i="31" s="1"/>
  <c r="AQ64" i="31"/>
  <c r="AR64" i="31"/>
  <c r="AR65" i="31" s="1"/>
  <c r="AS64" i="31"/>
  <c r="D65" i="31"/>
  <c r="I65" i="31"/>
  <c r="K65" i="31" s="1"/>
  <c r="M65" i="31"/>
  <c r="Q65" i="31"/>
  <c r="Y65" i="31"/>
  <c r="AA65" i="31" s="1"/>
  <c r="AC65" i="31"/>
  <c r="AK65" i="31"/>
  <c r="AM65" i="31"/>
  <c r="AO65" i="31" s="1"/>
  <c r="AO64" i="31" s="1"/>
  <c r="AS65" i="31"/>
  <c r="AU65" i="31" s="1"/>
  <c r="AT65" i="31"/>
  <c r="D66" i="31"/>
  <c r="H66" i="31"/>
  <c r="J66" i="31" s="1"/>
  <c r="I66" i="31"/>
  <c r="K66" i="31" s="1"/>
  <c r="N66" i="31"/>
  <c r="P66" i="31" s="1"/>
  <c r="T66" i="31"/>
  <c r="V66" i="31" s="1"/>
  <c r="X66" i="31"/>
  <c r="Z66" i="31" s="1"/>
  <c r="Y66" i="31"/>
  <c r="AA66" i="31"/>
  <c r="AC66" i="31"/>
  <c r="AE66" i="31" s="1"/>
  <c r="AD66" i="31"/>
  <c r="AF66" i="31" s="1"/>
  <c r="AH66" i="31"/>
  <c r="AJ66" i="31" s="1"/>
  <c r="AI66" i="31"/>
  <c r="AK66" i="31" s="1"/>
  <c r="AM66" i="31"/>
  <c r="AO66" i="31" s="1"/>
  <c r="AN66" i="31"/>
  <c r="AP66" i="31" s="1"/>
  <c r="AR66" i="31"/>
  <c r="AT66" i="31" s="1"/>
  <c r="AS66" i="31"/>
  <c r="AU66" i="31"/>
  <c r="A67" i="31"/>
  <c r="Q67" i="31" s="1"/>
  <c r="D67" i="31"/>
  <c r="N67" i="31"/>
  <c r="P67" i="31"/>
  <c r="T67" i="31"/>
  <c r="X67" i="31"/>
  <c r="Z67" i="31" s="1"/>
  <c r="Y67" i="31"/>
  <c r="AC67" i="31"/>
  <c r="AD67" i="31"/>
  <c r="AE67" i="31"/>
  <c r="AM67" i="31"/>
  <c r="AO67" i="31" s="1"/>
  <c r="AN67" i="31"/>
  <c r="AR67" i="31"/>
  <c r="AT67" i="31" s="1"/>
  <c r="AS67" i="31"/>
  <c r="D68" i="31"/>
  <c r="AA68" i="31" s="1"/>
  <c r="H68" i="31"/>
  <c r="J68" i="31" s="1"/>
  <c r="M68" i="31"/>
  <c r="O68" i="31" s="1"/>
  <c r="T68" i="31"/>
  <c r="Y68" i="31"/>
  <c r="AC68" i="31"/>
  <c r="AE68" i="31"/>
  <c r="AI68" i="31"/>
  <c r="AK68" i="31"/>
  <c r="AN68" i="31"/>
  <c r="AO68" i="31"/>
  <c r="AR68" i="31"/>
  <c r="AS68" i="31"/>
  <c r="AT68" i="31"/>
  <c r="D69" i="31"/>
  <c r="G69" i="31"/>
  <c r="H69" i="31" s="1"/>
  <c r="L69" i="31"/>
  <c r="M69" i="31" s="1"/>
  <c r="N69" i="31"/>
  <c r="N71" i="31" s="1"/>
  <c r="P71" i="31" s="1"/>
  <c r="R69" i="31"/>
  <c r="S69" i="31"/>
  <c r="S70" i="31" s="1"/>
  <c r="T69" i="31"/>
  <c r="T73" i="31" s="1"/>
  <c r="W69" i="31"/>
  <c r="X69" i="31" s="1"/>
  <c r="Y69" i="31"/>
  <c r="Y70" i="31" s="1"/>
  <c r="AA70" i="31" s="1"/>
  <c r="AB69" i="31"/>
  <c r="AC69" i="31"/>
  <c r="AC70" i="31" s="1"/>
  <c r="AD69" i="31"/>
  <c r="AG69" i="31"/>
  <c r="AH69" i="31"/>
  <c r="AI69" i="31"/>
  <c r="AI70" i="31" s="1"/>
  <c r="AL69" i="31"/>
  <c r="AM69" i="31"/>
  <c r="AM70" i="31" s="1"/>
  <c r="AN69" i="31"/>
  <c r="AN73" i="31" s="1"/>
  <c r="AQ69" i="31"/>
  <c r="AR69" i="31"/>
  <c r="AS69" i="31"/>
  <c r="AS70" i="31" s="1"/>
  <c r="AU70" i="31" s="1"/>
  <c r="D70" i="31"/>
  <c r="P70" i="31" s="1"/>
  <c r="N70" i="31"/>
  <c r="T70" i="31"/>
  <c r="V70" i="31"/>
  <c r="V69" i="31" s="1"/>
  <c r="AD70" i="31"/>
  <c r="AF70" i="31" s="1"/>
  <c r="AH70" i="31"/>
  <c r="AJ70" i="31" s="1"/>
  <c r="AN70" i="31"/>
  <c r="AP70" i="31"/>
  <c r="AR70" i="31"/>
  <c r="AT70" i="31"/>
  <c r="A71" i="31"/>
  <c r="Q70" i="31" s="1"/>
  <c r="D71" i="31"/>
  <c r="Q71" i="31"/>
  <c r="T71" i="31"/>
  <c r="V71" i="31"/>
  <c r="Y71" i="31"/>
  <c r="AA71" i="31"/>
  <c r="AC71" i="31"/>
  <c r="AE71" i="31" s="1"/>
  <c r="AD71" i="31"/>
  <c r="AF71" i="31"/>
  <c r="AH71" i="31"/>
  <c r="AJ71" i="31" s="1"/>
  <c r="AN71" i="31"/>
  <c r="AP71" i="31"/>
  <c r="AR71" i="31"/>
  <c r="AQ70" i="31" s="1"/>
  <c r="AS71" i="31"/>
  <c r="AU71" i="31"/>
  <c r="D72" i="31"/>
  <c r="V72" i="31" s="1"/>
  <c r="N72" i="31"/>
  <c r="P72" i="31" s="1"/>
  <c r="S72" i="31"/>
  <c r="U72" i="31" s="1"/>
  <c r="T72" i="31"/>
  <c r="Y72" i="31"/>
  <c r="AC72" i="31"/>
  <c r="AE72" i="31" s="1"/>
  <c r="AD72" i="31"/>
  <c r="AH72" i="31"/>
  <c r="AJ72" i="31" s="1"/>
  <c r="AM72" i="31"/>
  <c r="AO72" i="31" s="1"/>
  <c r="AN72" i="31"/>
  <c r="AR72" i="31"/>
  <c r="AT72" i="31" s="1"/>
  <c r="AS72" i="31"/>
  <c r="D73" i="31"/>
  <c r="V73" i="31" s="1"/>
  <c r="Q73" i="31"/>
  <c r="AC73" i="31"/>
  <c r="AD73" i="31"/>
  <c r="AE73" i="31"/>
  <c r="AH73" i="31"/>
  <c r="AJ73" i="31"/>
  <c r="AR73" i="31"/>
  <c r="AT73" i="31"/>
  <c r="D74" i="31"/>
  <c r="AS74" i="31"/>
  <c r="D75" i="31"/>
  <c r="AS75" i="31"/>
  <c r="D4" i="30"/>
  <c r="F4" i="30" s="1"/>
  <c r="E4" i="30"/>
  <c r="G4" i="30"/>
  <c r="D5" i="30"/>
  <c r="E5" i="30"/>
  <c r="H6" i="30"/>
  <c r="E7" i="30"/>
  <c r="F7" i="30"/>
  <c r="D8" i="30"/>
  <c r="E8" i="30" s="1"/>
  <c r="F8" i="30"/>
  <c r="G8" i="30" s="1"/>
  <c r="E10" i="30"/>
  <c r="F10" i="30"/>
  <c r="H10" i="30" s="1"/>
  <c r="G10" i="30"/>
  <c r="I10" i="30"/>
  <c r="D12" i="30"/>
  <c r="F12" i="30"/>
  <c r="F13" i="30"/>
  <c r="H13" i="30"/>
  <c r="D17" i="30"/>
  <c r="G17" i="30"/>
  <c r="D18" i="30"/>
  <c r="S18" i="30"/>
  <c r="R18" i="30" s="1"/>
  <c r="R28" i="30" s="1"/>
  <c r="S19" i="30"/>
  <c r="E20" i="30"/>
  <c r="R21" i="30"/>
  <c r="S21" i="30"/>
  <c r="S22" i="30"/>
  <c r="D28" i="30"/>
  <c r="D29" i="30"/>
  <c r="D30" i="30"/>
  <c r="A31" i="30"/>
  <c r="D31" i="30"/>
  <c r="A32" i="30"/>
  <c r="D32" i="30"/>
  <c r="A33" i="30"/>
  <c r="D33" i="30"/>
  <c r="R33" i="30"/>
  <c r="A34" i="30"/>
  <c r="D34" i="30"/>
  <c r="A35" i="30"/>
  <c r="D35" i="30"/>
  <c r="A36" i="30"/>
  <c r="D36" i="30"/>
  <c r="A37" i="30"/>
  <c r="D37" i="30"/>
  <c r="R37" i="30"/>
  <c r="O48" i="30"/>
  <c r="S48" i="30"/>
  <c r="D52" i="30"/>
  <c r="S52" i="30"/>
  <c r="D53" i="30"/>
  <c r="R53" i="30"/>
  <c r="S53" i="30"/>
  <c r="S54" i="30"/>
  <c r="E55" i="30"/>
  <c r="S55" i="30"/>
  <c r="E56" i="30"/>
  <c r="S56" i="30"/>
  <c r="R56" i="30" s="1"/>
  <c r="S57" i="30"/>
  <c r="D61" i="30"/>
  <c r="R61" i="30"/>
  <c r="D62" i="30"/>
  <c r="D63" i="30"/>
  <c r="D64" i="30"/>
  <c r="D65" i="30"/>
  <c r="D66" i="30"/>
  <c r="D67" i="30"/>
  <c r="R3" i="29"/>
  <c r="R7" i="29"/>
  <c r="R4" i="29" s="1"/>
  <c r="R4" i="28"/>
  <c r="F5" i="28"/>
  <c r="G5" i="28"/>
  <c r="F6" i="28"/>
  <c r="G6" i="28"/>
  <c r="R8" i="28"/>
  <c r="R5" i="28" s="1"/>
  <c r="G9" i="28"/>
  <c r="H9" i="28"/>
  <c r="I9" i="28"/>
  <c r="J9" i="28"/>
  <c r="K9" i="28"/>
  <c r="L9" i="28"/>
  <c r="F11" i="28"/>
  <c r="G11" i="28"/>
  <c r="F12" i="28"/>
  <c r="D4" i="27"/>
  <c r="E4" i="27"/>
  <c r="F4" i="27"/>
  <c r="G4" i="27"/>
  <c r="H4" i="27"/>
  <c r="I4" i="27"/>
  <c r="J4" i="27"/>
  <c r="K4" i="27"/>
  <c r="L4" i="27"/>
  <c r="M4" i="27"/>
  <c r="N4" i="27"/>
  <c r="O4" i="27"/>
  <c r="P4" i="27"/>
  <c r="Q4" i="27"/>
  <c r="R4" i="27"/>
  <c r="S4" i="27"/>
  <c r="D5" i="27"/>
  <c r="E5" i="27"/>
  <c r="F5" i="27"/>
  <c r="G5" i="27"/>
  <c r="H6" i="27"/>
  <c r="H68" i="27" s="1"/>
  <c r="H69" i="27" s="1"/>
  <c r="S3" i="34" s="1"/>
  <c r="J6" i="27"/>
  <c r="J5" i="27" s="1"/>
  <c r="L6" i="27"/>
  <c r="L5" i="27" s="1"/>
  <c r="N6" i="27"/>
  <c r="R6" i="27"/>
  <c r="S6" i="27"/>
  <c r="M12" i="26" s="1"/>
  <c r="E7" i="27"/>
  <c r="G7" i="27"/>
  <c r="I7" i="27"/>
  <c r="K7" i="27"/>
  <c r="M7" i="27"/>
  <c r="O7" i="27"/>
  <c r="Q7" i="27"/>
  <c r="S7" i="27"/>
  <c r="D8" i="27"/>
  <c r="E8" i="27"/>
  <c r="F8" i="27"/>
  <c r="G8" i="27"/>
  <c r="H8" i="27"/>
  <c r="I8" i="27"/>
  <c r="J8" i="27"/>
  <c r="K8" i="27"/>
  <c r="L8" i="27"/>
  <c r="M8" i="27"/>
  <c r="N8" i="27"/>
  <c r="O8" i="27"/>
  <c r="P8" i="27"/>
  <c r="Q8" i="27"/>
  <c r="S8" i="27"/>
  <c r="H12" i="26"/>
  <c r="K9" i="27"/>
  <c r="M9" i="27"/>
  <c r="O9" i="27"/>
  <c r="Q9" i="27"/>
  <c r="P6" i="27" s="1"/>
  <c r="R9" i="27"/>
  <c r="S9" i="27"/>
  <c r="E10" i="27"/>
  <c r="G10" i="27"/>
  <c r="I10" i="27"/>
  <c r="K10" i="27"/>
  <c r="M10" i="27"/>
  <c r="O10" i="27"/>
  <c r="Q10" i="27"/>
  <c r="S10" i="27"/>
  <c r="D11" i="27"/>
  <c r="F12" i="27" s="1"/>
  <c r="D12" i="27"/>
  <c r="H12" i="27"/>
  <c r="J12" i="27"/>
  <c r="L12" i="27"/>
  <c r="N12" i="27"/>
  <c r="P12" i="27"/>
  <c r="R12" i="27"/>
  <c r="F13" i="27"/>
  <c r="H13" i="27"/>
  <c r="J13" i="27"/>
  <c r="L13" i="27"/>
  <c r="N13" i="27"/>
  <c r="P13" i="27"/>
  <c r="R13" i="27"/>
  <c r="D17" i="27"/>
  <c r="F17" i="27"/>
  <c r="G17" i="27"/>
  <c r="H17" i="27"/>
  <c r="H18" i="27" s="1"/>
  <c r="H28" i="27" s="1"/>
  <c r="I17" i="27"/>
  <c r="K17" i="27" s="1"/>
  <c r="J17" i="27"/>
  <c r="D18" i="27"/>
  <c r="G18" i="27"/>
  <c r="I18" i="27"/>
  <c r="K18" i="27"/>
  <c r="K53" i="27" s="1"/>
  <c r="D20" i="27"/>
  <c r="D55" i="27" s="1"/>
  <c r="E20" i="27"/>
  <c r="F20" i="27"/>
  <c r="G20" i="27"/>
  <c r="H20" i="27"/>
  <c r="H55" i="27" s="1"/>
  <c r="I20" i="27"/>
  <c r="E21" i="27"/>
  <c r="F21" i="27"/>
  <c r="G21" i="27"/>
  <c r="H21" i="27"/>
  <c r="H56" i="27" s="1"/>
  <c r="R32" i="34" s="1"/>
  <c r="I21" i="27"/>
  <c r="D28" i="27"/>
  <c r="D29" i="27"/>
  <c r="F29" i="27"/>
  <c r="H29" i="27"/>
  <c r="D30" i="27"/>
  <c r="H30" i="27"/>
  <c r="A31" i="27"/>
  <c r="D31" i="27"/>
  <c r="H31" i="27"/>
  <c r="A32" i="27"/>
  <c r="D32" i="27"/>
  <c r="H32" i="27"/>
  <c r="A33" i="27"/>
  <c r="D33" i="27"/>
  <c r="H33" i="27"/>
  <c r="A34" i="27"/>
  <c r="D34" i="27"/>
  <c r="H34" i="27"/>
  <c r="A35" i="27"/>
  <c r="D35" i="27"/>
  <c r="H35" i="27"/>
  <c r="A36" i="27"/>
  <c r="D36" i="27"/>
  <c r="H36" i="27"/>
  <c r="A37" i="27"/>
  <c r="D37" i="27"/>
  <c r="H37" i="27"/>
  <c r="O41" i="27"/>
  <c r="Q41" i="27"/>
  <c r="O42" i="27"/>
  <c r="Q42" i="27"/>
  <c r="O43" i="27"/>
  <c r="Q43" i="27"/>
  <c r="O44" i="27"/>
  <c r="Q44" i="27"/>
  <c r="O45" i="27"/>
  <c r="O48" i="27" s="1"/>
  <c r="Q45" i="27"/>
  <c r="O46" i="27"/>
  <c r="Q46" i="27"/>
  <c r="O47" i="27"/>
  <c r="Q47" i="27"/>
  <c r="S48" i="27"/>
  <c r="D52" i="27"/>
  <c r="G52" i="27"/>
  <c r="H52" i="27"/>
  <c r="I52" i="27"/>
  <c r="D53" i="27"/>
  <c r="G53" i="27"/>
  <c r="I53" i="27"/>
  <c r="M53" i="27"/>
  <c r="O53" i="27"/>
  <c r="Q53" i="27"/>
  <c r="I54" i="27"/>
  <c r="J54" i="27"/>
  <c r="K54" i="27"/>
  <c r="E55" i="27"/>
  <c r="F55" i="27"/>
  <c r="G55" i="27"/>
  <c r="I55" i="27"/>
  <c r="E56" i="27"/>
  <c r="F56" i="27"/>
  <c r="G56" i="27"/>
  <c r="I56" i="27"/>
  <c r="H57" i="27"/>
  <c r="S32" i="34" s="1"/>
  <c r="I57" i="27"/>
  <c r="D61" i="27"/>
  <c r="D62" i="27"/>
  <c r="D63" i="27"/>
  <c r="D64" i="27"/>
  <c r="D65" i="27"/>
  <c r="D66" i="27"/>
  <c r="D67" i="27"/>
  <c r="R4" i="26"/>
  <c r="R8" i="26" s="1"/>
  <c r="G9" i="26"/>
  <c r="H9" i="26"/>
  <c r="I9" i="26"/>
  <c r="J9" i="26"/>
  <c r="K9" i="26"/>
  <c r="L9" i="26"/>
  <c r="M9" i="26"/>
  <c r="F11" i="26"/>
  <c r="G11" i="26"/>
  <c r="H11" i="26"/>
  <c r="I11" i="26"/>
  <c r="J11" i="26"/>
  <c r="K11" i="26"/>
  <c r="L11" i="26"/>
  <c r="M11" i="26"/>
  <c r="F12" i="26"/>
  <c r="I12" i="26"/>
  <c r="J12" i="26"/>
  <c r="K12" i="26"/>
  <c r="F17" i="26"/>
  <c r="G17" i="26"/>
  <c r="G16" i="20"/>
  <c r="J16" i="20"/>
  <c r="K16" i="20"/>
  <c r="L16" i="20"/>
  <c r="M16" i="20"/>
  <c r="F16" i="20"/>
  <c r="I20" i="21"/>
  <c r="H3" i="24"/>
  <c r="I3" i="24"/>
  <c r="M3" i="24"/>
  <c r="N3" i="24"/>
  <c r="W3" i="24"/>
  <c r="X3" i="24"/>
  <c r="AB3" i="24"/>
  <c r="AC3" i="24"/>
  <c r="AG3" i="24"/>
  <c r="AH3" i="24"/>
  <c r="AL3" i="24"/>
  <c r="AM3" i="24"/>
  <c r="AQ3" i="24"/>
  <c r="AR3" i="24"/>
  <c r="D4" i="24"/>
  <c r="D5" i="24"/>
  <c r="A6" i="24"/>
  <c r="D6" i="24"/>
  <c r="D7" i="24"/>
  <c r="D8" i="24"/>
  <c r="D9" i="24"/>
  <c r="D10" i="24"/>
  <c r="H11" i="24"/>
  <c r="I11" i="24"/>
  <c r="M11" i="24"/>
  <c r="N11" i="24"/>
  <c r="W11" i="24"/>
  <c r="X11" i="24"/>
  <c r="AB11" i="24"/>
  <c r="AC11" i="24"/>
  <c r="AG11" i="24"/>
  <c r="AH11" i="24"/>
  <c r="AL11" i="24"/>
  <c r="AM11" i="24"/>
  <c r="AQ11" i="24"/>
  <c r="AR11" i="24"/>
  <c r="D12" i="24"/>
  <c r="G12" i="24"/>
  <c r="L12" i="24"/>
  <c r="Q12" i="24"/>
  <c r="V12" i="24"/>
  <c r="AA12" i="24"/>
  <c r="AP12" i="24"/>
  <c r="D13" i="24"/>
  <c r="A14" i="24"/>
  <c r="D14" i="24"/>
  <c r="D15" i="24"/>
  <c r="D16" i="24"/>
  <c r="D17" i="24"/>
  <c r="D18" i="24"/>
  <c r="H19" i="24"/>
  <c r="I19" i="24"/>
  <c r="M19" i="24"/>
  <c r="N19" i="24"/>
  <c r="W19" i="24"/>
  <c r="X19" i="24"/>
  <c r="AB19" i="24"/>
  <c r="AC19" i="24"/>
  <c r="AG19" i="24"/>
  <c r="AH19" i="24"/>
  <c r="AL19" i="24"/>
  <c r="AM19" i="24"/>
  <c r="AQ19" i="24"/>
  <c r="AR19" i="24"/>
  <c r="D20" i="24"/>
  <c r="D21" i="24"/>
  <c r="I21" i="24"/>
  <c r="K21" i="24" s="1"/>
  <c r="N21" i="24"/>
  <c r="P21" i="24" s="1"/>
  <c r="S21" i="24"/>
  <c r="U21" i="24" s="1"/>
  <c r="A22" i="24"/>
  <c r="D22" i="24"/>
  <c r="D23" i="24"/>
  <c r="F23" i="24"/>
  <c r="H24" i="24"/>
  <c r="I24" i="24"/>
  <c r="M24" i="24"/>
  <c r="W24" i="24"/>
  <c r="X24" i="24"/>
  <c r="AB24" i="24"/>
  <c r="AC24" i="24"/>
  <c r="AG24" i="24"/>
  <c r="AH24" i="24"/>
  <c r="AL24" i="24"/>
  <c r="AM24" i="24"/>
  <c r="AQ24" i="24"/>
  <c r="AR24" i="24"/>
  <c r="D25" i="24"/>
  <c r="D26" i="24"/>
  <c r="A27" i="24"/>
  <c r="F27" i="24" s="1"/>
  <c r="D27" i="24"/>
  <c r="D28" i="24"/>
  <c r="F28" i="24"/>
  <c r="H28" i="24" s="1"/>
  <c r="J28" i="24" s="1"/>
  <c r="W28" i="24"/>
  <c r="Y28" i="24" s="1"/>
  <c r="AB28" i="24"/>
  <c r="AD28" i="24" s="1"/>
  <c r="AG28" i="24"/>
  <c r="AI28" i="24" s="1"/>
  <c r="AH28" i="24"/>
  <c r="AJ28" i="24"/>
  <c r="AL28" i="24"/>
  <c r="AN28" i="24" s="1"/>
  <c r="AM28" i="24"/>
  <c r="AO28" i="24"/>
  <c r="AQ28" i="24"/>
  <c r="AS28" i="24" s="1"/>
  <c r="AR28" i="24"/>
  <c r="AT28" i="24"/>
  <c r="D29" i="24"/>
  <c r="K29" i="24" s="1"/>
  <c r="F29" i="24"/>
  <c r="H29" i="24" s="1"/>
  <c r="J29" i="24" s="1"/>
  <c r="I29" i="24"/>
  <c r="M29" i="24"/>
  <c r="N29" i="24"/>
  <c r="O29" i="24"/>
  <c r="W29" i="24"/>
  <c r="X29" i="24"/>
  <c r="Y29" i="24"/>
  <c r="AB29" i="24"/>
  <c r="AC29" i="24"/>
  <c r="AD29" i="24"/>
  <c r="AG29" i="24"/>
  <c r="AH29" i="24"/>
  <c r="AJ29" i="24" s="1"/>
  <c r="AI29" i="24"/>
  <c r="AL29" i="24"/>
  <c r="AM29" i="24"/>
  <c r="AO29" i="24" s="1"/>
  <c r="AN29" i="24"/>
  <c r="AQ29" i="24"/>
  <c r="AR29" i="24"/>
  <c r="AT29" i="24" s="1"/>
  <c r="AS29" i="24"/>
  <c r="D30" i="24"/>
  <c r="F30" i="24"/>
  <c r="H30" i="24" s="1"/>
  <c r="J30" i="24" s="1"/>
  <c r="W30" i="24"/>
  <c r="Y30" i="24" s="1"/>
  <c r="AB30" i="24"/>
  <c r="AD30" i="24" s="1"/>
  <c r="AG30" i="24"/>
  <c r="AI30" i="24" s="1"/>
  <c r="AL30" i="24"/>
  <c r="AN30" i="24" s="1"/>
  <c r="AQ30" i="24"/>
  <c r="AS30" i="24" s="1"/>
  <c r="D31" i="24"/>
  <c r="K31" i="24" s="1"/>
  <c r="F31" i="24"/>
  <c r="H31" i="24"/>
  <c r="I31" i="24"/>
  <c r="J31" i="24"/>
  <c r="M31" i="24"/>
  <c r="N31" i="24"/>
  <c r="O31" i="24"/>
  <c r="W31" i="24"/>
  <c r="X31" i="24"/>
  <c r="Y31" i="24"/>
  <c r="AB31" i="24"/>
  <c r="AC31" i="24"/>
  <c r="AD31" i="24"/>
  <c r="AG31" i="24"/>
  <c r="AH31" i="24"/>
  <c r="AI31" i="24"/>
  <c r="AL31" i="24"/>
  <c r="AM31" i="24"/>
  <c r="AN31" i="24"/>
  <c r="AQ31" i="24"/>
  <c r="AR31" i="24"/>
  <c r="AS31" i="24"/>
  <c r="H32" i="24"/>
  <c r="I32" i="24"/>
  <c r="M32" i="24"/>
  <c r="W32" i="24"/>
  <c r="W35" i="24" s="1"/>
  <c r="Y35" i="24" s="1"/>
  <c r="X32" i="24"/>
  <c r="AB32" i="24"/>
  <c r="AB35" i="24" s="1"/>
  <c r="AD35" i="24" s="1"/>
  <c r="AC32" i="24"/>
  <c r="AG32" i="24"/>
  <c r="AH32" i="24"/>
  <c r="AL32" i="24"/>
  <c r="AM32" i="24"/>
  <c r="AQ32" i="24"/>
  <c r="AQ33" i="24" s="1"/>
  <c r="AS33" i="24" s="1"/>
  <c r="AR32" i="24"/>
  <c r="D33" i="24"/>
  <c r="K33" i="24" s="1"/>
  <c r="E33" i="24"/>
  <c r="H33" i="24"/>
  <c r="J33" i="24" s="1"/>
  <c r="I33" i="24"/>
  <c r="M33" i="24"/>
  <c r="O33" i="24" s="1"/>
  <c r="N33" i="24"/>
  <c r="P33" i="24"/>
  <c r="W33" i="24"/>
  <c r="Y33" i="24" s="1"/>
  <c r="X33" i="24"/>
  <c r="Z33" i="24"/>
  <c r="AB33" i="24"/>
  <c r="AD33" i="24" s="1"/>
  <c r="AC33" i="24"/>
  <c r="AE33" i="24"/>
  <c r="AG33" i="24"/>
  <c r="AH33" i="24"/>
  <c r="AI33" i="24"/>
  <c r="AJ33" i="24"/>
  <c r="AL33" i="24"/>
  <c r="AK33" i="24" s="1"/>
  <c r="AM33" i="24"/>
  <c r="AN33" i="24"/>
  <c r="AR33" i="24"/>
  <c r="D34" i="24"/>
  <c r="E34" i="24"/>
  <c r="E50" i="24" s="1"/>
  <c r="H34" i="24"/>
  <c r="J34" i="24" s="1"/>
  <c r="I34" i="24"/>
  <c r="K34" i="24"/>
  <c r="M34" i="24"/>
  <c r="O34" i="24" s="1"/>
  <c r="N34" i="24"/>
  <c r="P34" i="24"/>
  <c r="W34" i="24"/>
  <c r="Y34" i="24" s="1"/>
  <c r="X34" i="24"/>
  <c r="Z34" i="24"/>
  <c r="AB34" i="24"/>
  <c r="AD34" i="24" s="1"/>
  <c r="AC34" i="24"/>
  <c r="AE34" i="24"/>
  <c r="AG34" i="24"/>
  <c r="AF33" i="24" s="1"/>
  <c r="AH34" i="24"/>
  <c r="AJ34" i="24"/>
  <c r="AL34" i="24"/>
  <c r="AN34" i="24" s="1"/>
  <c r="AM34" i="24"/>
  <c r="AO34" i="24"/>
  <c r="AQ34" i="24"/>
  <c r="AS34" i="24" s="1"/>
  <c r="AR34" i="24"/>
  <c r="AT34" i="24"/>
  <c r="D35" i="24"/>
  <c r="K35" i="24" s="1"/>
  <c r="E35" i="24"/>
  <c r="H35" i="24"/>
  <c r="I35" i="24"/>
  <c r="J35" i="24"/>
  <c r="M35" i="24"/>
  <c r="N35" i="24"/>
  <c r="O35" i="24"/>
  <c r="X35" i="24"/>
  <c r="AC35" i="24"/>
  <c r="AG35" i="24"/>
  <c r="AH35" i="24"/>
  <c r="AI35" i="24"/>
  <c r="AL35" i="24"/>
  <c r="AM35" i="24"/>
  <c r="AN35" i="24"/>
  <c r="AR35" i="24"/>
  <c r="D36" i="24"/>
  <c r="E36" i="24"/>
  <c r="H36" i="24"/>
  <c r="J36" i="24" s="1"/>
  <c r="I36" i="24"/>
  <c r="K36" i="24"/>
  <c r="M36" i="24"/>
  <c r="O36" i="24" s="1"/>
  <c r="N36" i="24"/>
  <c r="P36" i="24"/>
  <c r="W36" i="24"/>
  <c r="Y36" i="24" s="1"/>
  <c r="X36" i="24"/>
  <c r="Z36" i="24"/>
  <c r="AB36" i="24"/>
  <c r="AD36" i="24" s="1"/>
  <c r="AC36" i="24"/>
  <c r="AE36" i="24"/>
  <c r="AG36" i="24"/>
  <c r="AI36" i="24" s="1"/>
  <c r="AH36" i="24"/>
  <c r="AJ36" i="24"/>
  <c r="AL36" i="24"/>
  <c r="AN36" i="24" s="1"/>
  <c r="AM36" i="24"/>
  <c r="AO36" i="24"/>
  <c r="AQ36" i="24"/>
  <c r="AS36" i="24" s="1"/>
  <c r="AR36" i="24"/>
  <c r="AT36" i="24"/>
  <c r="D37" i="24"/>
  <c r="K37" i="24" s="1"/>
  <c r="E37" i="24"/>
  <c r="H37" i="24"/>
  <c r="I37" i="24"/>
  <c r="J37" i="24"/>
  <c r="M37" i="24"/>
  <c r="N37" i="24"/>
  <c r="O37" i="24"/>
  <c r="X37" i="24"/>
  <c r="AC37" i="24"/>
  <c r="AG37" i="24"/>
  <c r="AH37" i="24"/>
  <c r="AI37" i="24"/>
  <c r="AL37" i="24"/>
  <c r="AM37" i="24"/>
  <c r="AN37" i="24"/>
  <c r="AR37" i="24"/>
  <c r="D38" i="24"/>
  <c r="E38" i="24"/>
  <c r="H38" i="24"/>
  <c r="J38" i="24" s="1"/>
  <c r="I38" i="24"/>
  <c r="K38" i="24"/>
  <c r="M38" i="24"/>
  <c r="O38" i="24" s="1"/>
  <c r="N38" i="24"/>
  <c r="P38" i="24"/>
  <c r="W38" i="24"/>
  <c r="Y38" i="24" s="1"/>
  <c r="X38" i="24"/>
  <c r="Z38" i="24"/>
  <c r="AB38" i="24"/>
  <c r="AD38" i="24" s="1"/>
  <c r="AC38" i="24"/>
  <c r="AE38" i="24"/>
  <c r="AG38" i="24"/>
  <c r="AI38" i="24" s="1"/>
  <c r="AH38" i="24"/>
  <c r="AJ38" i="24"/>
  <c r="AL38" i="24"/>
  <c r="AN38" i="24" s="1"/>
  <c r="AM38" i="24"/>
  <c r="AO38" i="24"/>
  <c r="AQ38" i="24"/>
  <c r="AS38" i="24" s="1"/>
  <c r="AR38" i="24"/>
  <c r="AT38" i="24"/>
  <c r="D39" i="24"/>
  <c r="K39" i="24" s="1"/>
  <c r="E39" i="24"/>
  <c r="H39" i="24"/>
  <c r="I39" i="24"/>
  <c r="J39" i="24"/>
  <c r="M39" i="24"/>
  <c r="N39" i="24"/>
  <c r="O39" i="24"/>
  <c r="X39" i="24"/>
  <c r="AC39" i="24"/>
  <c r="AG39" i="24"/>
  <c r="AH39" i="24"/>
  <c r="AI39" i="24"/>
  <c r="AL39" i="24"/>
  <c r="AM39" i="24"/>
  <c r="AN39" i="24"/>
  <c r="AR39" i="24"/>
  <c r="H40" i="24"/>
  <c r="I40" i="24"/>
  <c r="M40" i="24"/>
  <c r="W40" i="24"/>
  <c r="W44" i="24" s="1"/>
  <c r="Y44" i="24" s="1"/>
  <c r="X40" i="24"/>
  <c r="AB40" i="24"/>
  <c r="AB44" i="24" s="1"/>
  <c r="AD44" i="24" s="1"/>
  <c r="AC40" i="24"/>
  <c r="AG40" i="24"/>
  <c r="AG44" i="24" s="1"/>
  <c r="AI44" i="24" s="1"/>
  <c r="AH40" i="24"/>
  <c r="AL40" i="24"/>
  <c r="AL41" i="24" s="1"/>
  <c r="AM40" i="24"/>
  <c r="AQ40" i="24"/>
  <c r="AR40" i="24"/>
  <c r="D41" i="24"/>
  <c r="D42" i="24"/>
  <c r="A43" i="24"/>
  <c r="F41" i="24" s="1"/>
  <c r="D43" i="24"/>
  <c r="D44" i="24"/>
  <c r="F44" i="24"/>
  <c r="H44" i="24" s="1"/>
  <c r="J44" i="24" s="1"/>
  <c r="H45" i="24"/>
  <c r="I45" i="24"/>
  <c r="M45" i="24"/>
  <c r="M46" i="24" s="1"/>
  <c r="O46" i="24" s="1"/>
  <c r="W45" i="24"/>
  <c r="W46" i="24" s="1"/>
  <c r="Y46" i="24" s="1"/>
  <c r="X45" i="24"/>
  <c r="AB45" i="24"/>
  <c r="AB46" i="24" s="1"/>
  <c r="AD46" i="24" s="1"/>
  <c r="AC45" i="24"/>
  <c r="AG45" i="24"/>
  <c r="AH45" i="24"/>
  <c r="AL45" i="24"/>
  <c r="AM45" i="24"/>
  <c r="AQ45" i="24"/>
  <c r="AR45" i="24"/>
  <c r="D46" i="24"/>
  <c r="A47" i="24"/>
  <c r="F46" i="24" s="1"/>
  <c r="D47" i="24"/>
  <c r="D48" i="24"/>
  <c r="D49" i="24"/>
  <c r="F49" i="24"/>
  <c r="I49" i="24" s="1"/>
  <c r="K49" i="24" s="1"/>
  <c r="H49" i="24"/>
  <c r="J49" i="24" s="1"/>
  <c r="M49" i="24"/>
  <c r="O49" i="24" s="1"/>
  <c r="W49" i="24"/>
  <c r="Y49" i="24" s="1"/>
  <c r="AB49" i="24"/>
  <c r="AD49" i="24" s="1"/>
  <c r="AG49" i="24"/>
  <c r="AI49" i="24" s="1"/>
  <c r="AL49" i="24"/>
  <c r="AN49" i="24" s="1"/>
  <c r="AQ49" i="24"/>
  <c r="AS49" i="24" s="1"/>
  <c r="D50" i="24"/>
  <c r="H50" i="24"/>
  <c r="I50" i="24"/>
  <c r="M50" i="24"/>
  <c r="N50" i="24"/>
  <c r="W50" i="24"/>
  <c r="X50" i="24"/>
  <c r="AB50" i="24"/>
  <c r="AB52" i="24" s="1"/>
  <c r="AC50" i="24"/>
  <c r="AG50" i="24"/>
  <c r="AG52" i="24" s="1"/>
  <c r="AH50" i="24"/>
  <c r="AL50" i="24"/>
  <c r="AM50" i="24"/>
  <c r="AL52" i="24" s="1"/>
  <c r="AQ50" i="24"/>
  <c r="AR50" i="24"/>
  <c r="D51" i="24"/>
  <c r="D52" i="24"/>
  <c r="W52" i="24"/>
  <c r="AQ52" i="24"/>
  <c r="D53" i="24"/>
  <c r="G2" i="23"/>
  <c r="L2" i="23"/>
  <c r="R2" i="23"/>
  <c r="W2" i="23"/>
  <c r="AB2" i="23"/>
  <c r="AG2" i="23"/>
  <c r="AL2" i="23"/>
  <c r="AQ2" i="23"/>
  <c r="H3" i="23"/>
  <c r="I3" i="23"/>
  <c r="M3" i="23"/>
  <c r="N3" i="23"/>
  <c r="S3" i="23"/>
  <c r="AB3" i="23"/>
  <c r="AC3" i="23"/>
  <c r="AG3" i="23"/>
  <c r="AH3" i="23"/>
  <c r="AI3" i="23"/>
  <c r="AL3" i="23"/>
  <c r="AM3" i="23"/>
  <c r="AN3" i="23"/>
  <c r="AQ3" i="23"/>
  <c r="AR3" i="23"/>
  <c r="AS3" i="23"/>
  <c r="D4" i="23"/>
  <c r="H4" i="23"/>
  <c r="J4" i="23" s="1"/>
  <c r="I4" i="23"/>
  <c r="K4" i="23"/>
  <c r="M4" i="23"/>
  <c r="O4" i="23" s="1"/>
  <c r="N4" i="23"/>
  <c r="P4" i="23"/>
  <c r="Q4" i="23"/>
  <c r="S4" i="23"/>
  <c r="T4" i="23"/>
  <c r="U4" i="23"/>
  <c r="U3" i="23" s="1"/>
  <c r="V4" i="23"/>
  <c r="AC4" i="23"/>
  <c r="AD4" i="23"/>
  <c r="AF4" i="23" s="1"/>
  <c r="AH4" i="23"/>
  <c r="AJ4" i="23" s="1"/>
  <c r="AI4" i="23"/>
  <c r="AK4" i="23"/>
  <c r="AM4" i="23"/>
  <c r="AN4" i="23"/>
  <c r="AO4" i="23"/>
  <c r="AO3" i="23" s="1"/>
  <c r="AP4" i="23"/>
  <c r="AR4" i="23"/>
  <c r="AS4" i="23"/>
  <c r="AU4" i="23" s="1"/>
  <c r="AT4" i="23"/>
  <c r="D5" i="23"/>
  <c r="H5" i="23"/>
  <c r="J5" i="23" s="1"/>
  <c r="I5" i="23"/>
  <c r="K5" i="23" s="1"/>
  <c r="M5" i="23"/>
  <c r="O5" i="23" s="1"/>
  <c r="N5" i="23"/>
  <c r="P5" i="23" s="1"/>
  <c r="P3" i="23" s="1"/>
  <c r="Q5" i="23"/>
  <c r="S5" i="23"/>
  <c r="T5" i="23"/>
  <c r="U5" i="23"/>
  <c r="V5" i="23"/>
  <c r="AC5" i="23"/>
  <c r="AE5" i="23" s="1"/>
  <c r="AD5" i="23"/>
  <c r="AF5" i="23" s="1"/>
  <c r="AH5" i="23"/>
  <c r="AJ5" i="23" s="1"/>
  <c r="AI5" i="23"/>
  <c r="AK5" i="23"/>
  <c r="AM5" i="23"/>
  <c r="AN5" i="23"/>
  <c r="AO5" i="23"/>
  <c r="AP5" i="23"/>
  <c r="AR5" i="23"/>
  <c r="AS5" i="23"/>
  <c r="AU5" i="23" s="1"/>
  <c r="AT5" i="23"/>
  <c r="A6" i="23"/>
  <c r="D6" i="23"/>
  <c r="H6" i="23"/>
  <c r="J6" i="23" s="1"/>
  <c r="I6" i="23"/>
  <c r="K6" i="23"/>
  <c r="M6" i="23"/>
  <c r="O6" i="23" s="1"/>
  <c r="N6" i="23"/>
  <c r="P6" i="23"/>
  <c r="Q6" i="23"/>
  <c r="S6" i="23"/>
  <c r="T6" i="23"/>
  <c r="U6" i="23"/>
  <c r="AC6" i="23"/>
  <c r="AD6" i="23"/>
  <c r="AE6" i="23"/>
  <c r="AH6" i="23"/>
  <c r="AI6" i="23"/>
  <c r="AJ6" i="23"/>
  <c r="AM6" i="23"/>
  <c r="AN6" i="23"/>
  <c r="AO6" i="23"/>
  <c r="AR6" i="23"/>
  <c r="AT6" i="23"/>
  <c r="D7" i="23"/>
  <c r="H7" i="23"/>
  <c r="J7" i="23" s="1"/>
  <c r="I7" i="23"/>
  <c r="K7" i="23"/>
  <c r="M7" i="23"/>
  <c r="O7" i="23" s="1"/>
  <c r="N7" i="23"/>
  <c r="P7" i="23"/>
  <c r="Q7" i="23"/>
  <c r="S7" i="23"/>
  <c r="T7" i="23"/>
  <c r="U7" i="23"/>
  <c r="V7" i="23"/>
  <c r="AC7" i="23"/>
  <c r="AD7" i="23"/>
  <c r="AE7" i="23"/>
  <c r="AF7" i="23"/>
  <c r="AH7" i="23"/>
  <c r="AI7" i="23"/>
  <c r="AJ7" i="23"/>
  <c r="AK7" i="23"/>
  <c r="AM7" i="23"/>
  <c r="AN7" i="23"/>
  <c r="AO7" i="23"/>
  <c r="AP7" i="23"/>
  <c r="AR7" i="23"/>
  <c r="AT7" i="23"/>
  <c r="A8" i="23"/>
  <c r="D8" i="23"/>
  <c r="H8" i="23"/>
  <c r="J8" i="23" s="1"/>
  <c r="I8" i="23"/>
  <c r="K8" i="23" s="1"/>
  <c r="M8" i="23"/>
  <c r="O8" i="23" s="1"/>
  <c r="N8" i="23"/>
  <c r="P8" i="23" s="1"/>
  <c r="Q8" i="23"/>
  <c r="S8" i="23"/>
  <c r="U8" i="23" s="1"/>
  <c r="T8" i="23"/>
  <c r="V8" i="23"/>
  <c r="AC8" i="23"/>
  <c r="AE8" i="23" s="1"/>
  <c r="AD8" i="23"/>
  <c r="AF8" i="23"/>
  <c r="AH8" i="23"/>
  <c r="AJ8" i="23" s="1"/>
  <c r="AI8" i="23"/>
  <c r="AK8" i="23"/>
  <c r="AM8" i="23"/>
  <c r="AO8" i="23" s="1"/>
  <c r="AN8" i="23"/>
  <c r="AP8" i="23"/>
  <c r="AR8" i="23"/>
  <c r="AT8" i="23" s="1"/>
  <c r="D9" i="23"/>
  <c r="H9" i="23"/>
  <c r="I9" i="23"/>
  <c r="J9" i="23"/>
  <c r="K9" i="23"/>
  <c r="M9" i="23"/>
  <c r="N9" i="23"/>
  <c r="O9" i="23"/>
  <c r="P9" i="23"/>
  <c r="Q9" i="23"/>
  <c r="S9" i="23"/>
  <c r="T9" i="23"/>
  <c r="U9" i="23"/>
  <c r="AC9" i="23"/>
  <c r="AD9" i="23"/>
  <c r="AE9" i="23"/>
  <c r="AH9" i="23"/>
  <c r="AI9" i="23"/>
  <c r="AJ9" i="23"/>
  <c r="AM9" i="23"/>
  <c r="AN9" i="23"/>
  <c r="AO9" i="23"/>
  <c r="AR9" i="23"/>
  <c r="AT9" i="23"/>
  <c r="D10" i="23"/>
  <c r="H10" i="23"/>
  <c r="J10" i="23" s="1"/>
  <c r="I10" i="23"/>
  <c r="K10" i="23" s="1"/>
  <c r="M10" i="23"/>
  <c r="O10" i="23" s="1"/>
  <c r="N10" i="23"/>
  <c r="P10" i="23" s="1"/>
  <c r="Q10" i="23"/>
  <c r="S10" i="23"/>
  <c r="U10" i="23" s="1"/>
  <c r="T10" i="23"/>
  <c r="V10" i="23"/>
  <c r="AC10" i="23"/>
  <c r="AE10" i="23" s="1"/>
  <c r="AD10" i="23"/>
  <c r="AF10" i="23"/>
  <c r="AH10" i="23"/>
  <c r="AJ10" i="23" s="1"/>
  <c r="AI10" i="23"/>
  <c r="AK10" i="23"/>
  <c r="AM10" i="23"/>
  <c r="AO10" i="23" s="1"/>
  <c r="AN10" i="23"/>
  <c r="AP10" i="23"/>
  <c r="AR10" i="23"/>
  <c r="AT10" i="23" s="1"/>
  <c r="G11" i="23" a="1"/>
  <c r="G11" i="23" s="1"/>
  <c r="L11" i="23"/>
  <c r="M11" i="23"/>
  <c r="N11" i="23"/>
  <c r="R11" i="23"/>
  <c r="T11" i="23" s="1"/>
  <c r="S11" i="23"/>
  <c r="W11" i="23"/>
  <c r="AB11" i="23"/>
  <c r="AC11" i="23"/>
  <c r="AG11" i="23"/>
  <c r="AH11" i="23"/>
  <c r="AI11" i="23"/>
  <c r="AL11" i="23"/>
  <c r="AM11" i="23"/>
  <c r="AN11" i="23"/>
  <c r="AQ11" i="23"/>
  <c r="AR11" i="23"/>
  <c r="AS11" i="23"/>
  <c r="D12" i="23"/>
  <c r="D13" i="23"/>
  <c r="D14" i="23"/>
  <c r="A15" i="23"/>
  <c r="Q18" i="23" s="1"/>
  <c r="D15" i="23"/>
  <c r="D16" i="23"/>
  <c r="D17" i="23"/>
  <c r="F17" i="23"/>
  <c r="M17" i="23" s="1"/>
  <c r="O17" i="23" s="1"/>
  <c r="Q17" i="23"/>
  <c r="D18" i="23"/>
  <c r="F18" i="23"/>
  <c r="T18" i="23" s="1"/>
  <c r="N18" i="23"/>
  <c r="P18" i="23" s="1"/>
  <c r="S18" i="23"/>
  <c r="U18" i="23" s="1"/>
  <c r="AC18" i="23"/>
  <c r="AE18" i="23" s="1"/>
  <c r="AH18" i="23"/>
  <c r="AJ18" i="23" s="1"/>
  <c r="AM18" i="23"/>
  <c r="AO18" i="23" s="1"/>
  <c r="AR18" i="23"/>
  <c r="AT18" i="23" s="1"/>
  <c r="G19" i="23"/>
  <c r="L19" i="23"/>
  <c r="N19" i="23" s="1"/>
  <c r="M19" i="23"/>
  <c r="R19" i="23"/>
  <c r="S19" i="23" s="1"/>
  <c r="T19" i="23"/>
  <c r="W19" i="23"/>
  <c r="X19" i="23"/>
  <c r="Y19" i="23"/>
  <c r="AC19" i="23"/>
  <c r="AD19" i="23"/>
  <c r="AG19" i="23"/>
  <c r="AH19" i="23"/>
  <c r="AI19" i="23"/>
  <c r="AL19" i="23"/>
  <c r="AM19" i="23"/>
  <c r="AN19" i="23"/>
  <c r="AO19" i="23"/>
  <c r="AQ19" i="23"/>
  <c r="AR19" i="23"/>
  <c r="AS19" i="23"/>
  <c r="D20" i="23"/>
  <c r="M20" i="23"/>
  <c r="O20" i="23" s="1"/>
  <c r="O19" i="23" s="1"/>
  <c r="Q20" i="23"/>
  <c r="Y20" i="23"/>
  <c r="AA20" i="23" s="1"/>
  <c r="AC20" i="23"/>
  <c r="AD20" i="23"/>
  <c r="AF20" i="23" s="1"/>
  <c r="AG20" i="23"/>
  <c r="AH20" i="23"/>
  <c r="AJ20" i="23" s="1"/>
  <c r="AI20" i="23"/>
  <c r="AK20" i="23"/>
  <c r="AM20" i="23"/>
  <c r="AL20" i="23" s="1"/>
  <c r="AN20" i="23"/>
  <c r="AO20" i="23"/>
  <c r="AP20" i="23"/>
  <c r="AR20" i="23"/>
  <c r="AS20" i="23"/>
  <c r="AU20" i="23" s="1"/>
  <c r="AT20" i="23"/>
  <c r="D21" i="23"/>
  <c r="M21" i="23"/>
  <c r="O21" i="23" s="1"/>
  <c r="Q21" i="23"/>
  <c r="Y21" i="23"/>
  <c r="AA21" i="23"/>
  <c r="AD21" i="23"/>
  <c r="AF21" i="23"/>
  <c r="AH21" i="23"/>
  <c r="AJ21" i="23" s="1"/>
  <c r="AI21" i="23"/>
  <c r="AK21" i="23"/>
  <c r="AM21" i="23"/>
  <c r="AO21" i="23" s="1"/>
  <c r="AN21" i="23"/>
  <c r="AP21" i="23"/>
  <c r="AR21" i="23"/>
  <c r="A22" i="23"/>
  <c r="D22" i="23"/>
  <c r="M22" i="23"/>
  <c r="N22" i="23"/>
  <c r="P22" i="23" s="1"/>
  <c r="O22" i="23"/>
  <c r="Q22" i="23"/>
  <c r="S22" i="23"/>
  <c r="U22" i="23" s="1"/>
  <c r="X22" i="23"/>
  <c r="Z22" i="23" s="1"/>
  <c r="Y22" i="23"/>
  <c r="AC22" i="23"/>
  <c r="AE22" i="23" s="1"/>
  <c r="AD22" i="23"/>
  <c r="AH22" i="23"/>
  <c r="AJ22" i="23" s="1"/>
  <c r="AI22" i="23"/>
  <c r="AM22" i="23"/>
  <c r="AO22" i="23" s="1"/>
  <c r="AN22" i="23"/>
  <c r="AR22" i="23"/>
  <c r="AT22" i="23" s="1"/>
  <c r="D23" i="23"/>
  <c r="M23" i="23"/>
  <c r="O23" i="23"/>
  <c r="Q23" i="23"/>
  <c r="T23" i="23"/>
  <c r="V23" i="23" s="1"/>
  <c r="Y23" i="23"/>
  <c r="AA23" i="23" s="1"/>
  <c r="AD23" i="23"/>
  <c r="AF23" i="23" s="1"/>
  <c r="AH23" i="23"/>
  <c r="AI23" i="23"/>
  <c r="AK23" i="23" s="1"/>
  <c r="AJ23" i="23"/>
  <c r="AM23" i="23"/>
  <c r="AN23" i="23"/>
  <c r="AP23" i="23" s="1"/>
  <c r="AO23" i="23"/>
  <c r="AR23" i="23"/>
  <c r="AS23" i="23"/>
  <c r="AU23" i="23" s="1"/>
  <c r="AT23" i="23"/>
  <c r="D24" i="23"/>
  <c r="M24" i="23"/>
  <c r="O24" i="23" s="1"/>
  <c r="Q24" i="23"/>
  <c r="Y24" i="23"/>
  <c r="AA24" i="23"/>
  <c r="AD24" i="23"/>
  <c r="AF24" i="23"/>
  <c r="AH24" i="23"/>
  <c r="AJ24" i="23" s="1"/>
  <c r="AI24" i="23"/>
  <c r="AK24" i="23"/>
  <c r="AM24" i="23"/>
  <c r="AO24" i="23" s="1"/>
  <c r="AN24" i="23"/>
  <c r="AP24" i="23"/>
  <c r="AR24" i="23"/>
  <c r="AT24" i="23" s="1"/>
  <c r="D25" i="23"/>
  <c r="M25" i="23"/>
  <c r="O25" i="23"/>
  <c r="Q25" i="23"/>
  <c r="T25" i="23"/>
  <c r="V25" i="23" s="1"/>
  <c r="Y25" i="23"/>
  <c r="AA25" i="23" s="1"/>
  <c r="AD25" i="23"/>
  <c r="AF25" i="23" s="1"/>
  <c r="AH25" i="23"/>
  <c r="AI25" i="23"/>
  <c r="AK25" i="23" s="1"/>
  <c r="AJ25" i="23"/>
  <c r="AM25" i="23"/>
  <c r="AN25" i="23"/>
  <c r="AP25" i="23" s="1"/>
  <c r="AO25" i="23"/>
  <c r="AR25" i="23"/>
  <c r="AS25" i="23"/>
  <c r="AU25" i="23" s="1"/>
  <c r="AT25" i="23"/>
  <c r="D26" i="23"/>
  <c r="M26" i="23"/>
  <c r="N26" i="23"/>
  <c r="P26" i="23" s="1"/>
  <c r="O26" i="23"/>
  <c r="Q26" i="23"/>
  <c r="S26" i="23"/>
  <c r="T26" i="23"/>
  <c r="V26" i="23" s="1"/>
  <c r="U26" i="23"/>
  <c r="X26" i="23"/>
  <c r="Y26" i="23"/>
  <c r="AA26" i="23" s="1"/>
  <c r="Z26" i="23"/>
  <c r="AC26" i="23"/>
  <c r="AD26" i="23"/>
  <c r="AF26" i="23" s="1"/>
  <c r="AE26" i="23"/>
  <c r="AH26" i="23"/>
  <c r="AI26" i="23"/>
  <c r="AK26" i="23" s="1"/>
  <c r="AJ26" i="23"/>
  <c r="AM26" i="23"/>
  <c r="AN26" i="23"/>
  <c r="AP26" i="23" s="1"/>
  <c r="AO26" i="23"/>
  <c r="AR26" i="23"/>
  <c r="AS26" i="23"/>
  <c r="AU26" i="23" s="1"/>
  <c r="AT26" i="23"/>
  <c r="G27" i="23"/>
  <c r="H27" i="23"/>
  <c r="I27" i="23"/>
  <c r="K27" i="23" s="1"/>
  <c r="L27" i="23"/>
  <c r="R27" i="23"/>
  <c r="S27" i="23" s="1"/>
  <c r="W27" i="23"/>
  <c r="X27" i="23"/>
  <c r="Y27" i="23"/>
  <c r="AC27" i="23"/>
  <c r="AD27" i="23"/>
  <c r="AG27" i="23"/>
  <c r="AH27" i="23"/>
  <c r="AI27" i="23"/>
  <c r="AL27" i="23"/>
  <c r="AM27" i="23"/>
  <c r="AN27" i="23"/>
  <c r="AQ27" i="23"/>
  <c r="AR27" i="23"/>
  <c r="AS27" i="23"/>
  <c r="D28" i="23"/>
  <c r="I28" i="23"/>
  <c r="K28" i="23" s="1"/>
  <c r="X28" i="23"/>
  <c r="Z28" i="23"/>
  <c r="AC28" i="23"/>
  <c r="AD28" i="23"/>
  <c r="AF28" i="23" s="1"/>
  <c r="AE28" i="23"/>
  <c r="AH28" i="23"/>
  <c r="AI28" i="23"/>
  <c r="AK28" i="23" s="1"/>
  <c r="AM28" i="23"/>
  <c r="AO28" i="23" s="1"/>
  <c r="AN28" i="23"/>
  <c r="AP28" i="23"/>
  <c r="AR28" i="23"/>
  <c r="AS28" i="23"/>
  <c r="AT28" i="23"/>
  <c r="AU28" i="23"/>
  <c r="D29" i="23"/>
  <c r="I29" i="23"/>
  <c r="K29" i="23" s="1"/>
  <c r="S29" i="23"/>
  <c r="U29" i="23" s="1"/>
  <c r="X29" i="23"/>
  <c r="AC29" i="23"/>
  <c r="AE29" i="23" s="1"/>
  <c r="AH29" i="23"/>
  <c r="AJ29" i="23" s="1"/>
  <c r="AI29" i="23"/>
  <c r="AK29" i="23" s="1"/>
  <c r="AM29" i="23"/>
  <c r="AO29" i="23" s="1"/>
  <c r="AN29" i="23"/>
  <c r="AP29" i="23" s="1"/>
  <c r="AR29" i="23"/>
  <c r="AS29" i="23"/>
  <c r="AU29" i="23" s="1"/>
  <c r="A30" i="23"/>
  <c r="D30" i="23"/>
  <c r="I30" i="23"/>
  <c r="K30" i="23"/>
  <c r="X30" i="23"/>
  <c r="Y30" i="23"/>
  <c r="Z30" i="23"/>
  <c r="AC30" i="23"/>
  <c r="AE30" i="23"/>
  <c r="AI30" i="23"/>
  <c r="AM30" i="23"/>
  <c r="AN30" i="23"/>
  <c r="AO30" i="23"/>
  <c r="AR30" i="23"/>
  <c r="AS30" i="23"/>
  <c r="AT30" i="23"/>
  <c r="D31" i="23"/>
  <c r="I31" i="23"/>
  <c r="X31" i="23"/>
  <c r="Z31" i="23"/>
  <c r="AC31" i="23"/>
  <c r="AE31" i="23"/>
  <c r="AI31" i="23"/>
  <c r="AM31" i="23"/>
  <c r="AN31" i="23"/>
  <c r="AO31" i="23"/>
  <c r="AR31" i="23"/>
  <c r="AS31" i="23"/>
  <c r="AT31" i="23"/>
  <c r="D32" i="23"/>
  <c r="I32" i="23"/>
  <c r="K32" i="23" s="1"/>
  <c r="S32" i="23"/>
  <c r="U32" i="23" s="1"/>
  <c r="X32" i="23"/>
  <c r="Z32" i="23" s="1"/>
  <c r="AC32" i="23"/>
  <c r="AE32" i="23" s="1"/>
  <c r="AH32" i="23"/>
  <c r="AJ32" i="23" s="1"/>
  <c r="AI32" i="23"/>
  <c r="AK32" i="23" s="1"/>
  <c r="AM32" i="23"/>
  <c r="AO32" i="23" s="1"/>
  <c r="AN32" i="23"/>
  <c r="AP32" i="23" s="1"/>
  <c r="AR32" i="23"/>
  <c r="AT32" i="23" s="1"/>
  <c r="AS32" i="23"/>
  <c r="AU32" i="23" s="1"/>
  <c r="D33" i="23"/>
  <c r="I33" i="23"/>
  <c r="X33" i="23"/>
  <c r="Z33" i="23"/>
  <c r="AC33" i="23"/>
  <c r="AE33" i="23"/>
  <c r="AI33" i="23"/>
  <c r="AM33" i="23"/>
  <c r="AN33" i="23"/>
  <c r="AO33" i="23"/>
  <c r="AR33" i="23"/>
  <c r="AS33" i="23"/>
  <c r="AT33" i="23"/>
  <c r="D34" i="23"/>
  <c r="I34" i="23"/>
  <c r="K34" i="23" s="1"/>
  <c r="S34" i="23"/>
  <c r="U34" i="23" s="1"/>
  <c r="X34" i="23"/>
  <c r="Z34" i="23" s="1"/>
  <c r="AC34" i="23"/>
  <c r="AE34" i="23" s="1"/>
  <c r="AH34" i="23"/>
  <c r="AJ34" i="23" s="1"/>
  <c r="AI34" i="23"/>
  <c r="AK34" i="23" s="1"/>
  <c r="AM34" i="23"/>
  <c r="AO34" i="23" s="1"/>
  <c r="AN34" i="23"/>
  <c r="AP34" i="23" s="1"/>
  <c r="AR34" i="23"/>
  <c r="AT34" i="23" s="1"/>
  <c r="AS34" i="23"/>
  <c r="AU34" i="23" s="1"/>
  <c r="G35" i="23"/>
  <c r="L35" i="23"/>
  <c r="M35" i="23" s="1"/>
  <c r="M37" i="23" s="1"/>
  <c r="O37" i="23" s="1"/>
  <c r="R35" i="23"/>
  <c r="S35" i="23" s="1"/>
  <c r="T35" i="23"/>
  <c r="W35" i="23"/>
  <c r="X35" i="23"/>
  <c r="Y35" i="23"/>
  <c r="AC35" i="23"/>
  <c r="AD35" i="23"/>
  <c r="AG35" i="23"/>
  <c r="AH35" i="23"/>
  <c r="AI35" i="23"/>
  <c r="AL35" i="23"/>
  <c r="AM35" i="23"/>
  <c r="AN35" i="23"/>
  <c r="AQ35" i="23"/>
  <c r="AR35" i="23"/>
  <c r="AS35" i="23"/>
  <c r="D36" i="23"/>
  <c r="Q36" i="23"/>
  <c r="Y36" i="23"/>
  <c r="AA36" i="23" s="1"/>
  <c r="AC36" i="23"/>
  <c r="AD36" i="23"/>
  <c r="AF36" i="23" s="1"/>
  <c r="AH36" i="23"/>
  <c r="AJ36" i="23" s="1"/>
  <c r="AI36" i="23"/>
  <c r="AK36" i="23"/>
  <c r="AM36" i="23"/>
  <c r="AN36" i="23"/>
  <c r="AO36" i="23"/>
  <c r="AP36" i="23"/>
  <c r="AR36" i="23"/>
  <c r="AS36" i="23"/>
  <c r="AU36" i="23" s="1"/>
  <c r="AT36" i="23"/>
  <c r="D37" i="23"/>
  <c r="Q37" i="23"/>
  <c r="Y37" i="23"/>
  <c r="AA37" i="23"/>
  <c r="AD37" i="23"/>
  <c r="AF37" i="23"/>
  <c r="AH37" i="23"/>
  <c r="AJ37" i="23" s="1"/>
  <c r="AI37" i="23"/>
  <c r="AK37" i="23"/>
  <c r="AM37" i="23"/>
  <c r="AN37" i="23"/>
  <c r="AP37" i="23"/>
  <c r="AR37" i="23"/>
  <c r="A38" i="23"/>
  <c r="Q39" i="23" s="1"/>
  <c r="D38" i="23"/>
  <c r="S38" i="23"/>
  <c r="U38" i="23" s="1"/>
  <c r="X38" i="23"/>
  <c r="Z38" i="23" s="1"/>
  <c r="Y38" i="23"/>
  <c r="AC38" i="23"/>
  <c r="AE38" i="23" s="1"/>
  <c r="AD38" i="23"/>
  <c r="AH38" i="23"/>
  <c r="AJ38" i="23" s="1"/>
  <c r="AI38" i="23"/>
  <c r="AK38" i="23" s="1"/>
  <c r="AM38" i="23"/>
  <c r="AO38" i="23" s="1"/>
  <c r="AN38" i="23"/>
  <c r="AP38" i="23" s="1"/>
  <c r="AR38" i="23"/>
  <c r="AT38" i="23" s="1"/>
  <c r="D39" i="23"/>
  <c r="T39" i="23"/>
  <c r="Y39" i="23"/>
  <c r="AD39" i="23"/>
  <c r="AH39" i="23"/>
  <c r="AI39" i="23"/>
  <c r="AJ39" i="23"/>
  <c r="AM39" i="23"/>
  <c r="AN39" i="23"/>
  <c r="AO39" i="23"/>
  <c r="AR39" i="23"/>
  <c r="AS39" i="23"/>
  <c r="AT39" i="23"/>
  <c r="D40" i="23"/>
  <c r="Q40" i="23"/>
  <c r="S40" i="23"/>
  <c r="U40" i="23" s="1"/>
  <c r="X40" i="23"/>
  <c r="Z40" i="23" s="1"/>
  <c r="Y40" i="23"/>
  <c r="AA40" i="23"/>
  <c r="AC40" i="23"/>
  <c r="AE40" i="23" s="1"/>
  <c r="AD40" i="23"/>
  <c r="AF40" i="23"/>
  <c r="AH40" i="23"/>
  <c r="AJ40" i="23" s="1"/>
  <c r="AI40" i="23"/>
  <c r="AK40" i="23"/>
  <c r="AM40" i="23"/>
  <c r="AO40" i="23" s="1"/>
  <c r="AN40" i="23"/>
  <c r="AP40" i="23" s="1"/>
  <c r="AR40" i="23"/>
  <c r="AS40" i="23"/>
  <c r="AU40" i="23" s="1"/>
  <c r="AT40" i="23"/>
  <c r="D41" i="23"/>
  <c r="M41" i="23"/>
  <c r="O41" i="23" s="1"/>
  <c r="Q41" i="23"/>
  <c r="S41" i="23"/>
  <c r="U41" i="23" s="1"/>
  <c r="T41" i="23"/>
  <c r="V41" i="23"/>
  <c r="X41" i="23"/>
  <c r="Z41" i="23" s="1"/>
  <c r="Y41" i="23"/>
  <c r="AA41" i="23"/>
  <c r="AC41" i="23"/>
  <c r="AE41" i="23" s="1"/>
  <c r="AD41" i="23"/>
  <c r="AF41" i="23"/>
  <c r="AH41" i="23"/>
  <c r="AJ41" i="23" s="1"/>
  <c r="AI41" i="23"/>
  <c r="AK41" i="23"/>
  <c r="AM41" i="23"/>
  <c r="AO41" i="23" s="1"/>
  <c r="AN41" i="23"/>
  <c r="AP41" i="23"/>
  <c r="AR41" i="23"/>
  <c r="AT41" i="23" s="1"/>
  <c r="AS41" i="23"/>
  <c r="AU41" i="23"/>
  <c r="D42" i="23"/>
  <c r="M42" i="23"/>
  <c r="O42" i="23"/>
  <c r="Q42" i="23"/>
  <c r="S42" i="23"/>
  <c r="T42" i="23"/>
  <c r="V42" i="23" s="1"/>
  <c r="U42" i="23"/>
  <c r="X42" i="23"/>
  <c r="Y42" i="23"/>
  <c r="AA42" i="23" s="1"/>
  <c r="Z42" i="23"/>
  <c r="AC42" i="23"/>
  <c r="AD42" i="23"/>
  <c r="AF42" i="23" s="1"/>
  <c r="AE42" i="23"/>
  <c r="AH42" i="23"/>
  <c r="AI42" i="23"/>
  <c r="AK42" i="23" s="1"/>
  <c r="AJ42" i="23"/>
  <c r="AM42" i="23"/>
  <c r="AN42" i="23"/>
  <c r="AP42" i="23" s="1"/>
  <c r="AO42" i="23"/>
  <c r="AR42" i="23"/>
  <c r="AS42" i="23"/>
  <c r="AU42" i="23" s="1"/>
  <c r="AT42" i="23"/>
  <c r="G43" i="23"/>
  <c r="H43" i="23"/>
  <c r="I43" i="23"/>
  <c r="K43" i="23" s="1"/>
  <c r="L43" i="23"/>
  <c r="N43" i="23" s="1"/>
  <c r="N47" i="23" s="1"/>
  <c r="R43" i="23"/>
  <c r="T43" i="23" s="1"/>
  <c r="T47" i="23" s="1"/>
  <c r="S43" i="23"/>
  <c r="W43" i="23"/>
  <c r="X43" i="23" s="1"/>
  <c r="X47" i="23" s="1"/>
  <c r="Z47" i="23" s="1"/>
  <c r="Y43" i="23"/>
  <c r="AC43" i="23"/>
  <c r="AD43" i="23"/>
  <c r="AG43" i="23"/>
  <c r="AH43" i="23"/>
  <c r="AH47" i="23" s="1"/>
  <c r="AJ47" i="23" s="1"/>
  <c r="AI43" i="23"/>
  <c r="AL43" i="23"/>
  <c r="AM43" i="23"/>
  <c r="AN43" i="23"/>
  <c r="AQ43" i="23"/>
  <c r="AR43" i="23"/>
  <c r="AS43" i="23"/>
  <c r="D44" i="23"/>
  <c r="Q44" i="23"/>
  <c r="D45" i="23"/>
  <c r="Q45" i="23"/>
  <c r="A46" i="23"/>
  <c r="F44" i="23" s="1"/>
  <c r="D46" i="23"/>
  <c r="Q46" i="23"/>
  <c r="D47" i="23"/>
  <c r="K47" i="23" s="1"/>
  <c r="F47" i="23"/>
  <c r="H47" i="23"/>
  <c r="J47" i="23" s="1"/>
  <c r="I47" i="23"/>
  <c r="Q47" i="23"/>
  <c r="S47" i="23"/>
  <c r="U47" i="23" s="1"/>
  <c r="V47" i="23"/>
  <c r="Y47" i="23"/>
  <c r="AA47" i="23"/>
  <c r="AC47" i="23"/>
  <c r="AE47" i="23" s="1"/>
  <c r="AD47" i="23"/>
  <c r="AF47" i="23"/>
  <c r="AI47" i="23"/>
  <c r="AK47" i="23"/>
  <c r="AM47" i="23"/>
  <c r="AO47" i="23" s="1"/>
  <c r="AN47" i="23"/>
  <c r="AP47" i="23"/>
  <c r="AR47" i="23"/>
  <c r="AT47" i="23" s="1"/>
  <c r="AS47" i="23"/>
  <c r="AU47" i="23"/>
  <c r="G48" i="23"/>
  <c r="H48" i="23" s="1"/>
  <c r="H53" i="23" s="1"/>
  <c r="J53" i="23" s="1"/>
  <c r="I48" i="23"/>
  <c r="L48" i="23"/>
  <c r="M48" i="23"/>
  <c r="N48" i="23"/>
  <c r="R48" i="23"/>
  <c r="W48" i="23"/>
  <c r="Y48" i="23" s="1"/>
  <c r="X48" i="23"/>
  <c r="AC48" i="23"/>
  <c r="AC49" i="23" s="1"/>
  <c r="AD48" i="23"/>
  <c r="AG48" i="23"/>
  <c r="AH48" i="23"/>
  <c r="AI48" i="23"/>
  <c r="AL48" i="23"/>
  <c r="AM48" i="23"/>
  <c r="AM49" i="23" s="1"/>
  <c r="AO49" i="23" s="1"/>
  <c r="AN48" i="23"/>
  <c r="AQ48" i="23"/>
  <c r="AR48" i="23"/>
  <c r="AS48" i="23"/>
  <c r="AS49" i="23" s="1"/>
  <c r="AU49" i="23" s="1"/>
  <c r="D49" i="23"/>
  <c r="N49" i="23"/>
  <c r="P49" i="23" s="1"/>
  <c r="X49" i="23"/>
  <c r="Z49" i="23"/>
  <c r="AD49" i="23"/>
  <c r="AF49" i="23" s="1"/>
  <c r="AH49" i="23"/>
  <c r="AN49" i="23"/>
  <c r="AP49" i="23"/>
  <c r="AR49" i="23"/>
  <c r="AT49" i="23"/>
  <c r="D50" i="23"/>
  <c r="I50" i="23"/>
  <c r="N50" i="23"/>
  <c r="P50" i="23" s="1"/>
  <c r="X50" i="23"/>
  <c r="Z50" i="23" s="1"/>
  <c r="AC50" i="23"/>
  <c r="AE50" i="23" s="1"/>
  <c r="AD50" i="23"/>
  <c r="AH50" i="23"/>
  <c r="AJ50" i="23"/>
  <c r="AM50" i="23"/>
  <c r="AN50" i="23"/>
  <c r="AO50" i="23"/>
  <c r="AR50" i="23"/>
  <c r="AT50" i="23" s="1"/>
  <c r="AS50" i="23"/>
  <c r="A51" i="23"/>
  <c r="D51" i="23"/>
  <c r="M51" i="23"/>
  <c r="O51" i="23" s="1"/>
  <c r="N51" i="23"/>
  <c r="P51" i="23" s="1"/>
  <c r="Q51" i="23"/>
  <c r="X51" i="23"/>
  <c r="Z51" i="23" s="1"/>
  <c r="Y51" i="23"/>
  <c r="AA51" i="23" s="1"/>
  <c r="AC51" i="23"/>
  <c r="AE51" i="23" s="1"/>
  <c r="AD51" i="23"/>
  <c r="AF51" i="23"/>
  <c r="AH51" i="23"/>
  <c r="AJ51" i="23" s="1"/>
  <c r="AI51" i="23"/>
  <c r="AK51" i="23" s="1"/>
  <c r="AM51" i="23"/>
  <c r="AO51" i="23" s="1"/>
  <c r="AN51" i="23"/>
  <c r="AP51" i="23" s="1"/>
  <c r="AR51" i="23"/>
  <c r="AT51" i="23" s="1"/>
  <c r="AS51" i="23"/>
  <c r="AU51" i="23" s="1"/>
  <c r="D52" i="23"/>
  <c r="I52" i="23"/>
  <c r="K52" i="23"/>
  <c r="M52" i="23"/>
  <c r="N52" i="23"/>
  <c r="O52" i="23"/>
  <c r="P52" i="23"/>
  <c r="X52" i="23"/>
  <c r="Y52" i="23"/>
  <c r="Z52" i="23"/>
  <c r="AC52" i="23"/>
  <c r="AD52" i="23"/>
  <c r="AE52" i="23"/>
  <c r="AH52" i="23"/>
  <c r="AI52" i="23"/>
  <c r="AJ52" i="23"/>
  <c r="AM52" i="23"/>
  <c r="AL49" i="23" s="1"/>
  <c r="AN52" i="23"/>
  <c r="AO52" i="23"/>
  <c r="AR52" i="23"/>
  <c r="AS52" i="23"/>
  <c r="AT52" i="23"/>
  <c r="D53" i="23"/>
  <c r="I53" i="23"/>
  <c r="K53" i="23" s="1"/>
  <c r="M53" i="23"/>
  <c r="O53" i="23" s="1"/>
  <c r="N53" i="23"/>
  <c r="P53" i="23" s="1"/>
  <c r="Q53" i="23"/>
  <c r="X53" i="23"/>
  <c r="Z53" i="23" s="1"/>
  <c r="Y53" i="23"/>
  <c r="AC53" i="23"/>
  <c r="AE53" i="23" s="1"/>
  <c r="AD53" i="23"/>
  <c r="AH53" i="23"/>
  <c r="AJ53" i="23" s="1"/>
  <c r="AI53" i="23"/>
  <c r="AM53" i="23"/>
  <c r="AO53" i="23" s="1"/>
  <c r="AN53" i="23"/>
  <c r="AR53" i="23"/>
  <c r="AT53" i="23" s="1"/>
  <c r="AS53" i="23"/>
  <c r="D54" i="23"/>
  <c r="I54" i="23"/>
  <c r="K54" i="23"/>
  <c r="M54" i="23"/>
  <c r="N54" i="23"/>
  <c r="O54" i="23"/>
  <c r="P54" i="23"/>
  <c r="Q54" i="23"/>
  <c r="X54" i="23"/>
  <c r="Y54" i="23"/>
  <c r="Z54" i="23"/>
  <c r="AC54" i="23"/>
  <c r="AD54" i="23"/>
  <c r="AE54" i="23"/>
  <c r="AH54" i="23"/>
  <c r="AI54" i="23"/>
  <c r="AJ54" i="23"/>
  <c r="AM54" i="23"/>
  <c r="AN54" i="23"/>
  <c r="AO54" i="23"/>
  <c r="AR54" i="23"/>
  <c r="AS54" i="23"/>
  <c r="AT54" i="23"/>
  <c r="D55" i="23"/>
  <c r="I55" i="23"/>
  <c r="K55" i="23" s="1"/>
  <c r="M55" i="23"/>
  <c r="O55" i="23" s="1"/>
  <c r="N55" i="23"/>
  <c r="P55" i="23" s="1"/>
  <c r="Q55" i="23"/>
  <c r="X55" i="23"/>
  <c r="Z55" i="23" s="1"/>
  <c r="Y55" i="23"/>
  <c r="AC55" i="23"/>
  <c r="AE55" i="23" s="1"/>
  <c r="AD55" i="23"/>
  <c r="AH55" i="23"/>
  <c r="AJ55" i="23" s="1"/>
  <c r="AI55" i="23"/>
  <c r="AM55" i="23"/>
  <c r="AO55" i="23" s="1"/>
  <c r="AN55" i="23"/>
  <c r="AR55" i="23"/>
  <c r="AT55" i="23" s="1"/>
  <c r="AS55" i="23"/>
  <c r="G56" i="23"/>
  <c r="H56" i="23" s="1"/>
  <c r="L56" i="23"/>
  <c r="M56" i="23"/>
  <c r="M59" i="23" s="1"/>
  <c r="O59" i="23" s="1"/>
  <c r="N56" i="23"/>
  <c r="R56" i="23"/>
  <c r="S56" i="23" s="1"/>
  <c r="T56" i="23"/>
  <c r="T57" i="23" s="1"/>
  <c r="W56" i="23"/>
  <c r="Y56" i="23" s="1"/>
  <c r="X56" i="23"/>
  <c r="X57" i="23" s="1"/>
  <c r="AB56" i="23"/>
  <c r="AC56" i="23"/>
  <c r="AD56" i="23"/>
  <c r="AD57" i="23" s="1"/>
  <c r="AG56" i="23"/>
  <c r="AH56" i="23"/>
  <c r="AH59" i="23" s="1"/>
  <c r="AJ59" i="23" s="1"/>
  <c r="AI56" i="23"/>
  <c r="AL56" i="23"/>
  <c r="AM56" i="23"/>
  <c r="AN56" i="23"/>
  <c r="AN57" i="23" s="1"/>
  <c r="AQ56" i="23"/>
  <c r="AR56" i="23"/>
  <c r="AR57" i="23" s="1"/>
  <c r="AS56" i="23"/>
  <c r="D57" i="23"/>
  <c r="E57" i="23"/>
  <c r="N57" i="23"/>
  <c r="AC57" i="23"/>
  <c r="AB57" i="23" s="1"/>
  <c r="AE57" i="23"/>
  <c r="AI57" i="23"/>
  <c r="AK57" i="23" s="1"/>
  <c r="AM57" i="23"/>
  <c r="AO57" i="23" s="1"/>
  <c r="AS57" i="23"/>
  <c r="AU57" i="23"/>
  <c r="D58" i="23"/>
  <c r="E58" i="23"/>
  <c r="N58" i="23"/>
  <c r="P58" i="23" s="1"/>
  <c r="T58" i="23"/>
  <c r="V58" i="23" s="1"/>
  <c r="AC58" i="23"/>
  <c r="AE58" i="23" s="1"/>
  <c r="AD58" i="23"/>
  <c r="AF58" i="23" s="1"/>
  <c r="AI58" i="23"/>
  <c r="AK58" i="23" s="1"/>
  <c r="AM58" i="23"/>
  <c r="AO58" i="23" s="1"/>
  <c r="AN58" i="23"/>
  <c r="AP58" i="23" s="1"/>
  <c r="AS58" i="23"/>
  <c r="AU58" i="23" s="1"/>
  <c r="D59" i="23"/>
  <c r="E59" i="23"/>
  <c r="N59" i="23"/>
  <c r="P59" i="23"/>
  <c r="T59" i="23"/>
  <c r="V59" i="23"/>
  <c r="Y59" i="23"/>
  <c r="AA59" i="23"/>
  <c r="AC59" i="23"/>
  <c r="AD59" i="23"/>
  <c r="AE59" i="23"/>
  <c r="AF59" i="23"/>
  <c r="AI59" i="23"/>
  <c r="AK59" i="23"/>
  <c r="AM59" i="23"/>
  <c r="AN59" i="23"/>
  <c r="AP59" i="23" s="1"/>
  <c r="AO59" i="23"/>
  <c r="AS59" i="23"/>
  <c r="AU59" i="23"/>
  <c r="D60" i="23"/>
  <c r="E60" i="23"/>
  <c r="E74" i="23" s="1"/>
  <c r="N60" i="23"/>
  <c r="P60" i="23"/>
  <c r="T60" i="23"/>
  <c r="V60" i="23"/>
  <c r="Y60" i="23"/>
  <c r="AA60" i="23"/>
  <c r="AC60" i="23"/>
  <c r="AE60" i="23" s="1"/>
  <c r="AD60" i="23"/>
  <c r="AF60" i="23" s="1"/>
  <c r="AI60" i="23"/>
  <c r="AK60" i="23" s="1"/>
  <c r="AM60" i="23"/>
  <c r="AO60" i="23" s="1"/>
  <c r="AN60" i="23"/>
  <c r="AP60" i="23"/>
  <c r="AS60" i="23"/>
  <c r="AU60" i="23"/>
  <c r="D61" i="23"/>
  <c r="E61" i="23"/>
  <c r="N61" i="23"/>
  <c r="P61" i="23"/>
  <c r="T61" i="23"/>
  <c r="V61" i="23"/>
  <c r="Y61" i="23"/>
  <c r="AA61" i="23"/>
  <c r="AC61" i="23"/>
  <c r="AD61" i="23"/>
  <c r="AE61" i="23"/>
  <c r="AF61" i="23"/>
  <c r="AI61" i="23"/>
  <c r="AK61" i="23"/>
  <c r="AM61" i="23"/>
  <c r="AN61" i="23"/>
  <c r="AP61" i="23" s="1"/>
  <c r="AO61" i="23"/>
  <c r="AS61" i="23"/>
  <c r="AU61" i="23"/>
  <c r="D62" i="23"/>
  <c r="E62" i="23"/>
  <c r="N62" i="23"/>
  <c r="P62" i="23"/>
  <c r="T62" i="23"/>
  <c r="V62" i="23"/>
  <c r="Y62" i="23"/>
  <c r="AA62" i="23"/>
  <c r="AC62" i="23"/>
  <c r="AE62" i="23" s="1"/>
  <c r="AD62" i="23"/>
  <c r="AF62" i="23" s="1"/>
  <c r="AI62" i="23"/>
  <c r="AK62" i="23" s="1"/>
  <c r="AM62" i="23"/>
  <c r="AO62" i="23" s="1"/>
  <c r="AN62" i="23"/>
  <c r="AP62" i="23"/>
  <c r="AS62" i="23"/>
  <c r="AU62" i="23"/>
  <c r="D63" i="23"/>
  <c r="E63" i="23"/>
  <c r="N63" i="23"/>
  <c r="P63" i="23"/>
  <c r="T63" i="23"/>
  <c r="V63" i="23"/>
  <c r="Y63" i="23"/>
  <c r="AA63" i="23"/>
  <c r="AC63" i="23"/>
  <c r="AD63" i="23"/>
  <c r="AF63" i="23" s="1"/>
  <c r="AE63" i="23"/>
  <c r="AI63" i="23"/>
  <c r="AK63" i="23"/>
  <c r="AM63" i="23"/>
  <c r="AN63" i="23"/>
  <c r="AO63" i="23"/>
  <c r="AP63" i="23"/>
  <c r="AS63" i="23"/>
  <c r="AU63" i="23"/>
  <c r="G64" i="23"/>
  <c r="H64" i="23"/>
  <c r="H65" i="23" s="1"/>
  <c r="J65" i="23" s="1"/>
  <c r="I64" i="23"/>
  <c r="K64" i="23" s="1"/>
  <c r="L64" i="23"/>
  <c r="M64" i="23" s="1"/>
  <c r="N64" i="23"/>
  <c r="N67" i="23" s="1"/>
  <c r="P67" i="23" s="1"/>
  <c r="R64" i="23"/>
  <c r="T64" i="23" s="1"/>
  <c r="S64" i="23"/>
  <c r="W64" i="23"/>
  <c r="X64" i="23" s="1"/>
  <c r="X67" i="23" s="1"/>
  <c r="Z67" i="23" s="1"/>
  <c r="Y64" i="23"/>
  <c r="Y67" i="23" s="1"/>
  <c r="AA67" i="23" s="1"/>
  <c r="AB64" i="23"/>
  <c r="AC64" i="23"/>
  <c r="AD64" i="23"/>
  <c r="AG64" i="23"/>
  <c r="AH64" i="23"/>
  <c r="AI64" i="23"/>
  <c r="AL64" i="23"/>
  <c r="AM64" i="23"/>
  <c r="AN64" i="23"/>
  <c r="AQ64" i="23"/>
  <c r="AR64" i="23"/>
  <c r="AS64" i="23"/>
  <c r="AS67" i="23" s="1"/>
  <c r="AU67" i="23" s="1"/>
  <c r="D65" i="23"/>
  <c r="I65" i="23"/>
  <c r="K65" i="23" s="1"/>
  <c r="T65" i="23"/>
  <c r="V65" i="23" s="1"/>
  <c r="X65" i="23"/>
  <c r="AD65" i="23"/>
  <c r="AF65" i="23"/>
  <c r="AH65" i="23"/>
  <c r="AJ65" i="23"/>
  <c r="AN65" i="23"/>
  <c r="AP65" i="23" s="1"/>
  <c r="AR65" i="23"/>
  <c r="AT65" i="23" s="1"/>
  <c r="D66" i="23"/>
  <c r="I66" i="23"/>
  <c r="K66" i="23"/>
  <c r="S66" i="23"/>
  <c r="U66" i="23"/>
  <c r="X66" i="23"/>
  <c r="Z66" i="23"/>
  <c r="AC66" i="23"/>
  <c r="AE66" i="23" s="1"/>
  <c r="AD66" i="23"/>
  <c r="AH66" i="23"/>
  <c r="AJ66" i="23" s="1"/>
  <c r="AM66" i="23"/>
  <c r="AO66" i="23" s="1"/>
  <c r="AN66" i="23"/>
  <c r="AR66" i="23"/>
  <c r="AT66" i="23"/>
  <c r="A67" i="23"/>
  <c r="D67" i="23"/>
  <c r="I67" i="23"/>
  <c r="K67" i="23" s="1"/>
  <c r="M67" i="23"/>
  <c r="O67" i="23" s="1"/>
  <c r="Q67" i="23"/>
  <c r="AD67" i="23"/>
  <c r="AF67" i="23"/>
  <c r="AH67" i="23"/>
  <c r="AJ67" i="23" s="1"/>
  <c r="AI67" i="23"/>
  <c r="AK67" i="23" s="1"/>
  <c r="AN67" i="23"/>
  <c r="AP67" i="23" s="1"/>
  <c r="AR67" i="23"/>
  <c r="AT67" i="23" s="1"/>
  <c r="D68" i="23"/>
  <c r="K68" i="23" s="1"/>
  <c r="I68" i="23"/>
  <c r="N68" i="23"/>
  <c r="P68" i="23" s="1"/>
  <c r="S68" i="23"/>
  <c r="U68" i="23" s="1"/>
  <c r="X68" i="23"/>
  <c r="Z68" i="23" s="1"/>
  <c r="AC68" i="23"/>
  <c r="AE68" i="23" s="1"/>
  <c r="AD68" i="23"/>
  <c r="AH68" i="23"/>
  <c r="AJ68" i="23"/>
  <c r="AM68" i="23"/>
  <c r="AN68" i="23"/>
  <c r="AO68" i="23"/>
  <c r="AR68" i="23"/>
  <c r="AT68" i="23" s="1"/>
  <c r="G69" i="23"/>
  <c r="H69" i="23" s="1"/>
  <c r="L69" i="23"/>
  <c r="M69" i="23"/>
  <c r="M71" i="23" s="1"/>
  <c r="O71" i="23" s="1"/>
  <c r="N69" i="23"/>
  <c r="R69" i="23"/>
  <c r="S69" i="23" s="1"/>
  <c r="T69" i="23"/>
  <c r="W69" i="23"/>
  <c r="Y69" i="23" s="1"/>
  <c r="Y71" i="23" s="1"/>
  <c r="X69" i="23"/>
  <c r="AB69" i="23"/>
  <c r="AC69" i="23"/>
  <c r="AD69" i="23"/>
  <c r="AG69" i="23"/>
  <c r="AH69" i="23"/>
  <c r="AI69" i="23"/>
  <c r="AL69" i="23"/>
  <c r="AM69" i="23"/>
  <c r="AN69" i="23"/>
  <c r="AQ69" i="23"/>
  <c r="AR69" i="23"/>
  <c r="AS69" i="23"/>
  <c r="D70" i="23"/>
  <c r="M70" i="23"/>
  <c r="N70" i="23"/>
  <c r="Q70" i="23"/>
  <c r="S70" i="23"/>
  <c r="U70" i="23" s="1"/>
  <c r="AC70" i="23"/>
  <c r="AE70" i="23"/>
  <c r="AI70" i="23"/>
  <c r="AK70" i="23" s="1"/>
  <c r="AM70" i="23"/>
  <c r="AL70" i="23" s="1"/>
  <c r="AS70" i="23"/>
  <c r="AU70" i="23"/>
  <c r="A71" i="23"/>
  <c r="D71" i="23"/>
  <c r="N71" i="23"/>
  <c r="P71" i="23"/>
  <c r="Q71" i="23"/>
  <c r="S71" i="23"/>
  <c r="U71" i="23" s="1"/>
  <c r="X71" i="23"/>
  <c r="Z71" i="23" s="1"/>
  <c r="AC71" i="23"/>
  <c r="AE71" i="23" s="1"/>
  <c r="AH71" i="23"/>
  <c r="AI71" i="23"/>
  <c r="AJ71" i="23"/>
  <c r="AM71" i="23"/>
  <c r="AO71" i="23"/>
  <c r="AS71" i="23"/>
  <c r="D72" i="23"/>
  <c r="H72" i="23"/>
  <c r="J72" i="23" s="1"/>
  <c r="M72" i="23"/>
  <c r="N72" i="23"/>
  <c r="P72" i="23" s="1"/>
  <c r="O72" i="23"/>
  <c r="Q72" i="23"/>
  <c r="T72" i="23"/>
  <c r="V72" i="23" s="1"/>
  <c r="Y72" i="23"/>
  <c r="AA72" i="23" s="1"/>
  <c r="AC72" i="23"/>
  <c r="AE72" i="23" s="1"/>
  <c r="AD72" i="23"/>
  <c r="AF72" i="23"/>
  <c r="AI72" i="23"/>
  <c r="AK72" i="23"/>
  <c r="AM72" i="23"/>
  <c r="AO72" i="23" s="1"/>
  <c r="AN72" i="23"/>
  <c r="AP72" i="23" s="1"/>
  <c r="AS72" i="23"/>
  <c r="AU72" i="23" s="1"/>
  <c r="D73" i="23"/>
  <c r="N73" i="23"/>
  <c r="P73" i="23"/>
  <c r="Q73" i="23"/>
  <c r="T73" i="23"/>
  <c r="V73" i="23" s="1"/>
  <c r="Y73" i="23"/>
  <c r="AA73" i="23" s="1"/>
  <c r="AC73" i="23"/>
  <c r="AD73" i="23"/>
  <c r="AE73" i="23"/>
  <c r="AF73" i="23"/>
  <c r="AI73" i="23"/>
  <c r="AK73" i="23" s="1"/>
  <c r="AM73" i="23"/>
  <c r="AN73" i="23"/>
  <c r="AP73" i="23" s="1"/>
  <c r="AO73" i="23"/>
  <c r="AS73" i="23"/>
  <c r="AU73" i="23" s="1"/>
  <c r="D74" i="23"/>
  <c r="AC74" i="23"/>
  <c r="AH74" i="23"/>
  <c r="AM74" i="23"/>
  <c r="AM75" i="23" s="1"/>
  <c r="AR74" i="23"/>
  <c r="AR75" i="23" s="1"/>
  <c r="D75" i="23"/>
  <c r="E4" i="22"/>
  <c r="G4" i="22"/>
  <c r="I4" i="22"/>
  <c r="K4" i="22"/>
  <c r="M4" i="22"/>
  <c r="O4" i="22"/>
  <c r="Q4" i="22"/>
  <c r="S4" i="22"/>
  <c r="D5" i="22"/>
  <c r="E5" i="22" s="1"/>
  <c r="F5" i="22"/>
  <c r="G5" i="22"/>
  <c r="H6" i="22"/>
  <c r="H5" i="22" s="1"/>
  <c r="H53" i="22" s="1"/>
  <c r="J6" i="22"/>
  <c r="L6" i="22"/>
  <c r="L5" i="22" s="1"/>
  <c r="L53" i="22" s="1"/>
  <c r="L61" i="22" s="1"/>
  <c r="R6" i="22"/>
  <c r="S6" i="22"/>
  <c r="E7" i="22"/>
  <c r="G7" i="22"/>
  <c r="I7" i="22"/>
  <c r="K7" i="22"/>
  <c r="M7" i="22"/>
  <c r="O7" i="22"/>
  <c r="Q7" i="22"/>
  <c r="S7" i="22"/>
  <c r="E8" i="22"/>
  <c r="G8" i="22"/>
  <c r="I8" i="22"/>
  <c r="H8" i="22" s="1"/>
  <c r="J8" i="22"/>
  <c r="L8" i="22"/>
  <c r="M8" i="22"/>
  <c r="H9" i="22"/>
  <c r="H57" i="22" s="1"/>
  <c r="S32" i="24" s="1"/>
  <c r="J9" i="22"/>
  <c r="M9" i="22"/>
  <c r="O9" i="22"/>
  <c r="Q9" i="22"/>
  <c r="Q6" i="22" s="1"/>
  <c r="P6" i="22" s="1"/>
  <c r="R9" i="22"/>
  <c r="E10" i="22"/>
  <c r="G10" i="22"/>
  <c r="I10" i="22"/>
  <c r="K10" i="22"/>
  <c r="M10" i="22"/>
  <c r="O10" i="22"/>
  <c r="Q10" i="22"/>
  <c r="S10" i="22"/>
  <c r="D11" i="22"/>
  <c r="R12" i="22" s="1"/>
  <c r="F13" i="22"/>
  <c r="H13" i="22"/>
  <c r="J13" i="22"/>
  <c r="L13" i="22"/>
  <c r="N13" i="22"/>
  <c r="P13" i="22"/>
  <c r="R13" i="22"/>
  <c r="D17" i="22"/>
  <c r="F17" i="22"/>
  <c r="H17" i="22"/>
  <c r="J17" i="22"/>
  <c r="J30" i="22" s="1"/>
  <c r="L17" i="22"/>
  <c r="N17" i="22"/>
  <c r="P17" i="22"/>
  <c r="R17" i="22"/>
  <c r="D18" i="22"/>
  <c r="F18" i="22"/>
  <c r="H18" i="22"/>
  <c r="J18" i="22"/>
  <c r="R19" i="22"/>
  <c r="R38" i="22" s="1"/>
  <c r="R48" i="22" s="1"/>
  <c r="D20" i="22"/>
  <c r="D55" i="22" s="1"/>
  <c r="D56" i="22" s="1"/>
  <c r="F20" i="22"/>
  <c r="H20" i="22"/>
  <c r="J20" i="22"/>
  <c r="L20" i="22"/>
  <c r="L55" i="22" s="1"/>
  <c r="N20" i="22"/>
  <c r="P20" i="22"/>
  <c r="R20" i="22"/>
  <c r="D21" i="22"/>
  <c r="E21" i="22"/>
  <c r="F21" i="22"/>
  <c r="G21" i="22"/>
  <c r="H21" i="22"/>
  <c r="K21" i="22"/>
  <c r="K56" i="22" s="1"/>
  <c r="L21" i="22"/>
  <c r="J22" i="22"/>
  <c r="L22" i="22"/>
  <c r="O22" i="22"/>
  <c r="O57" i="22" s="1"/>
  <c r="Q22" i="22"/>
  <c r="S22" i="22"/>
  <c r="F23" i="22"/>
  <c r="G23" i="22"/>
  <c r="H23" i="22"/>
  <c r="I23" i="22" s="1"/>
  <c r="J23" i="22"/>
  <c r="J58" i="22" s="1"/>
  <c r="K23" i="22"/>
  <c r="K58" i="22" s="1"/>
  <c r="N23" i="22"/>
  <c r="N58" i="22" s="1"/>
  <c r="O23" i="22"/>
  <c r="O58" i="22" s="1"/>
  <c r="K13" i="20" s="1"/>
  <c r="P23" i="22"/>
  <c r="Q23" i="22" s="1"/>
  <c r="R23" i="22"/>
  <c r="R58" i="22" s="1"/>
  <c r="S23" i="22"/>
  <c r="S58" i="22" s="1"/>
  <c r="F28" i="22"/>
  <c r="H28" i="22"/>
  <c r="J28" i="22"/>
  <c r="J32" i="22" s="1"/>
  <c r="D29" i="22"/>
  <c r="F29" i="22"/>
  <c r="H29" i="22"/>
  <c r="J29" i="22"/>
  <c r="F30" i="22"/>
  <c r="H30" i="22"/>
  <c r="A31" i="22"/>
  <c r="F31" i="22"/>
  <c r="H31" i="22"/>
  <c r="A32" i="22"/>
  <c r="F32" i="22"/>
  <c r="H32" i="22"/>
  <c r="A33" i="22"/>
  <c r="F33" i="22"/>
  <c r="H33" i="22"/>
  <c r="A34" i="22"/>
  <c r="F34" i="22"/>
  <c r="H34" i="22"/>
  <c r="A35" i="22"/>
  <c r="F35" i="22"/>
  <c r="H35" i="22"/>
  <c r="A36" i="22"/>
  <c r="F36" i="22"/>
  <c r="H36" i="22"/>
  <c r="A37" i="22"/>
  <c r="F37" i="22"/>
  <c r="H37" i="22"/>
  <c r="O41" i="22"/>
  <c r="Q41" i="22"/>
  <c r="O42" i="22"/>
  <c r="Q42" i="22"/>
  <c r="O43" i="22"/>
  <c r="Q43" i="22"/>
  <c r="O44" i="22"/>
  <c r="Q44" i="22"/>
  <c r="O45" i="22"/>
  <c r="Q45" i="22"/>
  <c r="O46" i="22"/>
  <c r="Q46" i="22"/>
  <c r="O47" i="22"/>
  <c r="Q47" i="22"/>
  <c r="S48" i="22"/>
  <c r="F52" i="22"/>
  <c r="G52" i="22"/>
  <c r="G53" i="22" s="1"/>
  <c r="H52" i="22"/>
  <c r="I52" i="22"/>
  <c r="J52" i="22"/>
  <c r="K52" i="22"/>
  <c r="M52" i="22"/>
  <c r="N52" i="22"/>
  <c r="O52" i="22"/>
  <c r="P52" i="22"/>
  <c r="Q52" i="22"/>
  <c r="R52" i="22"/>
  <c r="S52" i="22"/>
  <c r="M53" i="22"/>
  <c r="O53" i="22"/>
  <c r="Q53" i="22"/>
  <c r="I54" i="22"/>
  <c r="J54" i="22"/>
  <c r="K54" i="22"/>
  <c r="R54" i="22"/>
  <c r="R68" i="22" s="1"/>
  <c r="S54" i="22"/>
  <c r="E55" i="22"/>
  <c r="F55" i="22"/>
  <c r="F56" i="22" s="1"/>
  <c r="G55" i="22"/>
  <c r="H55" i="22"/>
  <c r="I55" i="22"/>
  <c r="M55" i="22"/>
  <c r="N55" i="22"/>
  <c r="O55" i="22"/>
  <c r="P55" i="22"/>
  <c r="Q55" i="22"/>
  <c r="R55" i="22"/>
  <c r="S55" i="22"/>
  <c r="E56" i="22"/>
  <c r="G56" i="22"/>
  <c r="J56" i="22"/>
  <c r="J55" i="22" s="1"/>
  <c r="K55" i="22" s="1"/>
  <c r="L56" i="22"/>
  <c r="I57" i="22"/>
  <c r="K57" i="22"/>
  <c r="J57" i="22" s="1"/>
  <c r="L57" i="22"/>
  <c r="M57" i="22"/>
  <c r="Q57" i="22"/>
  <c r="H58" i="22"/>
  <c r="I58" i="22"/>
  <c r="P58" i="22"/>
  <c r="Q58" i="22"/>
  <c r="L13" i="20" s="1"/>
  <c r="F61" i="22"/>
  <c r="F62" i="22"/>
  <c r="F65" i="22"/>
  <c r="F66" i="22"/>
  <c r="R69" i="22"/>
  <c r="R71" i="22"/>
  <c r="R73" i="22"/>
  <c r="R3" i="21"/>
  <c r="R4" i="21"/>
  <c r="R5" i="21" s="1"/>
  <c r="R6" i="21"/>
  <c r="R7" i="21"/>
  <c r="B14" i="21"/>
  <c r="C14" i="21"/>
  <c r="B18" i="21"/>
  <c r="C18" i="21"/>
  <c r="R4" i="20"/>
  <c r="R8" i="20" s="1"/>
  <c r="G9" i="20"/>
  <c r="H9" i="20"/>
  <c r="I9" i="20"/>
  <c r="J9" i="20"/>
  <c r="K9" i="20"/>
  <c r="L9" i="20"/>
  <c r="M9" i="20"/>
  <c r="F11" i="20"/>
  <c r="G11" i="20"/>
  <c r="H11" i="20"/>
  <c r="I11" i="20"/>
  <c r="J11" i="20"/>
  <c r="K11" i="20"/>
  <c r="L11" i="20"/>
  <c r="M11" i="20"/>
  <c r="F12" i="20"/>
  <c r="H12" i="20"/>
  <c r="I12" i="20"/>
  <c r="J12" i="20"/>
  <c r="L12" i="20"/>
  <c r="M12" i="20"/>
  <c r="H13" i="20"/>
  <c r="I13" i="20"/>
  <c r="M13" i="20"/>
  <c r="F17" i="20"/>
  <c r="G17" i="20"/>
  <c r="J68" i="27" l="1"/>
  <c r="J69" i="27" s="1"/>
  <c r="X3" i="34" s="1"/>
  <c r="J74" i="27"/>
  <c r="X45" i="34" s="1"/>
  <c r="X49" i="34" s="1"/>
  <c r="Z49" i="34" s="1"/>
  <c r="J72" i="27"/>
  <c r="X24" i="34" s="1"/>
  <c r="X30" i="34" s="1"/>
  <c r="Z30" i="34" s="1"/>
  <c r="J70" i="27"/>
  <c r="X11" i="34" s="1"/>
  <c r="S34" i="34"/>
  <c r="U34" i="34" s="1"/>
  <c r="S36" i="34"/>
  <c r="U36" i="34" s="1"/>
  <c r="S38" i="34"/>
  <c r="U38" i="34" s="1"/>
  <c r="S33" i="34"/>
  <c r="U33" i="34" s="1"/>
  <c r="S35" i="34"/>
  <c r="U35" i="34" s="1"/>
  <c r="S37" i="34"/>
  <c r="U37" i="34" s="1"/>
  <c r="S39" i="34"/>
  <c r="U39" i="34" s="1"/>
  <c r="R5" i="26"/>
  <c r="S35" i="24"/>
  <c r="S36" i="24"/>
  <c r="U36" i="24" s="1"/>
  <c r="S39" i="24"/>
  <c r="S33" i="24"/>
  <c r="U33" i="24" s="1"/>
  <c r="S34" i="24"/>
  <c r="U34" i="24" s="1"/>
  <c r="S37" i="24"/>
  <c r="S38" i="24"/>
  <c r="U38" i="24" s="1"/>
  <c r="I21" i="22"/>
  <c r="I56" i="22" s="1"/>
  <c r="H68" i="22"/>
  <c r="O32" i="35"/>
  <c r="A15" i="35"/>
  <c r="A23" i="35"/>
  <c r="K39" i="35"/>
  <c r="P39" i="35"/>
  <c r="U39" i="35"/>
  <c r="Z39" i="35"/>
  <c r="AE39" i="35"/>
  <c r="AJ39" i="35"/>
  <c r="AO39" i="35"/>
  <c r="AT39" i="35"/>
  <c r="Y32" i="35"/>
  <c r="E52" i="35"/>
  <c r="I47" i="35"/>
  <c r="K47" i="35" s="1"/>
  <c r="AL43" i="35"/>
  <c r="AN43" i="35" s="1"/>
  <c r="K35" i="35"/>
  <c r="P35" i="35"/>
  <c r="U35" i="35"/>
  <c r="Z35" i="35"/>
  <c r="AE35" i="35"/>
  <c r="AJ35" i="35"/>
  <c r="AO35" i="35"/>
  <c r="AT35" i="35"/>
  <c r="AK33" i="35"/>
  <c r="AN34" i="35"/>
  <c r="AD32" i="35"/>
  <c r="T32" i="35"/>
  <c r="J33" i="35"/>
  <c r="H50" i="35"/>
  <c r="H35" i="35"/>
  <c r="J35" i="35" s="1"/>
  <c r="H37" i="35"/>
  <c r="J37" i="35" s="1"/>
  <c r="H39" i="35"/>
  <c r="J39" i="35" s="1"/>
  <c r="H23" i="35"/>
  <c r="J23" i="35" s="1"/>
  <c r="R23" i="35"/>
  <c r="T23" i="35" s="1"/>
  <c r="AB23" i="35"/>
  <c r="AD23" i="35" s="1"/>
  <c r="AL23" i="35"/>
  <c r="AN23" i="35" s="1"/>
  <c r="I23" i="35"/>
  <c r="K23" i="35" s="1"/>
  <c r="N23" i="35"/>
  <c r="P23" i="35" s="1"/>
  <c r="S23" i="35"/>
  <c r="U23" i="35" s="1"/>
  <c r="X23" i="35"/>
  <c r="Z23" i="35" s="1"/>
  <c r="AC23" i="35"/>
  <c r="AE23" i="35" s="1"/>
  <c r="AH23" i="35"/>
  <c r="AJ23" i="35" s="1"/>
  <c r="AM23" i="35"/>
  <c r="AO23" i="35" s="1"/>
  <c r="AR23" i="35"/>
  <c r="AT23" i="35" s="1"/>
  <c r="AF33" i="35"/>
  <c r="E56" i="35"/>
  <c r="A48" i="35"/>
  <c r="F44" i="35"/>
  <c r="F41" i="35"/>
  <c r="F43" i="35"/>
  <c r="M43" i="35" s="1"/>
  <c r="O43" i="35" s="1"/>
  <c r="F42" i="35"/>
  <c r="A44" i="35"/>
  <c r="AS32" i="35"/>
  <c r="H27" i="35"/>
  <c r="J27" i="35" s="1"/>
  <c r="R27" i="35"/>
  <c r="T27" i="35" s="1"/>
  <c r="W27" i="35"/>
  <c r="Y27" i="35" s="1"/>
  <c r="AB27" i="35"/>
  <c r="AD27" i="35" s="1"/>
  <c r="AG27" i="35"/>
  <c r="AI27" i="35" s="1"/>
  <c r="AL27" i="35"/>
  <c r="AN27" i="35" s="1"/>
  <c r="AQ27" i="35"/>
  <c r="AS27" i="35" s="1"/>
  <c r="N27" i="35"/>
  <c r="P27" i="35" s="1"/>
  <c r="X27" i="35"/>
  <c r="Z27" i="35" s="1"/>
  <c r="AH27" i="35"/>
  <c r="AJ27" i="35" s="1"/>
  <c r="AR27" i="35"/>
  <c r="AT27" i="35" s="1"/>
  <c r="H47" i="35"/>
  <c r="J47" i="35" s="1"/>
  <c r="R47" i="35"/>
  <c r="T47" i="35" s="1"/>
  <c r="W47" i="35"/>
  <c r="Y47" i="35" s="1"/>
  <c r="AB47" i="35"/>
  <c r="AD47" i="35" s="1"/>
  <c r="AG47" i="35"/>
  <c r="AI47" i="35" s="1"/>
  <c r="AL47" i="35"/>
  <c r="AN47" i="35" s="1"/>
  <c r="AQ47" i="35"/>
  <c r="AS47" i="35" s="1"/>
  <c r="M47" i="35"/>
  <c r="O47" i="35" s="1"/>
  <c r="AQ43" i="35"/>
  <c r="AS43" i="35" s="1"/>
  <c r="K37" i="35"/>
  <c r="P37" i="35"/>
  <c r="U37" i="35"/>
  <c r="Z37" i="35"/>
  <c r="AE37" i="35"/>
  <c r="AJ37" i="35"/>
  <c r="AO37" i="35"/>
  <c r="AT37" i="35"/>
  <c r="H36" i="35"/>
  <c r="J36" i="35" s="1"/>
  <c r="AN32" i="35"/>
  <c r="AI32" i="35"/>
  <c r="I27" i="35"/>
  <c r="K27" i="35" s="1"/>
  <c r="F48" i="35"/>
  <c r="AT38" i="35"/>
  <c r="AO38" i="35"/>
  <c r="AJ38" i="35"/>
  <c r="AE38" i="35"/>
  <c r="Z38" i="35"/>
  <c r="U38" i="35"/>
  <c r="P38" i="35"/>
  <c r="AT36" i="35"/>
  <c r="AO36" i="35"/>
  <c r="AJ36" i="35"/>
  <c r="AE36" i="35"/>
  <c r="Z36" i="35"/>
  <c r="U36" i="35"/>
  <c r="P36" i="35"/>
  <c r="AT34" i="35"/>
  <c r="AT32" i="35" s="1"/>
  <c r="AO34" i="35"/>
  <c r="AJ34" i="35"/>
  <c r="AJ32" i="35" s="1"/>
  <c r="AE34" i="35"/>
  <c r="Z34" i="35"/>
  <c r="U34" i="35"/>
  <c r="P34" i="35"/>
  <c r="AE33" i="35"/>
  <c r="Z33" i="35"/>
  <c r="Z32" i="35" s="1"/>
  <c r="U33" i="35"/>
  <c r="P33" i="35"/>
  <c r="AQ20" i="35"/>
  <c r="AS20" i="35" s="1"/>
  <c r="AQ23" i="35"/>
  <c r="AS23" i="35" s="1"/>
  <c r="AQ22" i="35"/>
  <c r="AS22" i="35" s="1"/>
  <c r="AQ21" i="35"/>
  <c r="AS21" i="35" s="1"/>
  <c r="AG23" i="35"/>
  <c r="AI23" i="35" s="1"/>
  <c r="AG20" i="35"/>
  <c r="AG22" i="35"/>
  <c r="AI22" i="35" s="1"/>
  <c r="AG21" i="35"/>
  <c r="AI21" i="35" s="1"/>
  <c r="W23" i="35"/>
  <c r="Y23" i="35" s="1"/>
  <c r="W22" i="35"/>
  <c r="Y22" i="35" s="1"/>
  <c r="W21" i="35"/>
  <c r="Y21" i="35" s="1"/>
  <c r="M23" i="35"/>
  <c r="O23" i="35" s="1"/>
  <c r="M22" i="35"/>
  <c r="O22" i="35" s="1"/>
  <c r="M21" i="35"/>
  <c r="O21" i="35" s="1"/>
  <c r="F46" i="35"/>
  <c r="I22" i="35"/>
  <c r="F49" i="35"/>
  <c r="F28" i="35"/>
  <c r="F30" i="35"/>
  <c r="F25" i="35"/>
  <c r="F26" i="35"/>
  <c r="A28" i="35"/>
  <c r="F29" i="35"/>
  <c r="F31" i="35"/>
  <c r="M27" i="35"/>
  <c r="O27" i="35" s="1"/>
  <c r="K22" i="35"/>
  <c r="U22" i="35"/>
  <c r="AE22" i="35"/>
  <c r="AJ22" i="35"/>
  <c r="AO22" i="35"/>
  <c r="AO19" i="35" s="1"/>
  <c r="AT22" i="35"/>
  <c r="AT19" i="35"/>
  <c r="X22" i="35"/>
  <c r="Z22" i="35" s="1"/>
  <c r="S22" i="35"/>
  <c r="N22" i="35"/>
  <c r="P22" i="35" s="1"/>
  <c r="H20" i="35"/>
  <c r="AB20" i="35"/>
  <c r="AD20" i="35" s="1"/>
  <c r="AD19" i="35" s="1"/>
  <c r="AH20" i="35"/>
  <c r="I20" i="35"/>
  <c r="K20" i="35" s="1"/>
  <c r="P20" i="35"/>
  <c r="Z20" i="35"/>
  <c r="AE20" i="35"/>
  <c r="AJ20" i="35"/>
  <c r="AJ19" i="35" s="1"/>
  <c r="H17" i="35"/>
  <c r="J17" i="35" s="1"/>
  <c r="M17" i="35"/>
  <c r="O17" i="35" s="1"/>
  <c r="R17" i="35"/>
  <c r="T17" i="35" s="1"/>
  <c r="W17" i="35"/>
  <c r="Y17" i="35" s="1"/>
  <c r="AB17" i="35"/>
  <c r="AD17" i="35" s="1"/>
  <c r="AG17" i="35"/>
  <c r="AI17" i="35" s="1"/>
  <c r="AL17" i="35"/>
  <c r="AN17" i="35" s="1"/>
  <c r="AQ17" i="35"/>
  <c r="AS17" i="35" s="1"/>
  <c r="I17" i="35"/>
  <c r="K17" i="35" s="1"/>
  <c r="N17" i="35"/>
  <c r="P17" i="35" s="1"/>
  <c r="S17" i="35"/>
  <c r="U17" i="35" s="1"/>
  <c r="X17" i="35"/>
  <c r="Z17" i="35" s="1"/>
  <c r="AC17" i="35"/>
  <c r="AE17" i="35" s="1"/>
  <c r="AH17" i="35"/>
  <c r="AJ17" i="35" s="1"/>
  <c r="AM17" i="35"/>
  <c r="AO17" i="35" s="1"/>
  <c r="AR17" i="35"/>
  <c r="AT17" i="35" s="1"/>
  <c r="H15" i="35"/>
  <c r="J15" i="35" s="1"/>
  <c r="M15" i="35"/>
  <c r="O15" i="35" s="1"/>
  <c r="R15" i="35"/>
  <c r="T15" i="35" s="1"/>
  <c r="W15" i="35"/>
  <c r="Y15" i="35" s="1"/>
  <c r="AB15" i="35"/>
  <c r="AD15" i="35" s="1"/>
  <c r="AG15" i="35"/>
  <c r="AI15" i="35" s="1"/>
  <c r="AL15" i="35"/>
  <c r="AN15" i="35" s="1"/>
  <c r="AQ15" i="35"/>
  <c r="AS15" i="35" s="1"/>
  <c r="I15" i="35"/>
  <c r="K15" i="35" s="1"/>
  <c r="N15" i="35"/>
  <c r="P15" i="35" s="1"/>
  <c r="S15" i="35"/>
  <c r="U15" i="35" s="1"/>
  <c r="X15" i="35"/>
  <c r="Z15" i="35" s="1"/>
  <c r="AC15" i="35"/>
  <c r="AE15" i="35" s="1"/>
  <c r="AH15" i="35"/>
  <c r="AJ15" i="35" s="1"/>
  <c r="AM15" i="35"/>
  <c r="AO15" i="35" s="1"/>
  <c r="AR15" i="35"/>
  <c r="AT15" i="35" s="1"/>
  <c r="AL20" i="35"/>
  <c r="S20" i="35"/>
  <c r="U20" i="35" s="1"/>
  <c r="F7" i="35"/>
  <c r="F9" i="35"/>
  <c r="F4" i="35"/>
  <c r="F6" i="35"/>
  <c r="F5" i="35"/>
  <c r="A7" i="35"/>
  <c r="F8" i="35"/>
  <c r="F10" i="35"/>
  <c r="H12" i="35"/>
  <c r="J12" i="35" s="1"/>
  <c r="X12" i="35"/>
  <c r="Z12" i="35" s="1"/>
  <c r="AB12" i="35"/>
  <c r="AD12" i="35" s="1"/>
  <c r="I12" i="35"/>
  <c r="K12" i="35" s="1"/>
  <c r="M12" i="35"/>
  <c r="O12" i="35" s="1"/>
  <c r="AC12" i="35"/>
  <c r="AE12" i="35" s="1"/>
  <c r="AG12" i="35"/>
  <c r="N12" i="35"/>
  <c r="P12" i="35" s="1"/>
  <c r="R12" i="35"/>
  <c r="T12" i="35" s="1"/>
  <c r="AH12" i="35"/>
  <c r="AJ12" i="35" s="1"/>
  <c r="AL12" i="35"/>
  <c r="W12" i="35"/>
  <c r="Y12" i="35" s="1"/>
  <c r="AR12" i="35"/>
  <c r="AT12" i="35" s="1"/>
  <c r="F14" i="35"/>
  <c r="F13" i="35"/>
  <c r="AQ12" i="35"/>
  <c r="AS12" i="35" s="1"/>
  <c r="AM12" i="35"/>
  <c r="AO12" i="35" s="1"/>
  <c r="S12" i="35"/>
  <c r="U12" i="35" s="1"/>
  <c r="A15" i="34"/>
  <c r="A28" i="34"/>
  <c r="K47" i="34"/>
  <c r="AB33" i="34"/>
  <c r="AD33" i="34" s="1"/>
  <c r="AB34" i="34"/>
  <c r="AD34" i="34" s="1"/>
  <c r="AB36" i="34"/>
  <c r="AD36" i="34" s="1"/>
  <c r="AB38" i="34"/>
  <c r="AD38" i="34" s="1"/>
  <c r="AB35" i="34"/>
  <c r="AD35" i="34" s="1"/>
  <c r="AB37" i="34"/>
  <c r="AD37" i="34" s="1"/>
  <c r="AB39" i="34"/>
  <c r="AD39" i="34" s="1"/>
  <c r="H31" i="34"/>
  <c r="J31" i="34" s="1"/>
  <c r="I31" i="34"/>
  <c r="K31" i="34" s="1"/>
  <c r="X31" i="34"/>
  <c r="Z31" i="34" s="1"/>
  <c r="AR31" i="34"/>
  <c r="AT31" i="34" s="1"/>
  <c r="AR48" i="34"/>
  <c r="AT48" i="34" s="1"/>
  <c r="X48" i="34"/>
  <c r="Z48" i="34" s="1"/>
  <c r="X46" i="34"/>
  <c r="Z46" i="34" s="1"/>
  <c r="AQ46" i="34"/>
  <c r="AS46" i="34" s="1"/>
  <c r="AS45" i="34" s="1"/>
  <c r="AQ49" i="34"/>
  <c r="AS49" i="34" s="1"/>
  <c r="H44" i="34"/>
  <c r="J44" i="34" s="1"/>
  <c r="M44" i="34"/>
  <c r="O44" i="34" s="1"/>
  <c r="H42" i="34"/>
  <c r="J42" i="34" s="1"/>
  <c r="M42" i="34"/>
  <c r="O42" i="34" s="1"/>
  <c r="AQ42" i="34"/>
  <c r="AS42" i="34" s="1"/>
  <c r="AE33" i="34"/>
  <c r="AE32" i="34" s="1"/>
  <c r="O32" i="34"/>
  <c r="H29" i="34"/>
  <c r="J29" i="34" s="1"/>
  <c r="I29" i="34"/>
  <c r="K29" i="34" s="1"/>
  <c r="X29" i="34"/>
  <c r="Z29" i="34" s="1"/>
  <c r="AR29" i="34"/>
  <c r="AT29" i="34" s="1"/>
  <c r="AT27" i="34"/>
  <c r="M48" i="34"/>
  <c r="O48" i="34" s="1"/>
  <c r="O45" i="34" s="1"/>
  <c r="H41" i="34"/>
  <c r="M41" i="34"/>
  <c r="O41" i="34" s="1"/>
  <c r="I41" i="34"/>
  <c r="K41" i="34" s="1"/>
  <c r="N41" i="34"/>
  <c r="P41" i="34" s="1"/>
  <c r="AR41" i="34"/>
  <c r="AT41" i="34" s="1"/>
  <c r="AQ41" i="34"/>
  <c r="AS41" i="34" s="1"/>
  <c r="K33" i="34"/>
  <c r="AJ33" i="34"/>
  <c r="AJ32" i="34" s="1"/>
  <c r="AO33" i="34"/>
  <c r="AO32" i="34" s="1"/>
  <c r="AT33" i="34"/>
  <c r="AT32" i="34" s="1"/>
  <c r="R33" i="34"/>
  <c r="T33" i="34" s="1"/>
  <c r="R34" i="34"/>
  <c r="T34" i="34" s="1"/>
  <c r="R36" i="34"/>
  <c r="T36" i="34" s="1"/>
  <c r="R38" i="34"/>
  <c r="T38" i="34" s="1"/>
  <c r="R35" i="34"/>
  <c r="T35" i="34" s="1"/>
  <c r="R37" i="34"/>
  <c r="T37" i="34" s="1"/>
  <c r="R39" i="34"/>
  <c r="T39" i="34" s="1"/>
  <c r="E52" i="34"/>
  <c r="H49" i="34"/>
  <c r="J49" i="34" s="1"/>
  <c r="M49" i="34"/>
  <c r="O49" i="34" s="1"/>
  <c r="AQ48" i="34"/>
  <c r="AS48" i="34" s="1"/>
  <c r="I48" i="34"/>
  <c r="K48" i="34" s="1"/>
  <c r="A48" i="34"/>
  <c r="I46" i="34"/>
  <c r="K46" i="34" s="1"/>
  <c r="N42" i="34"/>
  <c r="P42" i="34" s="1"/>
  <c r="I50" i="34"/>
  <c r="AQ34" i="34"/>
  <c r="AS34" i="34" s="1"/>
  <c r="AQ36" i="34"/>
  <c r="AS36" i="34" s="1"/>
  <c r="AQ38" i="34"/>
  <c r="AS38" i="34" s="1"/>
  <c r="AQ33" i="34"/>
  <c r="AS33" i="34" s="1"/>
  <c r="AQ35" i="34"/>
  <c r="AS35" i="34" s="1"/>
  <c r="AQ37" i="34"/>
  <c r="AS37" i="34" s="1"/>
  <c r="AQ39" i="34"/>
  <c r="AS39" i="34" s="1"/>
  <c r="AG34" i="34"/>
  <c r="AI34" i="34" s="1"/>
  <c r="AG36" i="34"/>
  <c r="AI36" i="34" s="1"/>
  <c r="AG38" i="34"/>
  <c r="AI38" i="34" s="1"/>
  <c r="AG33" i="34"/>
  <c r="AG35" i="34"/>
  <c r="AI35" i="34" s="1"/>
  <c r="AG37" i="34"/>
  <c r="AI37" i="34" s="1"/>
  <c r="AG39" i="34"/>
  <c r="AI39" i="34" s="1"/>
  <c r="W33" i="34"/>
  <c r="Y33" i="34" s="1"/>
  <c r="W34" i="34"/>
  <c r="Y34" i="34" s="1"/>
  <c r="W36" i="34"/>
  <c r="Y36" i="34" s="1"/>
  <c r="W38" i="34"/>
  <c r="Y38" i="34" s="1"/>
  <c r="W35" i="34"/>
  <c r="Y35" i="34" s="1"/>
  <c r="W37" i="34"/>
  <c r="Y37" i="34" s="1"/>
  <c r="W39" i="34"/>
  <c r="Y39" i="34" s="1"/>
  <c r="AL34" i="34"/>
  <c r="AN34" i="34" s="1"/>
  <c r="AL36" i="34"/>
  <c r="AN36" i="34" s="1"/>
  <c r="AL38" i="34"/>
  <c r="AN38" i="34" s="1"/>
  <c r="AL33" i="34"/>
  <c r="AL35" i="34"/>
  <c r="AN35" i="34" s="1"/>
  <c r="AL37" i="34"/>
  <c r="AN37" i="34" s="1"/>
  <c r="AL39" i="34"/>
  <c r="AN39" i="34" s="1"/>
  <c r="J33" i="34"/>
  <c r="E56" i="34"/>
  <c r="F50" i="34"/>
  <c r="N48" i="34"/>
  <c r="P48" i="34" s="1"/>
  <c r="I47" i="34"/>
  <c r="N47" i="34"/>
  <c r="P47" i="34" s="1"/>
  <c r="X47" i="34"/>
  <c r="Z47" i="34" s="1"/>
  <c r="AR47" i="34"/>
  <c r="AT47" i="34" s="1"/>
  <c r="AT45" i="34" s="1"/>
  <c r="N46" i="34"/>
  <c r="P46" i="34" s="1"/>
  <c r="H46" i="34"/>
  <c r="AR44" i="34"/>
  <c r="AT44" i="34" s="1"/>
  <c r="A44" i="34"/>
  <c r="Z33" i="34"/>
  <c r="Z32" i="34" s="1"/>
  <c r="P33" i="34"/>
  <c r="P32" i="34" s="1"/>
  <c r="N31" i="34"/>
  <c r="P31" i="34" s="1"/>
  <c r="X28" i="34"/>
  <c r="Z28" i="34" s="1"/>
  <c r="AR28" i="34"/>
  <c r="AT28" i="34" s="1"/>
  <c r="H28" i="34"/>
  <c r="J28" i="34" s="1"/>
  <c r="AQ28" i="34"/>
  <c r="AS28" i="34" s="1"/>
  <c r="I28" i="34"/>
  <c r="K28" i="34" s="1"/>
  <c r="M28" i="34"/>
  <c r="O28" i="34" s="1"/>
  <c r="H22" i="34"/>
  <c r="J22" i="34" s="1"/>
  <c r="N22" i="34"/>
  <c r="P22" i="34" s="1"/>
  <c r="I22" i="34"/>
  <c r="K22" i="34" s="1"/>
  <c r="AQ22" i="34"/>
  <c r="AS22" i="34" s="1"/>
  <c r="AR22" i="34"/>
  <c r="AT22" i="34" s="1"/>
  <c r="M22" i="34"/>
  <c r="O22" i="34" s="1"/>
  <c r="S22" i="34"/>
  <c r="U22" i="34" s="1"/>
  <c r="I16" i="34"/>
  <c r="K16" i="34" s="1"/>
  <c r="N16" i="34"/>
  <c r="P16" i="34" s="1"/>
  <c r="AR16" i="34"/>
  <c r="AT16" i="34" s="1"/>
  <c r="H16" i="34"/>
  <c r="J16" i="34" s="1"/>
  <c r="AQ16" i="34"/>
  <c r="AS16" i="34" s="1"/>
  <c r="M16" i="34"/>
  <c r="O16" i="34" s="1"/>
  <c r="AQ44" i="34"/>
  <c r="AS44" i="34" s="1"/>
  <c r="F43" i="34"/>
  <c r="H39" i="34"/>
  <c r="J39" i="34" s="1"/>
  <c r="H37" i="34"/>
  <c r="J37" i="34" s="1"/>
  <c r="H35" i="34"/>
  <c r="J35" i="34" s="1"/>
  <c r="N30" i="34"/>
  <c r="P30" i="34" s="1"/>
  <c r="H30" i="34"/>
  <c r="J30" i="34" s="1"/>
  <c r="AQ26" i="34"/>
  <c r="AS26" i="34" s="1"/>
  <c r="AS24" i="34" s="1"/>
  <c r="AQ29" i="34"/>
  <c r="AS29" i="34" s="1"/>
  <c r="AQ31" i="34"/>
  <c r="AS31" i="34" s="1"/>
  <c r="AQ27" i="34"/>
  <c r="AS27" i="34" s="1"/>
  <c r="H26" i="34"/>
  <c r="J26" i="34" s="1"/>
  <c r="I26" i="34"/>
  <c r="K26" i="34" s="1"/>
  <c r="X26" i="34"/>
  <c r="Z26" i="34" s="1"/>
  <c r="H25" i="34"/>
  <c r="N25" i="34"/>
  <c r="P25" i="34" s="1"/>
  <c r="AR25" i="34"/>
  <c r="AT25" i="34" s="1"/>
  <c r="I25" i="34"/>
  <c r="K25" i="34" s="1"/>
  <c r="X25" i="34"/>
  <c r="I27" i="34"/>
  <c r="K27" i="34" s="1"/>
  <c r="N27" i="34"/>
  <c r="P27" i="34" s="1"/>
  <c r="X27" i="34"/>
  <c r="Z27" i="34" s="1"/>
  <c r="AR27" i="34"/>
  <c r="M25" i="34"/>
  <c r="O25" i="34" s="1"/>
  <c r="M26" i="34"/>
  <c r="O26" i="34" s="1"/>
  <c r="M29" i="34"/>
  <c r="O29" i="34" s="1"/>
  <c r="M31" i="34"/>
  <c r="O31" i="34" s="1"/>
  <c r="N23" i="34"/>
  <c r="H23" i="34"/>
  <c r="J23" i="34" s="1"/>
  <c r="I18" i="34"/>
  <c r="K18" i="34" s="1"/>
  <c r="N18" i="34"/>
  <c r="P18" i="34" s="1"/>
  <c r="S18" i="34"/>
  <c r="U18" i="34" s="1"/>
  <c r="AR18" i="34"/>
  <c r="AT18" i="34" s="1"/>
  <c r="H14" i="34"/>
  <c r="J14" i="34" s="1"/>
  <c r="M14" i="34"/>
  <c r="O14" i="34" s="1"/>
  <c r="AQ14" i="34"/>
  <c r="AS14" i="34" s="1"/>
  <c r="I14" i="34"/>
  <c r="K14" i="34" s="1"/>
  <c r="N14" i="34"/>
  <c r="P14" i="34" s="1"/>
  <c r="K23" i="34"/>
  <c r="P23" i="34"/>
  <c r="U23" i="34"/>
  <c r="F21" i="34"/>
  <c r="F20" i="34"/>
  <c r="I13" i="34"/>
  <c r="K13" i="34" s="1"/>
  <c r="N13" i="34"/>
  <c r="P13" i="34" s="1"/>
  <c r="H13" i="34"/>
  <c r="J13" i="34" s="1"/>
  <c r="AQ13" i="34"/>
  <c r="AS13" i="34" s="1"/>
  <c r="AR13" i="34"/>
  <c r="AT13" i="34" s="1"/>
  <c r="Z25" i="34"/>
  <c r="AR23" i="34"/>
  <c r="AT23" i="34" s="1"/>
  <c r="A23" i="34"/>
  <c r="AQ18" i="34"/>
  <c r="AS18" i="34" s="1"/>
  <c r="F7" i="34"/>
  <c r="F9" i="34"/>
  <c r="F4" i="34"/>
  <c r="F6" i="34"/>
  <c r="F5" i="34"/>
  <c r="A7" i="34"/>
  <c r="F8" i="34"/>
  <c r="F10" i="34"/>
  <c r="F17" i="34"/>
  <c r="F15" i="34"/>
  <c r="X12" i="34"/>
  <c r="Z12" i="34" s="1"/>
  <c r="I12" i="34"/>
  <c r="K12" i="34" s="1"/>
  <c r="M12" i="34"/>
  <c r="O12" i="34" s="1"/>
  <c r="N12" i="34"/>
  <c r="P12" i="34" s="1"/>
  <c r="AR12" i="34"/>
  <c r="AT12" i="34" s="1"/>
  <c r="AQ12" i="34"/>
  <c r="AS12" i="34" s="1"/>
  <c r="H12" i="34"/>
  <c r="J12" i="34" s="1"/>
  <c r="K55" i="33"/>
  <c r="Q74" i="33"/>
  <c r="E75" i="33"/>
  <c r="A72" i="33" s="1"/>
  <c r="V73" i="33"/>
  <c r="AA73" i="33"/>
  <c r="AU73" i="33"/>
  <c r="AE65" i="33"/>
  <c r="H57" i="33"/>
  <c r="J57" i="33" s="1"/>
  <c r="H58" i="33"/>
  <c r="J58" i="33" s="1"/>
  <c r="H60" i="33"/>
  <c r="J60" i="33" s="1"/>
  <c r="H62" i="33"/>
  <c r="J62" i="33" s="1"/>
  <c r="Z36" i="33"/>
  <c r="Y3" i="33"/>
  <c r="X3" i="33"/>
  <c r="K73" i="33"/>
  <c r="V72" i="33"/>
  <c r="T71" i="33"/>
  <c r="V71" i="33" s="1"/>
  <c r="Q70" i="33"/>
  <c r="Q72" i="33"/>
  <c r="Q71" i="33"/>
  <c r="Q73" i="33"/>
  <c r="X70" i="33"/>
  <c r="U70" i="33"/>
  <c r="AT64" i="33"/>
  <c r="S65" i="33"/>
  <c r="S68" i="33"/>
  <c r="U68" i="33" s="1"/>
  <c r="S67" i="33"/>
  <c r="U67" i="33" s="1"/>
  <c r="K62" i="33"/>
  <c r="AP62" i="33"/>
  <c r="H61" i="33"/>
  <c r="J61" i="33" s="1"/>
  <c r="X58" i="33"/>
  <c r="Z58" i="33" s="1"/>
  <c r="X60" i="33"/>
  <c r="Z60" i="33" s="1"/>
  <c r="X62" i="33"/>
  <c r="Z62" i="33" s="1"/>
  <c r="K50" i="33"/>
  <c r="X50" i="33"/>
  <c r="Z50" i="33" s="1"/>
  <c r="X51" i="33"/>
  <c r="Z51" i="33" s="1"/>
  <c r="X53" i="33"/>
  <c r="Z53" i="33" s="1"/>
  <c r="X55" i="33"/>
  <c r="Z55" i="33" s="1"/>
  <c r="X49" i="33"/>
  <c r="X52" i="33"/>
  <c r="Z52" i="33" s="1"/>
  <c r="T47" i="33"/>
  <c r="V47" i="33" s="1"/>
  <c r="Y47" i="33"/>
  <c r="AA47" i="33" s="1"/>
  <c r="AS47" i="33"/>
  <c r="AU47" i="33" s="1"/>
  <c r="I47" i="33"/>
  <c r="K47" i="33" s="1"/>
  <c r="AC47" i="33"/>
  <c r="AE47" i="33" s="1"/>
  <c r="X47" i="33"/>
  <c r="Z47" i="33" s="1"/>
  <c r="AR47" i="33"/>
  <c r="AT47" i="33" s="1"/>
  <c r="H47" i="33"/>
  <c r="J47" i="33" s="1"/>
  <c r="M47" i="33"/>
  <c r="O47" i="33" s="1"/>
  <c r="N47" i="33"/>
  <c r="P47" i="33" s="1"/>
  <c r="AB44" i="33"/>
  <c r="AE44" i="33"/>
  <c r="AS70" i="33"/>
  <c r="AU70" i="33" s="1"/>
  <c r="AS72" i="33"/>
  <c r="AU72" i="33" s="1"/>
  <c r="M69" i="33"/>
  <c r="N69" i="33"/>
  <c r="M68" i="33"/>
  <c r="O68" i="33" s="1"/>
  <c r="M67" i="33"/>
  <c r="O67" i="33" s="1"/>
  <c r="M65" i="33"/>
  <c r="M66" i="33"/>
  <c r="O66" i="33" s="1"/>
  <c r="AT57" i="33"/>
  <c r="AT56" i="33" s="1"/>
  <c r="AQ57" i="33"/>
  <c r="Y57" i="33"/>
  <c r="AA57" i="33" s="1"/>
  <c r="Y59" i="33"/>
  <c r="Y61" i="33"/>
  <c r="Y63" i="33"/>
  <c r="Y58" i="33"/>
  <c r="Y60" i="33"/>
  <c r="AA60" i="33" s="1"/>
  <c r="Y62" i="33"/>
  <c r="AA62" i="33" s="1"/>
  <c r="AT70" i="33"/>
  <c r="AT69" i="33" s="1"/>
  <c r="AQ70" i="33"/>
  <c r="V69" i="33"/>
  <c r="Y70" i="33"/>
  <c r="AA70" i="33" s="1"/>
  <c r="Y72" i="33"/>
  <c r="AA72" i="33" s="1"/>
  <c r="H72" i="33"/>
  <c r="J72" i="33" s="1"/>
  <c r="H71" i="33"/>
  <c r="J71" i="33" s="1"/>
  <c r="J69" i="33" s="1"/>
  <c r="H73" i="33"/>
  <c r="J73" i="33" s="1"/>
  <c r="V68" i="33"/>
  <c r="V64" i="33" s="1"/>
  <c r="K60" i="33"/>
  <c r="V60" i="33"/>
  <c r="AP60" i="33"/>
  <c r="H59" i="33"/>
  <c r="J59" i="33" s="1"/>
  <c r="AJ56" i="33"/>
  <c r="AS57" i="33"/>
  <c r="AU57" i="33" s="1"/>
  <c r="AS59" i="33"/>
  <c r="AS61" i="33"/>
  <c r="AS63" i="33"/>
  <c r="AS58" i="33"/>
  <c r="AS60" i="33"/>
  <c r="AU60" i="33" s="1"/>
  <c r="AS62" i="33"/>
  <c r="AU62" i="33" s="1"/>
  <c r="AC57" i="33"/>
  <c r="AC58" i="33"/>
  <c r="AE58" i="33" s="1"/>
  <c r="AC60" i="33"/>
  <c r="AE60" i="33" s="1"/>
  <c r="AC62" i="33"/>
  <c r="AE62" i="33" s="1"/>
  <c r="M56" i="33"/>
  <c r="N56" i="33"/>
  <c r="AU55" i="33"/>
  <c r="K48" i="33"/>
  <c r="I49" i="33"/>
  <c r="K49" i="33" s="1"/>
  <c r="I52" i="33"/>
  <c r="K52" i="33" s="1"/>
  <c r="I55" i="33"/>
  <c r="AC70" i="33"/>
  <c r="AC71" i="33"/>
  <c r="AE71" i="33" s="1"/>
  <c r="T59" i="33"/>
  <c r="T61" i="33"/>
  <c r="V61" i="33" s="1"/>
  <c r="T63" i="33"/>
  <c r="T58" i="33"/>
  <c r="V58" i="33" s="1"/>
  <c r="T60" i="33"/>
  <c r="T62" i="33"/>
  <c r="V62" i="33" s="1"/>
  <c r="V6" i="33"/>
  <c r="AF6" i="33"/>
  <c r="AS74" i="33"/>
  <c r="AS75" i="33" s="1"/>
  <c r="AC73" i="33"/>
  <c r="AE73" i="33" s="1"/>
  <c r="AS71" i="33"/>
  <c r="AU71" i="33" s="1"/>
  <c r="Q68" i="33"/>
  <c r="Q67" i="33"/>
  <c r="Q65" i="33"/>
  <c r="Q66" i="33"/>
  <c r="X64" i="33"/>
  <c r="Y64" i="33"/>
  <c r="N68" i="33"/>
  <c r="P68" i="33" s="1"/>
  <c r="P64" i="33" s="1"/>
  <c r="N67" i="33"/>
  <c r="P67" i="33" s="1"/>
  <c r="I68" i="33"/>
  <c r="K68" i="33" s="1"/>
  <c r="I65" i="33"/>
  <c r="K65" i="33" s="1"/>
  <c r="I67" i="33"/>
  <c r="K67" i="33" s="1"/>
  <c r="K58" i="33"/>
  <c r="AA58" i="33"/>
  <c r="AF58" i="33"/>
  <c r="AK58" i="33"/>
  <c r="AK56" i="33" s="1"/>
  <c r="AP58" i="33"/>
  <c r="AP56" i="33" s="1"/>
  <c r="AU58" i="33"/>
  <c r="AG57" i="33"/>
  <c r="Z57" i="33"/>
  <c r="Z56" i="33" s="1"/>
  <c r="AO57" i="33"/>
  <c r="AO56" i="33" s="1"/>
  <c r="AL57" i="33"/>
  <c r="U57" i="33"/>
  <c r="U56" i="33" s="1"/>
  <c r="R57" i="33"/>
  <c r="S48" i="33"/>
  <c r="T48" i="33"/>
  <c r="H52" i="33"/>
  <c r="J52" i="33" s="1"/>
  <c r="H55" i="33"/>
  <c r="J55" i="33" s="1"/>
  <c r="H49" i="33"/>
  <c r="J49" i="33" s="1"/>
  <c r="H50" i="33"/>
  <c r="J50" i="33" s="1"/>
  <c r="H51" i="33"/>
  <c r="J51" i="33" s="1"/>
  <c r="H53" i="33"/>
  <c r="J53" i="33" s="1"/>
  <c r="H54" i="33"/>
  <c r="J54" i="33" s="1"/>
  <c r="O43" i="33"/>
  <c r="AR74" i="33"/>
  <c r="S71" i="33"/>
  <c r="U71" i="33" s="1"/>
  <c r="AS68" i="33"/>
  <c r="AU68" i="33" s="1"/>
  <c r="AC67" i="33"/>
  <c r="AE67" i="33" s="1"/>
  <c r="AU66" i="33"/>
  <c r="AU63" i="33"/>
  <c r="AP63" i="33"/>
  <c r="AK63" i="33"/>
  <c r="AF63" i="33"/>
  <c r="AA63" i="33"/>
  <c r="V63" i="33"/>
  <c r="AI62" i="33"/>
  <c r="AK62" i="33" s="1"/>
  <c r="AD62" i="33"/>
  <c r="AF62" i="33" s="1"/>
  <c r="I62" i="33"/>
  <c r="AU61" i="33"/>
  <c r="AP61" i="33"/>
  <c r="AK61" i="33"/>
  <c r="AF61" i="33"/>
  <c r="AA61" i="33"/>
  <c r="AI60" i="33"/>
  <c r="AK60" i="33" s="1"/>
  <c r="AD60" i="33"/>
  <c r="AF60" i="33" s="1"/>
  <c r="AF56" i="33" s="1"/>
  <c r="I60" i="33"/>
  <c r="AU59" i="33"/>
  <c r="AP59" i="33"/>
  <c r="AK59" i="33"/>
  <c r="AF59" i="33"/>
  <c r="AA59" i="33"/>
  <c r="V59" i="33"/>
  <c r="AI58" i="33"/>
  <c r="Y55" i="33"/>
  <c r="AA55" i="33" s="1"/>
  <c r="AU54" i="33"/>
  <c r="AA54" i="33"/>
  <c r="Q54" i="33"/>
  <c r="M54" i="33"/>
  <c r="O54" i="33" s="1"/>
  <c r="N53" i="33"/>
  <c r="P53" i="33" s="1"/>
  <c r="N51" i="33"/>
  <c r="P51" i="33" s="1"/>
  <c r="P48" i="33" s="1"/>
  <c r="N50" i="33"/>
  <c r="P50" i="33" s="1"/>
  <c r="AQ49" i="33"/>
  <c r="Q49" i="33"/>
  <c r="AA43" i="33"/>
  <c r="X41" i="33"/>
  <c r="Z41" i="33" s="1"/>
  <c r="M41" i="33"/>
  <c r="O41" i="33" s="1"/>
  <c r="M40" i="33"/>
  <c r="O40" i="33" s="1"/>
  <c r="O35" i="33" s="1"/>
  <c r="M42" i="33"/>
  <c r="O42" i="33" s="1"/>
  <c r="J43" i="33"/>
  <c r="J35" i="33"/>
  <c r="S37" i="33"/>
  <c r="U37" i="33" s="1"/>
  <c r="S40" i="33"/>
  <c r="U40" i="33" s="1"/>
  <c r="S42" i="33"/>
  <c r="U42" i="33" s="1"/>
  <c r="S41" i="33"/>
  <c r="U41" i="33" s="1"/>
  <c r="AU53" i="33"/>
  <c r="AA53" i="33"/>
  <c r="AA52" i="33"/>
  <c r="AU52" i="33"/>
  <c r="AU48" i="33" s="1"/>
  <c r="Q50" i="33"/>
  <c r="AT48" i="33"/>
  <c r="AB49" i="33"/>
  <c r="M49" i="33"/>
  <c r="Y50" i="33"/>
  <c r="AA50" i="33" s="1"/>
  <c r="Y49" i="33"/>
  <c r="AA49" i="33" s="1"/>
  <c r="T46" i="33"/>
  <c r="V46" i="33" s="1"/>
  <c r="Y46" i="33"/>
  <c r="AA46" i="33" s="1"/>
  <c r="AS46" i="33"/>
  <c r="AU46" i="33" s="1"/>
  <c r="I46" i="33"/>
  <c r="K46" i="33" s="1"/>
  <c r="AC46" i="33"/>
  <c r="AE46" i="33" s="1"/>
  <c r="X46" i="33"/>
  <c r="Z46" i="33" s="1"/>
  <c r="AR46" i="33"/>
  <c r="AT46" i="33" s="1"/>
  <c r="T45" i="33"/>
  <c r="V45" i="33" s="1"/>
  <c r="Y45" i="33"/>
  <c r="AA45" i="33" s="1"/>
  <c r="AS45" i="33"/>
  <c r="AU45" i="33" s="1"/>
  <c r="AU43" i="33" s="1"/>
  <c r="I45" i="33"/>
  <c r="K45" i="33" s="1"/>
  <c r="AC45" i="33"/>
  <c r="AE45" i="33" s="1"/>
  <c r="X45" i="33"/>
  <c r="Z45" i="33" s="1"/>
  <c r="AR45" i="33"/>
  <c r="AT45" i="33" s="1"/>
  <c r="U43" i="33"/>
  <c r="AA38" i="33"/>
  <c r="P38" i="33"/>
  <c r="V38" i="33"/>
  <c r="AU38" i="33"/>
  <c r="K38" i="33"/>
  <c r="AA37" i="33"/>
  <c r="V37" i="33"/>
  <c r="AU37" i="33"/>
  <c r="K37" i="33"/>
  <c r="AE36" i="33"/>
  <c r="R36" i="33"/>
  <c r="U36" i="33"/>
  <c r="V36" i="33"/>
  <c r="V35" i="33" s="1"/>
  <c r="P36" i="33"/>
  <c r="AA36" i="33"/>
  <c r="AU36" i="33"/>
  <c r="AU35" i="33" s="1"/>
  <c r="X37" i="33"/>
  <c r="Z37" i="33" s="1"/>
  <c r="X40" i="33"/>
  <c r="Z40" i="33" s="1"/>
  <c r="X42" i="33"/>
  <c r="Z42" i="33" s="1"/>
  <c r="X38" i="33"/>
  <c r="Z38" i="33" s="1"/>
  <c r="X39" i="33"/>
  <c r="Z39" i="33" s="1"/>
  <c r="I36" i="33"/>
  <c r="K36" i="33" s="1"/>
  <c r="I37" i="33"/>
  <c r="I40" i="33"/>
  <c r="K40" i="33" s="1"/>
  <c r="I42" i="33"/>
  <c r="K42" i="33" s="1"/>
  <c r="K35" i="33"/>
  <c r="I38" i="33"/>
  <c r="I39" i="33"/>
  <c r="K39" i="33" s="1"/>
  <c r="I41" i="33"/>
  <c r="K41" i="33" s="1"/>
  <c r="N27" i="33"/>
  <c r="M27" i="33"/>
  <c r="N17" i="33"/>
  <c r="P17" i="33" s="1"/>
  <c r="S17" i="33"/>
  <c r="U17" i="33" s="1"/>
  <c r="AR17" i="33"/>
  <c r="AT17" i="33" s="1"/>
  <c r="T17" i="33"/>
  <c r="V17" i="33" s="1"/>
  <c r="Y17" i="33"/>
  <c r="AA17" i="33" s="1"/>
  <c r="AD17" i="33"/>
  <c r="AF17" i="33" s="1"/>
  <c r="AS17" i="33"/>
  <c r="AU17" i="33" s="1"/>
  <c r="H17" i="33"/>
  <c r="J17" i="33" s="1"/>
  <c r="M17" i="33"/>
  <c r="O17" i="33" s="1"/>
  <c r="Q47" i="33"/>
  <c r="Q46" i="33"/>
  <c r="I44" i="33"/>
  <c r="K44" i="33" s="1"/>
  <c r="AC37" i="33"/>
  <c r="AE37" i="33" s="1"/>
  <c r="AC40" i="33"/>
  <c r="AE40" i="33" s="1"/>
  <c r="AC42" i="33"/>
  <c r="AE42" i="33" s="1"/>
  <c r="AA33" i="33"/>
  <c r="AU33" i="33"/>
  <c r="H27" i="33"/>
  <c r="I27" i="33"/>
  <c r="V26" i="33"/>
  <c r="AU26" i="33"/>
  <c r="V20" i="33"/>
  <c r="S22" i="33"/>
  <c r="U22" i="33" s="1"/>
  <c r="S21" i="33"/>
  <c r="U21" i="33" s="1"/>
  <c r="S24" i="33"/>
  <c r="U24" i="33" s="1"/>
  <c r="S26" i="33"/>
  <c r="U26" i="33" s="1"/>
  <c r="S23" i="33"/>
  <c r="U23" i="33" s="1"/>
  <c r="S20" i="33"/>
  <c r="S25" i="33"/>
  <c r="U25" i="33" s="1"/>
  <c r="N44" i="33"/>
  <c r="P44" i="33" s="1"/>
  <c r="P43" i="33" s="1"/>
  <c r="AT27" i="33"/>
  <c r="AA27" i="33"/>
  <c r="T44" i="33"/>
  <c r="V44" i="33" s="1"/>
  <c r="X44" i="33"/>
  <c r="AR44" i="33"/>
  <c r="AR37" i="33"/>
  <c r="AR40" i="33"/>
  <c r="AT40" i="33" s="1"/>
  <c r="AR42" i="33"/>
  <c r="AT42" i="33" s="1"/>
  <c r="N36" i="33"/>
  <c r="N37" i="33"/>
  <c r="P37" i="33" s="1"/>
  <c r="N40" i="33"/>
  <c r="P40" i="33" s="1"/>
  <c r="N42" i="33"/>
  <c r="P42" i="33" s="1"/>
  <c r="Q30" i="33"/>
  <c r="Q29" i="33"/>
  <c r="Q32" i="33"/>
  <c r="A31" i="33"/>
  <c r="Q31" i="33"/>
  <c r="Q34" i="33"/>
  <c r="Q33" i="33"/>
  <c r="S27" i="33"/>
  <c r="T27" i="33"/>
  <c r="AU19" i="33"/>
  <c r="Y34" i="33"/>
  <c r="AA34" i="33" s="1"/>
  <c r="AS31" i="33"/>
  <c r="AU31" i="33" s="1"/>
  <c r="AU22" i="33"/>
  <c r="V3" i="33"/>
  <c r="X19" i="33"/>
  <c r="Y19" i="33"/>
  <c r="N22" i="33"/>
  <c r="P22" i="33" s="1"/>
  <c r="N20" i="33"/>
  <c r="P20" i="33" s="1"/>
  <c r="N21" i="33"/>
  <c r="P21" i="33" s="1"/>
  <c r="N24" i="33"/>
  <c r="P24" i="33" s="1"/>
  <c r="N26" i="33"/>
  <c r="P26" i="33" s="1"/>
  <c r="I22" i="33"/>
  <c r="K22" i="33" s="1"/>
  <c r="P19" i="33"/>
  <c r="I20" i="33"/>
  <c r="K20" i="33" s="1"/>
  <c r="I21" i="33"/>
  <c r="K21" i="33" s="1"/>
  <c r="I24" i="33"/>
  <c r="K24" i="33" s="1"/>
  <c r="I26" i="33"/>
  <c r="K26" i="33" s="1"/>
  <c r="V9" i="33"/>
  <c r="AF9" i="33"/>
  <c r="P9" i="33"/>
  <c r="P3" i="33" s="1"/>
  <c r="AQ5" i="33"/>
  <c r="AS8" i="33"/>
  <c r="AU8" i="33" s="1"/>
  <c r="AS10" i="33"/>
  <c r="AU10" i="33" s="1"/>
  <c r="AS7" i="33"/>
  <c r="AU7" i="33" s="1"/>
  <c r="AS6" i="33"/>
  <c r="AU6" i="33" s="1"/>
  <c r="AS9" i="33"/>
  <c r="AU9" i="33" s="1"/>
  <c r="AS4" i="33"/>
  <c r="AU4" i="33" s="1"/>
  <c r="AA30" i="33"/>
  <c r="AU30" i="33"/>
  <c r="AU27" i="33" s="1"/>
  <c r="AQ28" i="33"/>
  <c r="X28" i="33"/>
  <c r="X31" i="33"/>
  <c r="Z31" i="33" s="1"/>
  <c r="X33" i="33"/>
  <c r="Z33" i="33" s="1"/>
  <c r="V21" i="33"/>
  <c r="AU21" i="33"/>
  <c r="AQ20" i="33"/>
  <c r="AR21" i="33"/>
  <c r="AT21" i="33" s="1"/>
  <c r="AR24" i="33"/>
  <c r="AT24" i="33" s="1"/>
  <c r="AT19" i="33" s="1"/>
  <c r="AR26" i="33"/>
  <c r="AT26" i="33" s="1"/>
  <c r="M20" i="33"/>
  <c r="O20" i="33" s="1"/>
  <c r="O19" i="33" s="1"/>
  <c r="M21" i="33"/>
  <c r="O21" i="33" s="1"/>
  <c r="H20" i="33"/>
  <c r="J20" i="33" s="1"/>
  <c r="J19" i="33" s="1"/>
  <c r="H21" i="33"/>
  <c r="J21" i="33" s="1"/>
  <c r="N16" i="33"/>
  <c r="P16" i="33" s="1"/>
  <c r="S16" i="33"/>
  <c r="U16" i="33" s="1"/>
  <c r="AR16" i="33"/>
  <c r="AT16" i="33" s="1"/>
  <c r="T16" i="33"/>
  <c r="V16" i="33" s="1"/>
  <c r="AD16" i="33"/>
  <c r="AF16" i="33" s="1"/>
  <c r="AS16" i="33"/>
  <c r="AU16" i="33" s="1"/>
  <c r="AF3" i="33"/>
  <c r="I4" i="33"/>
  <c r="K4" i="33" s="1"/>
  <c r="I5" i="33"/>
  <c r="K5" i="33" s="1"/>
  <c r="I7" i="33"/>
  <c r="K7" i="33" s="1"/>
  <c r="I6" i="33"/>
  <c r="K6" i="33" s="1"/>
  <c r="I9" i="33"/>
  <c r="K9" i="33" s="1"/>
  <c r="F18" i="33"/>
  <c r="X11" i="33"/>
  <c r="X17" i="33" s="1"/>
  <c r="Z17" i="33" s="1"/>
  <c r="Y11" i="33"/>
  <c r="Y16" i="33" s="1"/>
  <c r="AA16" i="33" s="1"/>
  <c r="I11" i="33"/>
  <c r="I16" i="33" s="1"/>
  <c r="K16" i="33" s="1"/>
  <c r="R5" i="33"/>
  <c r="R4" i="33"/>
  <c r="AT3" i="33"/>
  <c r="O3" i="33"/>
  <c r="F12" i="33"/>
  <c r="F14" i="33"/>
  <c r="F15" i="33"/>
  <c r="F13" i="33"/>
  <c r="J3" i="33"/>
  <c r="U7" i="33"/>
  <c r="U3" i="33" s="1"/>
  <c r="R4" i="32"/>
  <c r="X71" i="31"/>
  <c r="Z71" i="31" s="1"/>
  <c r="X70" i="31"/>
  <c r="X73" i="31"/>
  <c r="Z73" i="31" s="1"/>
  <c r="X72" i="31"/>
  <c r="Z72" i="31" s="1"/>
  <c r="AO36" i="31"/>
  <c r="E75" i="31"/>
  <c r="Q74" i="31"/>
  <c r="AJ69" i="31"/>
  <c r="AE70" i="31"/>
  <c r="AE69" i="31" s="1"/>
  <c r="AB70" i="31"/>
  <c r="M73" i="31"/>
  <c r="O73" i="31" s="1"/>
  <c r="M70" i="31"/>
  <c r="M72" i="31"/>
  <c r="O72" i="31" s="1"/>
  <c r="M71" i="31"/>
  <c r="O71" i="31" s="1"/>
  <c r="AT64" i="31"/>
  <c r="AO70" i="31"/>
  <c r="P69" i="31"/>
  <c r="U70" i="31"/>
  <c r="H73" i="31"/>
  <c r="J73" i="31" s="1"/>
  <c r="H71" i="31"/>
  <c r="J71" i="31" s="1"/>
  <c r="H70" i="31"/>
  <c r="J70" i="31" s="1"/>
  <c r="H72" i="31"/>
  <c r="J72" i="31" s="1"/>
  <c r="AP64" i="31"/>
  <c r="U57" i="31"/>
  <c r="U56" i="31" s="1"/>
  <c r="R57" i="31"/>
  <c r="H56" i="31"/>
  <c r="I56" i="31"/>
  <c r="AO48" i="31"/>
  <c r="U36" i="31"/>
  <c r="U35" i="31" s="1"/>
  <c r="R36" i="31"/>
  <c r="AR38" i="31"/>
  <c r="AT38" i="31" s="1"/>
  <c r="AR39" i="31"/>
  <c r="AT39" i="31" s="1"/>
  <c r="AR37" i="31"/>
  <c r="AT37" i="31" s="1"/>
  <c r="AR41" i="31"/>
  <c r="AT41" i="31" s="1"/>
  <c r="AR40" i="31"/>
  <c r="AT40" i="31" s="1"/>
  <c r="AD39" i="31"/>
  <c r="AF39" i="31" s="1"/>
  <c r="AD41" i="31"/>
  <c r="AF41" i="31" s="1"/>
  <c r="AD36" i="31"/>
  <c r="AD38" i="31"/>
  <c r="AF38" i="31" s="1"/>
  <c r="AD37" i="31"/>
  <c r="AD40" i="31"/>
  <c r="AK30" i="31"/>
  <c r="AA30" i="31"/>
  <c r="AA27" i="31" s="1"/>
  <c r="AF30" i="31"/>
  <c r="V30" i="31"/>
  <c r="AU30" i="31"/>
  <c r="AU27" i="31" s="1"/>
  <c r="AP30" i="31"/>
  <c r="AP27" i="31" s="1"/>
  <c r="X4" i="31"/>
  <c r="X5" i="31"/>
  <c r="Z5" i="31" s="1"/>
  <c r="X8" i="31"/>
  <c r="Z8" i="31" s="1"/>
  <c r="X10" i="31"/>
  <c r="Z10" i="31" s="1"/>
  <c r="X7" i="31"/>
  <c r="Z7" i="31" s="1"/>
  <c r="X6" i="31"/>
  <c r="Z6" i="31" s="1"/>
  <c r="X9" i="31"/>
  <c r="Z9" i="31" s="1"/>
  <c r="AS73" i="31"/>
  <c r="AI73" i="31"/>
  <c r="AK73" i="31" s="1"/>
  <c r="Y73" i="31"/>
  <c r="AU72" i="31"/>
  <c r="AP72" i="31"/>
  <c r="AP69" i="31" s="1"/>
  <c r="AK72" i="31"/>
  <c r="AF72" i="31"/>
  <c r="AF69" i="31" s="1"/>
  <c r="AA72" i="31"/>
  <c r="Q72" i="31"/>
  <c r="AT71" i="31"/>
  <c r="AT69" i="31" s="1"/>
  <c r="AK70" i="31"/>
  <c r="AG70" i="31"/>
  <c r="I69" i="31"/>
  <c r="K69" i="31" s="1"/>
  <c r="AU68" i="31"/>
  <c r="AP68" i="31"/>
  <c r="AD68" i="31"/>
  <c r="Q68" i="31"/>
  <c r="K68" i="31"/>
  <c r="AI67" i="31"/>
  <c r="AK67" i="31" s="1"/>
  <c r="AK64" i="31" s="1"/>
  <c r="I67" i="31"/>
  <c r="K67" i="31" s="1"/>
  <c r="M66" i="31"/>
  <c r="O66" i="31" s="1"/>
  <c r="AQ65" i="31"/>
  <c r="AL65" i="31"/>
  <c r="N65" i="31"/>
  <c r="P65" i="31" s="1"/>
  <c r="P64" i="31" s="1"/>
  <c r="X65" i="31"/>
  <c r="X68" i="31"/>
  <c r="Z68" i="31" s="1"/>
  <c r="AU57" i="31"/>
  <c r="AJ57" i="31"/>
  <c r="T53" i="31"/>
  <c r="V53" i="31" s="1"/>
  <c r="AE49" i="31"/>
  <c r="AE48" i="31" s="1"/>
  <c r="AB49" i="31"/>
  <c r="O49" i="31"/>
  <c r="O48" i="31" s="1"/>
  <c r="L49" i="31"/>
  <c r="N46" i="31"/>
  <c r="P46" i="31" s="1"/>
  <c r="S46" i="31"/>
  <c r="U46" i="31" s="1"/>
  <c r="X46" i="31"/>
  <c r="Z46" i="31" s="1"/>
  <c r="AC46" i="31"/>
  <c r="AE46" i="31" s="1"/>
  <c r="AH46" i="31"/>
  <c r="AJ46" i="31" s="1"/>
  <c r="AM46" i="31"/>
  <c r="AO46" i="31" s="1"/>
  <c r="AR46" i="31"/>
  <c r="AT46" i="31" s="1"/>
  <c r="AI46" i="31"/>
  <c r="AK46" i="31" s="1"/>
  <c r="AD46" i="31"/>
  <c r="AF46" i="31" s="1"/>
  <c r="AF43" i="31" s="1"/>
  <c r="Y46" i="31"/>
  <c r="AA46" i="31" s="1"/>
  <c r="AS46" i="31"/>
  <c r="AU46" i="31" s="1"/>
  <c r="V43" i="31"/>
  <c r="V37" i="31"/>
  <c r="AA37" i="31"/>
  <c r="AF37" i="31"/>
  <c r="AK37" i="31"/>
  <c r="AP37" i="31"/>
  <c r="AU37" i="31"/>
  <c r="P37" i="31"/>
  <c r="S65" i="31"/>
  <c r="S68" i="31"/>
  <c r="U68" i="31" s="1"/>
  <c r="AN57" i="31"/>
  <c r="AP57" i="31" s="1"/>
  <c r="AP56" i="31" s="1"/>
  <c r="AN59" i="31"/>
  <c r="AP59" i="31" s="1"/>
  <c r="AN61" i="31"/>
  <c r="AP61" i="31" s="1"/>
  <c r="AN63" i="31"/>
  <c r="AP63" i="31" s="1"/>
  <c r="AN52" i="31"/>
  <c r="AP52" i="31" s="1"/>
  <c r="AN54" i="31"/>
  <c r="AP54" i="31" s="1"/>
  <c r="AN50" i="31"/>
  <c r="AP50" i="31" s="1"/>
  <c r="AN51" i="31"/>
  <c r="AP51" i="31" s="1"/>
  <c r="AN74" i="31"/>
  <c r="AN75" i="31" s="1"/>
  <c r="AI74" i="31"/>
  <c r="AI75" i="31" s="1"/>
  <c r="AD74" i="31"/>
  <c r="AM73" i="31"/>
  <c r="AO73" i="31" s="1"/>
  <c r="S73" i="31"/>
  <c r="U73" i="31" s="1"/>
  <c r="N73" i="31"/>
  <c r="P73" i="31" s="1"/>
  <c r="AI71" i="31"/>
  <c r="AK71" i="31" s="1"/>
  <c r="V68" i="31"/>
  <c r="P68" i="31"/>
  <c r="AH67" i="31"/>
  <c r="AJ67" i="31" s="1"/>
  <c r="V67" i="31"/>
  <c r="V64" i="31" s="1"/>
  <c r="AA67" i="31"/>
  <c r="AA64" i="31" s="1"/>
  <c r="AF67" i="31"/>
  <c r="AP67" i="31"/>
  <c r="AU67" i="31"/>
  <c r="AU64" i="31" s="1"/>
  <c r="Q66" i="31"/>
  <c r="AE65" i="31"/>
  <c r="AE64" i="31" s="1"/>
  <c r="AB65" i="31"/>
  <c r="O65" i="31"/>
  <c r="O64" i="31" s="1"/>
  <c r="AR57" i="31"/>
  <c r="AR59" i="31"/>
  <c r="AT59" i="31" s="1"/>
  <c r="AR61" i="31"/>
  <c r="AT61" i="31" s="1"/>
  <c r="AR58" i="31"/>
  <c r="AT58" i="31" s="1"/>
  <c r="AR60" i="31"/>
  <c r="AT60" i="31" s="1"/>
  <c r="AR62" i="31"/>
  <c r="AT62" i="31" s="1"/>
  <c r="T57" i="31"/>
  <c r="T59" i="31"/>
  <c r="V59" i="31" s="1"/>
  <c r="T61" i="31"/>
  <c r="V61" i="31" s="1"/>
  <c r="T63" i="31"/>
  <c r="V63" i="31" s="1"/>
  <c r="M59" i="31"/>
  <c r="O59" i="31" s="1"/>
  <c r="M61" i="31"/>
  <c r="O61" i="31" s="1"/>
  <c r="M63" i="31"/>
  <c r="O63" i="31" s="1"/>
  <c r="M57" i="31"/>
  <c r="M58" i="31"/>
  <c r="O58" i="31" s="1"/>
  <c r="M60" i="31"/>
  <c r="O60" i="31" s="1"/>
  <c r="M62" i="31"/>
  <c r="O62" i="31" s="1"/>
  <c r="V55" i="31"/>
  <c r="Z49" i="31"/>
  <c r="AR50" i="31"/>
  <c r="AT50" i="31" s="1"/>
  <c r="AR52" i="31"/>
  <c r="AT52" i="31" s="1"/>
  <c r="AR54" i="31"/>
  <c r="AT54" i="31" s="1"/>
  <c r="AR51" i="31"/>
  <c r="AT51" i="31" s="1"/>
  <c r="AR49" i="31"/>
  <c r="AR53" i="31"/>
  <c r="AT53" i="31" s="1"/>
  <c r="AR55" i="31"/>
  <c r="AT55" i="31" s="1"/>
  <c r="Y49" i="31"/>
  <c r="AA49" i="31" s="1"/>
  <c r="Y50" i="31"/>
  <c r="AA50" i="31" s="1"/>
  <c r="Y52" i="31"/>
  <c r="AA52" i="31" s="1"/>
  <c r="Y54" i="31"/>
  <c r="AA54" i="31" s="1"/>
  <c r="Y51" i="31"/>
  <c r="AA51" i="31" s="1"/>
  <c r="AT44" i="31"/>
  <c r="Z44" i="31"/>
  <c r="M43" i="31"/>
  <c r="N43" i="31"/>
  <c r="N45" i="31" s="1"/>
  <c r="P45" i="31" s="1"/>
  <c r="AR42" i="31"/>
  <c r="AT42" i="31" s="1"/>
  <c r="AE39" i="31"/>
  <c r="AE35" i="31" s="1"/>
  <c r="AB36" i="31"/>
  <c r="Z36" i="31"/>
  <c r="Z35" i="31" s="1"/>
  <c r="W36" i="31"/>
  <c r="AK36" i="31"/>
  <c r="P36" i="31"/>
  <c r="V36" i="31"/>
  <c r="AP36" i="31"/>
  <c r="AF36" i="31"/>
  <c r="AU36" i="31"/>
  <c r="AH38" i="31"/>
  <c r="AJ38" i="31" s="1"/>
  <c r="AH40" i="31"/>
  <c r="AJ40" i="31" s="1"/>
  <c r="AH42" i="31"/>
  <c r="AJ42" i="31" s="1"/>
  <c r="AH39" i="31"/>
  <c r="AJ39" i="31" s="1"/>
  <c r="Y36" i="31"/>
  <c r="AA36" i="31" s="1"/>
  <c r="AA35" i="31" s="1"/>
  <c r="Y39" i="31"/>
  <c r="AA39" i="31" s="1"/>
  <c r="Y41" i="31"/>
  <c r="AA41" i="31" s="1"/>
  <c r="Y38" i="31"/>
  <c r="AA38" i="31" s="1"/>
  <c r="Y42" i="31"/>
  <c r="Y37" i="31"/>
  <c r="I38" i="31"/>
  <c r="I36" i="31"/>
  <c r="K36" i="31" s="1"/>
  <c r="I37" i="31"/>
  <c r="K37" i="31" s="1"/>
  <c r="I40" i="31"/>
  <c r="K40" i="31" s="1"/>
  <c r="I39" i="31"/>
  <c r="K39" i="31" s="1"/>
  <c r="I42" i="31"/>
  <c r="K42" i="31" s="1"/>
  <c r="AF57" i="31"/>
  <c r="AK57" i="31"/>
  <c r="V57" i="31"/>
  <c r="X57" i="31"/>
  <c r="X59" i="31"/>
  <c r="Z59" i="31" s="1"/>
  <c r="X61" i="31"/>
  <c r="Z61" i="31" s="1"/>
  <c r="X58" i="31"/>
  <c r="Z58" i="31" s="1"/>
  <c r="X60" i="31"/>
  <c r="Z60" i="31" s="1"/>
  <c r="X62" i="31"/>
  <c r="Z62" i="31" s="1"/>
  <c r="T49" i="31"/>
  <c r="T50" i="31"/>
  <c r="V50" i="31" s="1"/>
  <c r="T52" i="31"/>
  <c r="V52" i="31" s="1"/>
  <c r="T54" i="31"/>
  <c r="V54" i="31" s="1"/>
  <c r="T51" i="31"/>
  <c r="V51" i="31" s="1"/>
  <c r="AR74" i="31"/>
  <c r="AM74" i="31"/>
  <c r="AH74" i="31"/>
  <c r="AC74" i="31"/>
  <c r="X74" i="31"/>
  <c r="S74" i="31"/>
  <c r="AU73" i="31"/>
  <c r="AU69" i="31" s="1"/>
  <c r="AP73" i="31"/>
  <c r="AF73" i="31"/>
  <c r="AA73" i="31"/>
  <c r="AA69" i="31" s="1"/>
  <c r="AI72" i="31"/>
  <c r="AM71" i="31"/>
  <c r="AO71" i="31" s="1"/>
  <c r="S71" i="31"/>
  <c r="U71" i="31" s="1"/>
  <c r="AF68" i="31"/>
  <c r="S67" i="31"/>
  <c r="U67" i="31" s="1"/>
  <c r="AH65" i="31"/>
  <c r="H65" i="31"/>
  <c r="J65" i="31" s="1"/>
  <c r="J64" i="31" s="1"/>
  <c r="H67" i="31"/>
  <c r="J67" i="31" s="1"/>
  <c r="AN62" i="31"/>
  <c r="AN60" i="31"/>
  <c r="AO57" i="31"/>
  <c r="AO56" i="31" s="1"/>
  <c r="AL57" i="31"/>
  <c r="AN53" i="31"/>
  <c r="R49" i="31"/>
  <c r="U49" i="31"/>
  <c r="U48" i="31" s="1"/>
  <c r="X50" i="31"/>
  <c r="Z50" i="31" s="1"/>
  <c r="X52" i="31"/>
  <c r="Z52" i="31" s="1"/>
  <c r="X54" i="31"/>
  <c r="Z54" i="31" s="1"/>
  <c r="X51" i="31"/>
  <c r="Z51" i="31" s="1"/>
  <c r="X53" i="31"/>
  <c r="Z53" i="31" s="1"/>
  <c r="X55" i="31"/>
  <c r="Z55" i="31" s="1"/>
  <c r="S45" i="31"/>
  <c r="U45" i="31" s="1"/>
  <c r="X45" i="31"/>
  <c r="Z45" i="31" s="1"/>
  <c r="AC45" i="31"/>
  <c r="AE45" i="31" s="1"/>
  <c r="AE43" i="31" s="1"/>
  <c r="AH45" i="31"/>
  <c r="AM45" i="31"/>
  <c r="AO45" i="31" s="1"/>
  <c r="AR45" i="31"/>
  <c r="AT45" i="31" s="1"/>
  <c r="AI45" i="31"/>
  <c r="AK45" i="31" s="1"/>
  <c r="AD45" i="31"/>
  <c r="AF45" i="31" s="1"/>
  <c r="Y45" i="31"/>
  <c r="AA45" i="31" s="1"/>
  <c r="AS45" i="31"/>
  <c r="AU45" i="31" s="1"/>
  <c r="I43" i="31"/>
  <c r="K43" i="31" s="1"/>
  <c r="H43" i="31"/>
  <c r="H47" i="31" s="1"/>
  <c r="J47" i="31" s="1"/>
  <c r="AD42" i="31"/>
  <c r="K38" i="31"/>
  <c r="AR36" i="31"/>
  <c r="AH36" i="31"/>
  <c r="AM38" i="31"/>
  <c r="AO38" i="31" s="1"/>
  <c r="AM42" i="31"/>
  <c r="AO42" i="31" s="1"/>
  <c r="AM39" i="31"/>
  <c r="AO39" i="31" s="1"/>
  <c r="AM37" i="31"/>
  <c r="AO37" i="31" s="1"/>
  <c r="AM41" i="31"/>
  <c r="AO41" i="31" s="1"/>
  <c r="N38" i="31"/>
  <c r="P38" i="31" s="1"/>
  <c r="N40" i="31"/>
  <c r="P40" i="31" s="1"/>
  <c r="N39" i="31"/>
  <c r="P39" i="31" s="1"/>
  <c r="N42" i="31"/>
  <c r="P42" i="31" s="1"/>
  <c r="N41" i="31"/>
  <c r="P41" i="31" s="1"/>
  <c r="AF65" i="31"/>
  <c r="AF64" i="31" s="1"/>
  <c r="AC60" i="31"/>
  <c r="AE60" i="31" s="1"/>
  <c r="AE56" i="31" s="1"/>
  <c r="AH58" i="31"/>
  <c r="AJ58" i="31" s="1"/>
  <c r="AC58" i="31"/>
  <c r="AE58" i="31" s="1"/>
  <c r="N56" i="31"/>
  <c r="AL49" i="31"/>
  <c r="V49" i="31"/>
  <c r="AP49" i="31"/>
  <c r="N48" i="31"/>
  <c r="H48" i="31"/>
  <c r="N47" i="31"/>
  <c r="P47" i="31" s="1"/>
  <c r="S47" i="31"/>
  <c r="U47" i="31" s="1"/>
  <c r="X47" i="31"/>
  <c r="Z47" i="31" s="1"/>
  <c r="AC47" i="31"/>
  <c r="AE47" i="31" s="1"/>
  <c r="AH47" i="31"/>
  <c r="AJ47" i="31" s="1"/>
  <c r="AM47" i="31"/>
  <c r="AO47" i="31" s="1"/>
  <c r="AR47" i="31"/>
  <c r="AT47" i="31" s="1"/>
  <c r="AP44" i="31"/>
  <c r="AP43" i="31" s="1"/>
  <c r="M36" i="31"/>
  <c r="O36" i="31" s="1"/>
  <c r="O35" i="31" s="1"/>
  <c r="M37" i="31"/>
  <c r="O37" i="31" s="1"/>
  <c r="M40" i="31"/>
  <c r="O40" i="31" s="1"/>
  <c r="M42" i="31"/>
  <c r="O42" i="31" s="1"/>
  <c r="H36" i="31"/>
  <c r="J36" i="31" s="1"/>
  <c r="J35" i="31" s="1"/>
  <c r="H37" i="31"/>
  <c r="J37" i="31" s="1"/>
  <c r="H40" i="31"/>
  <c r="J40" i="31" s="1"/>
  <c r="H42" i="31"/>
  <c r="J42" i="31" s="1"/>
  <c r="V33" i="31"/>
  <c r="V27" i="31" s="1"/>
  <c r="S30" i="31"/>
  <c r="U30" i="31" s="1"/>
  <c r="S29" i="31"/>
  <c r="U29" i="31" s="1"/>
  <c r="S28" i="31"/>
  <c r="S32" i="31"/>
  <c r="U32" i="31" s="1"/>
  <c r="H30" i="31"/>
  <c r="J30" i="31" s="1"/>
  <c r="H28" i="31"/>
  <c r="J28" i="31" s="1"/>
  <c r="H29" i="31"/>
  <c r="J29" i="31" s="1"/>
  <c r="H32" i="31"/>
  <c r="J32" i="31" s="1"/>
  <c r="H31" i="31"/>
  <c r="J31" i="31" s="1"/>
  <c r="H33" i="31"/>
  <c r="J33" i="31" s="1"/>
  <c r="K24" i="31"/>
  <c r="P24" i="31"/>
  <c r="AA24" i="31"/>
  <c r="V24" i="31"/>
  <c r="AF24" i="31"/>
  <c r="AK24" i="31"/>
  <c r="AK19" i="31" s="1"/>
  <c r="AP24" i="31"/>
  <c r="AU24" i="31"/>
  <c r="J19" i="31"/>
  <c r="AU62" i="31"/>
  <c r="AP62" i="31"/>
  <c r="AK62" i="31"/>
  <c r="AF62" i="31"/>
  <c r="AA62" i="31"/>
  <c r="V62" i="31"/>
  <c r="AU60" i="31"/>
  <c r="AP60" i="31"/>
  <c r="AK60" i="31"/>
  <c r="AF60" i="31"/>
  <c r="AA60" i="31"/>
  <c r="V60" i="31"/>
  <c r="AU58" i="31"/>
  <c r="AP58" i="31"/>
  <c r="AK58" i="31"/>
  <c r="AF58" i="31"/>
  <c r="AA58" i="31"/>
  <c r="AA56" i="31" s="1"/>
  <c r="V58" i="31"/>
  <c r="AU55" i="31"/>
  <c r="AU48" i="31" s="1"/>
  <c r="AP55" i="31"/>
  <c r="AK55" i="31"/>
  <c r="AF55" i="31"/>
  <c r="AA55" i="31"/>
  <c r="AU53" i="31"/>
  <c r="AP53" i="31"/>
  <c r="AK53" i="31"/>
  <c r="AK48" i="31" s="1"/>
  <c r="AF53" i="31"/>
  <c r="AF48" i="31" s="1"/>
  <c r="AA53" i="31"/>
  <c r="AH49" i="31"/>
  <c r="AH50" i="31"/>
  <c r="AJ50" i="31" s="1"/>
  <c r="N44" i="31"/>
  <c r="P44" i="31" s="1"/>
  <c r="S44" i="31"/>
  <c r="U44" i="31" s="1"/>
  <c r="AI44" i="31"/>
  <c r="AK44" i="31" s="1"/>
  <c r="AK43" i="31" s="1"/>
  <c r="AM44" i="31"/>
  <c r="A48" i="31"/>
  <c r="V42" i="31"/>
  <c r="AA42" i="31"/>
  <c r="AF42" i="31"/>
  <c r="AK42" i="31"/>
  <c r="AP42" i="31"/>
  <c r="AU42" i="31"/>
  <c r="AQ28" i="31"/>
  <c r="AU19" i="31"/>
  <c r="AC21" i="31"/>
  <c r="AE21" i="31" s="1"/>
  <c r="AC20" i="31"/>
  <c r="AC24" i="31"/>
  <c r="AE24" i="31" s="1"/>
  <c r="AC26" i="31"/>
  <c r="AE26" i="31" s="1"/>
  <c r="AC25" i="31"/>
  <c r="AE25" i="31" s="1"/>
  <c r="AC23" i="31"/>
  <c r="AE23" i="31" s="1"/>
  <c r="AC22" i="31"/>
  <c r="AE22" i="31" s="1"/>
  <c r="M20" i="31"/>
  <c r="O20" i="31" s="1"/>
  <c r="M21" i="31"/>
  <c r="O21" i="31" s="1"/>
  <c r="M22" i="31"/>
  <c r="O22" i="31" s="1"/>
  <c r="M23" i="31"/>
  <c r="O23" i="31" s="1"/>
  <c r="M25" i="31"/>
  <c r="O25" i="31" s="1"/>
  <c r="M26" i="31"/>
  <c r="O26" i="31" s="1"/>
  <c r="M24" i="31"/>
  <c r="O24" i="31" s="1"/>
  <c r="AA44" i="31"/>
  <c r="AU44" i="31"/>
  <c r="AU43" i="31" s="1"/>
  <c r="V40" i="31"/>
  <c r="AA40" i="31"/>
  <c r="AF40" i="31"/>
  <c r="AK40" i="31"/>
  <c r="AP40" i="31"/>
  <c r="AU40" i="31"/>
  <c r="Q36" i="31"/>
  <c r="Q37" i="31"/>
  <c r="A39" i="31"/>
  <c r="Q40" i="31"/>
  <c r="Q42" i="31"/>
  <c r="AN39" i="31"/>
  <c r="AP39" i="31" s="1"/>
  <c r="AN41" i="31"/>
  <c r="AP41" i="31" s="1"/>
  <c r="AI39" i="31"/>
  <c r="AK39" i="31" s="1"/>
  <c r="AI41" i="31"/>
  <c r="AK41" i="31" s="1"/>
  <c r="K35" i="31"/>
  <c r="S31" i="31"/>
  <c r="U31" i="31" s="1"/>
  <c r="AU33" i="31"/>
  <c r="AP33" i="31"/>
  <c r="AK33" i="31"/>
  <c r="AF33" i="31"/>
  <c r="AA33" i="31"/>
  <c r="AU31" i="31"/>
  <c r="AP31" i="31"/>
  <c r="AK31" i="31"/>
  <c r="AK27" i="31" s="1"/>
  <c r="AF31" i="31"/>
  <c r="AF27" i="31" s="1"/>
  <c r="AA31" i="31"/>
  <c r="X28" i="31"/>
  <c r="X30" i="31"/>
  <c r="Z30" i="31" s="1"/>
  <c r="X29" i="31"/>
  <c r="Z29" i="31" s="1"/>
  <c r="M28" i="31"/>
  <c r="O28" i="31" s="1"/>
  <c r="M29" i="31"/>
  <c r="O29" i="31" s="1"/>
  <c r="S21" i="31"/>
  <c r="U21" i="31" s="1"/>
  <c r="S20" i="31"/>
  <c r="S22" i="31"/>
  <c r="U22" i="31" s="1"/>
  <c r="S24" i="31"/>
  <c r="U24" i="31" s="1"/>
  <c r="S26" i="31"/>
  <c r="U26" i="31" s="1"/>
  <c r="S23" i="31"/>
  <c r="U23" i="31" s="1"/>
  <c r="S25" i="31"/>
  <c r="U25" i="31" s="1"/>
  <c r="AO28" i="31"/>
  <c r="AL28" i="31"/>
  <c r="N30" i="31"/>
  <c r="P30" i="31" s="1"/>
  <c r="N28" i="31"/>
  <c r="P28" i="31" s="1"/>
  <c r="N29" i="31"/>
  <c r="P29" i="31" s="1"/>
  <c r="AG20" i="31"/>
  <c r="AJ22" i="31"/>
  <c r="AJ19" i="31" s="1"/>
  <c r="AA19" i="31"/>
  <c r="X21" i="31"/>
  <c r="Z21" i="31" s="1"/>
  <c r="X20" i="31"/>
  <c r="X23" i="31"/>
  <c r="Z23" i="31" s="1"/>
  <c r="X24" i="31"/>
  <c r="Z24" i="31" s="1"/>
  <c r="X26" i="31"/>
  <c r="Z26" i="31" s="1"/>
  <c r="X25" i="31"/>
  <c r="Z25" i="31" s="1"/>
  <c r="P19" i="31"/>
  <c r="I20" i="31"/>
  <c r="K20" i="31" s="1"/>
  <c r="I21" i="31"/>
  <c r="K21" i="31" s="1"/>
  <c r="I24" i="31"/>
  <c r="I26" i="31"/>
  <c r="K26" i="31" s="1"/>
  <c r="K19" i="31"/>
  <c r="I22" i="31"/>
  <c r="K22" i="31" s="1"/>
  <c r="I25" i="31"/>
  <c r="K25" i="31" s="1"/>
  <c r="AB28" i="31"/>
  <c r="AT27" i="31"/>
  <c r="AJ27" i="31"/>
  <c r="AM30" i="31"/>
  <c r="AO30" i="31" s="1"/>
  <c r="AM29" i="31"/>
  <c r="AO29" i="31" s="1"/>
  <c r="K27" i="31"/>
  <c r="I30" i="31"/>
  <c r="K30" i="31" s="1"/>
  <c r="I28" i="31"/>
  <c r="K28" i="31" s="1"/>
  <c r="I29" i="31"/>
  <c r="K29" i="31" s="1"/>
  <c r="AF19" i="31"/>
  <c r="AT6" i="31"/>
  <c r="AQ4" i="31"/>
  <c r="AB5" i="31"/>
  <c r="AE6" i="31"/>
  <c r="AE3" i="31" s="1"/>
  <c r="AQ5" i="31"/>
  <c r="AM8" i="31"/>
  <c r="AO8" i="31" s="1"/>
  <c r="AM10" i="31"/>
  <c r="AO10" i="31" s="1"/>
  <c r="AM7" i="31"/>
  <c r="AO7" i="31" s="1"/>
  <c r="AM4" i="31"/>
  <c r="AM6" i="31"/>
  <c r="AO6" i="31" s="1"/>
  <c r="AM9" i="31"/>
  <c r="AO9" i="31" s="1"/>
  <c r="Q29" i="31"/>
  <c r="AT19" i="31"/>
  <c r="AL20" i="31"/>
  <c r="T17" i="31"/>
  <c r="V17" i="31" s="1"/>
  <c r="Y17" i="31"/>
  <c r="AA17" i="31" s="1"/>
  <c r="AD17" i="31"/>
  <c r="AF17" i="31" s="1"/>
  <c r="AI17" i="31"/>
  <c r="AK17" i="31" s="1"/>
  <c r="AN17" i="31"/>
  <c r="AP17" i="31" s="1"/>
  <c r="AS17" i="31"/>
  <c r="AU17" i="31" s="1"/>
  <c r="H11" i="31"/>
  <c r="I11" i="31"/>
  <c r="V8" i="31"/>
  <c r="V3" i="31" s="1"/>
  <c r="AA8" i="31"/>
  <c r="AF8" i="31"/>
  <c r="AP8" i="31"/>
  <c r="AU8" i="31"/>
  <c r="AU3" i="31" s="1"/>
  <c r="P8" i="31"/>
  <c r="AQ20" i="31"/>
  <c r="V20" i="31"/>
  <c r="V19" i="31" s="1"/>
  <c r="AP20" i="31"/>
  <c r="N20" i="31"/>
  <c r="P20" i="31" s="1"/>
  <c r="N21" i="31"/>
  <c r="P21" i="31" s="1"/>
  <c r="X17" i="31"/>
  <c r="Z17" i="31" s="1"/>
  <c r="F12" i="31"/>
  <c r="F14" i="31"/>
  <c r="F15" i="31"/>
  <c r="F16" i="31"/>
  <c r="Q12" i="31"/>
  <c r="F13" i="31"/>
  <c r="Q14" i="31"/>
  <c r="A16" i="31"/>
  <c r="Q16" i="31"/>
  <c r="F18" i="31"/>
  <c r="K8" i="31"/>
  <c r="K3" i="31" s="1"/>
  <c r="AG5" i="31"/>
  <c r="AJ6" i="31"/>
  <c r="P3" i="31"/>
  <c r="AM5" i="31"/>
  <c r="AO5" i="31" s="1"/>
  <c r="AT3" i="31"/>
  <c r="V10" i="31"/>
  <c r="AA10" i="31"/>
  <c r="AF10" i="31"/>
  <c r="AP10" i="31"/>
  <c r="AU10" i="31"/>
  <c r="AG4" i="31"/>
  <c r="AB4" i="31"/>
  <c r="U4" i="31"/>
  <c r="U3" i="31" s="1"/>
  <c r="R4" i="31"/>
  <c r="R5" i="31"/>
  <c r="AJ3" i="31"/>
  <c r="AI6" i="31"/>
  <c r="AK6" i="31" s="1"/>
  <c r="AI9" i="31"/>
  <c r="AK9" i="31" s="1"/>
  <c r="AI8" i="31"/>
  <c r="AK8" i="31" s="1"/>
  <c r="AI10" i="31"/>
  <c r="AK10" i="31" s="1"/>
  <c r="O3" i="31"/>
  <c r="J3" i="31"/>
  <c r="AF6" i="31"/>
  <c r="AF3" i="31" s="1"/>
  <c r="AA6" i="31"/>
  <c r="AA3" i="31" s="1"/>
  <c r="Q6" i="31"/>
  <c r="AP5" i="31"/>
  <c r="AP4" i="31"/>
  <c r="AP3" i="31" s="1"/>
  <c r="AU7" i="31"/>
  <c r="AP7" i="31"/>
  <c r="AK7" i="31"/>
  <c r="AF7" i="31"/>
  <c r="AA7" i="31"/>
  <c r="Q5" i="31"/>
  <c r="S61" i="30"/>
  <c r="R62" i="30"/>
  <c r="R63" i="30"/>
  <c r="R64" i="30"/>
  <c r="R65" i="30"/>
  <c r="R66" i="30"/>
  <c r="R67" i="30"/>
  <c r="G7" i="30"/>
  <c r="F20" i="30"/>
  <c r="H7" i="30"/>
  <c r="G20" i="30"/>
  <c r="D20" i="30"/>
  <c r="E21" i="30"/>
  <c r="I17" i="30"/>
  <c r="G18" i="30"/>
  <c r="G52" i="30"/>
  <c r="G53" i="30" s="1"/>
  <c r="I9" i="30"/>
  <c r="H12" i="28" s="1"/>
  <c r="J10" i="30"/>
  <c r="H12" i="30"/>
  <c r="R29" i="30"/>
  <c r="R30" i="30"/>
  <c r="R34" i="30"/>
  <c r="R31" i="30"/>
  <c r="R35" i="30"/>
  <c r="R32" i="30"/>
  <c r="R36" i="30"/>
  <c r="H4" i="30"/>
  <c r="F5" i="30"/>
  <c r="G5" i="30" s="1"/>
  <c r="F17" i="30"/>
  <c r="R5" i="29"/>
  <c r="R6" i="29"/>
  <c r="R6" i="28"/>
  <c r="R7" i="28"/>
  <c r="S5" i="27"/>
  <c r="H74" i="27"/>
  <c r="S45" i="34" s="1"/>
  <c r="S46" i="34" s="1"/>
  <c r="U46" i="34" s="1"/>
  <c r="H73" i="27"/>
  <c r="S40" i="34" s="1"/>
  <c r="J30" i="27"/>
  <c r="J31" i="27"/>
  <c r="J33" i="27"/>
  <c r="J34" i="27"/>
  <c r="J35" i="27"/>
  <c r="J36" i="27"/>
  <c r="J37" i="27"/>
  <c r="J29" i="27"/>
  <c r="J52" i="27"/>
  <c r="J61" i="27" s="1"/>
  <c r="J18" i="27"/>
  <c r="J28" i="27" s="1"/>
  <c r="J32" i="27" s="1"/>
  <c r="F23" i="27"/>
  <c r="G23" i="27" s="1"/>
  <c r="F52" i="27"/>
  <c r="F18" i="27"/>
  <c r="F28" i="27" s="1"/>
  <c r="F30" i="27"/>
  <c r="F31" i="27"/>
  <c r="F32" i="27"/>
  <c r="F33" i="27"/>
  <c r="F34" i="27"/>
  <c r="F35" i="27"/>
  <c r="F36" i="27"/>
  <c r="F37" i="27"/>
  <c r="H5" i="27"/>
  <c r="H54" i="27"/>
  <c r="H61" i="27"/>
  <c r="D21" i="27"/>
  <c r="H72" i="27"/>
  <c r="S24" i="34" s="1"/>
  <c r="S30" i="34" s="1"/>
  <c r="U30" i="34" s="1"/>
  <c r="H71" i="27"/>
  <c r="S19" i="34" s="1"/>
  <c r="H23" i="27"/>
  <c r="M17" i="27"/>
  <c r="K20" i="27"/>
  <c r="K52" i="27"/>
  <c r="N5" i="27"/>
  <c r="D56" i="27"/>
  <c r="D58" i="27"/>
  <c r="E58" i="27" s="1"/>
  <c r="F13" i="26" s="1"/>
  <c r="P5" i="27"/>
  <c r="J53" i="27"/>
  <c r="L12" i="26"/>
  <c r="H70" i="27"/>
  <c r="S11" i="34" s="1"/>
  <c r="S12" i="34" s="1"/>
  <c r="U12" i="34" s="1"/>
  <c r="D23" i="27"/>
  <c r="E23" i="27" s="1"/>
  <c r="L18" i="27"/>
  <c r="L28" i="27" s="1"/>
  <c r="M5" i="27"/>
  <c r="L53" i="27"/>
  <c r="L61" i="27" s="1"/>
  <c r="K5" i="27"/>
  <c r="J73" i="27"/>
  <c r="X40" i="34" s="1"/>
  <c r="X41" i="34" s="1"/>
  <c r="Z41" i="34" s="1"/>
  <c r="J71" i="27"/>
  <c r="X19" i="34" s="1"/>
  <c r="X22" i="34" s="1"/>
  <c r="Z22" i="34" s="1"/>
  <c r="R7" i="26"/>
  <c r="R6" i="26"/>
  <c r="S10" i="26" s="1"/>
  <c r="S5" i="26" s="1"/>
  <c r="R5" i="20"/>
  <c r="R6" i="20" s="1"/>
  <c r="I46" i="24"/>
  <c r="N46" i="24"/>
  <c r="X46" i="24"/>
  <c r="AC46" i="24"/>
  <c r="AG46" i="24"/>
  <c r="AH46" i="24"/>
  <c r="AL46" i="24"/>
  <c r="AQ46" i="24"/>
  <c r="AS46" i="24" s="1"/>
  <c r="AM46" i="24"/>
  <c r="AO46" i="24" s="1"/>
  <c r="AR46" i="24"/>
  <c r="AT46" i="24" s="1"/>
  <c r="H46" i="24"/>
  <c r="H41" i="24"/>
  <c r="M41" i="24"/>
  <c r="O41" i="24" s="1"/>
  <c r="W41" i="24"/>
  <c r="Y41" i="24" s="1"/>
  <c r="AB41" i="24"/>
  <c r="AD41" i="24" s="1"/>
  <c r="I41" i="24"/>
  <c r="N41" i="24"/>
  <c r="X41" i="24"/>
  <c r="AC41" i="24"/>
  <c r="AG41" i="24"/>
  <c r="AH41" i="24"/>
  <c r="AJ41" i="24" s="1"/>
  <c r="AM41" i="24"/>
  <c r="AO41" i="24" s="1"/>
  <c r="AR41" i="24"/>
  <c r="AT41" i="24" s="1"/>
  <c r="AQ41" i="24"/>
  <c r="AS41" i="24" s="1"/>
  <c r="K46" i="24"/>
  <c r="J32" i="24"/>
  <c r="K41" i="24"/>
  <c r="AN41" i="24"/>
  <c r="E51" i="24"/>
  <c r="F50" i="24"/>
  <c r="E53" i="24"/>
  <c r="F47" i="24"/>
  <c r="AJ46" i="24"/>
  <c r="AR44" i="24"/>
  <c r="AT44" i="24" s="1"/>
  <c r="AM44" i="24"/>
  <c r="AO44" i="24" s="1"/>
  <c r="AH44" i="24"/>
  <c r="AJ44" i="24" s="1"/>
  <c r="AC44" i="24"/>
  <c r="AE44" i="24" s="1"/>
  <c r="X44" i="24"/>
  <c r="Z44" i="24" s="1"/>
  <c r="N44" i="24"/>
  <c r="P44" i="24" s="1"/>
  <c r="I44" i="24"/>
  <c r="K44" i="24" s="1"/>
  <c r="A44" i="24"/>
  <c r="F42" i="24"/>
  <c r="AE41" i="24"/>
  <c r="Z41" i="24"/>
  <c r="P41" i="24"/>
  <c r="AQ39" i="24"/>
  <c r="AS39" i="24" s="1"/>
  <c r="AB39" i="24"/>
  <c r="AD39" i="24" s="1"/>
  <c r="W39" i="24"/>
  <c r="Y39" i="24" s="1"/>
  <c r="AQ37" i="24"/>
  <c r="AS37" i="24" s="1"/>
  <c r="AB37" i="24"/>
  <c r="AD37" i="24" s="1"/>
  <c r="AD32" i="24" s="1"/>
  <c r="W37" i="24"/>
  <c r="Y37" i="24" s="1"/>
  <c r="Y32" i="24" s="1"/>
  <c r="AQ35" i="24"/>
  <c r="AS35" i="24" s="1"/>
  <c r="AS32" i="24" s="1"/>
  <c r="AI34" i="24"/>
  <c r="O32" i="24"/>
  <c r="G33" i="24"/>
  <c r="AR49" i="24"/>
  <c r="AT49" i="24" s="1"/>
  <c r="AM49" i="24"/>
  <c r="AO49" i="24" s="1"/>
  <c r="AH49" i="24"/>
  <c r="AJ49" i="24" s="1"/>
  <c r="AC49" i="24"/>
  <c r="AE49" i="24" s="1"/>
  <c r="X49" i="24"/>
  <c r="Z49" i="24" s="1"/>
  <c r="N49" i="24"/>
  <c r="P49" i="24" s="1"/>
  <c r="F48" i="24"/>
  <c r="M48" i="24" s="1"/>
  <c r="O48" i="24" s="1"/>
  <c r="AE46" i="24"/>
  <c r="Z46" i="24"/>
  <c r="P46" i="24"/>
  <c r="AQ44" i="24"/>
  <c r="AS44" i="24" s="1"/>
  <c r="AL44" i="24"/>
  <c r="AN44" i="24" s="1"/>
  <c r="M44" i="24"/>
  <c r="O44" i="24" s="1"/>
  <c r="F43" i="24"/>
  <c r="AB43" i="24" s="1"/>
  <c r="AD43" i="24" s="1"/>
  <c r="AT39" i="24"/>
  <c r="AO39" i="24"/>
  <c r="AJ39" i="24"/>
  <c r="AE39" i="24"/>
  <c r="Z39" i="24"/>
  <c r="U39" i="24"/>
  <c r="P39" i="24"/>
  <c r="AT37" i="24"/>
  <c r="AO37" i="24"/>
  <c r="AJ37" i="24"/>
  <c r="AE37" i="24"/>
  <c r="Z37" i="24"/>
  <c r="U37" i="24"/>
  <c r="P37" i="24"/>
  <c r="AT35" i="24"/>
  <c r="AO35" i="24"/>
  <c r="AJ35" i="24"/>
  <c r="AJ32" i="24" s="1"/>
  <c r="AE35" i="24"/>
  <c r="AE32" i="24" s="1"/>
  <c r="Z35" i="24"/>
  <c r="Z32" i="24" s="1"/>
  <c r="U35" i="24"/>
  <c r="U32" i="24" s="1"/>
  <c r="P35" i="24"/>
  <c r="P32" i="24" s="1"/>
  <c r="AT33" i="24"/>
  <c r="AO33" i="24"/>
  <c r="AN32" i="24"/>
  <c r="AI32" i="24"/>
  <c r="I27" i="24"/>
  <c r="K27" i="24" s="1"/>
  <c r="N27" i="24"/>
  <c r="P27" i="24" s="1"/>
  <c r="X27" i="24"/>
  <c r="Z27" i="24" s="1"/>
  <c r="AC27" i="24"/>
  <c r="AE27" i="24" s="1"/>
  <c r="AH27" i="24"/>
  <c r="AJ27" i="24" s="1"/>
  <c r="AM27" i="24"/>
  <c r="AO27" i="24" s="1"/>
  <c r="AR27" i="24"/>
  <c r="AT27" i="24" s="1"/>
  <c r="H27" i="24"/>
  <c r="J27" i="24" s="1"/>
  <c r="M27" i="24"/>
  <c r="O27" i="24" s="1"/>
  <c r="W27" i="24"/>
  <c r="Y27" i="24" s="1"/>
  <c r="AB27" i="24"/>
  <c r="AD27" i="24" s="1"/>
  <c r="AG27" i="24"/>
  <c r="AI27" i="24" s="1"/>
  <c r="AL27" i="24"/>
  <c r="AN27" i="24" s="1"/>
  <c r="AQ27" i="24"/>
  <c r="AS27" i="24" s="1"/>
  <c r="AT31" i="24"/>
  <c r="AO31" i="24"/>
  <c r="AJ31" i="24"/>
  <c r="AE31" i="24"/>
  <c r="Z31" i="24"/>
  <c r="P31" i="24"/>
  <c r="AR30" i="24"/>
  <c r="AT30" i="24" s="1"/>
  <c r="AM30" i="24"/>
  <c r="AO30" i="24" s="1"/>
  <c r="AH30" i="24"/>
  <c r="AJ30" i="24" s="1"/>
  <c r="AC30" i="24"/>
  <c r="AE30" i="24" s="1"/>
  <c r="X30" i="24"/>
  <c r="Z30" i="24" s="1"/>
  <c r="N30" i="24"/>
  <c r="P30" i="24" s="1"/>
  <c r="I30" i="24"/>
  <c r="K30" i="24" s="1"/>
  <c r="AE29" i="24"/>
  <c r="Z29" i="24"/>
  <c r="P29" i="24"/>
  <c r="AC28" i="24"/>
  <c r="AE28" i="24" s="1"/>
  <c r="X28" i="24"/>
  <c r="Z28" i="24" s="1"/>
  <c r="N28" i="24"/>
  <c r="P28" i="24" s="1"/>
  <c r="I28" i="24"/>
  <c r="K28" i="24" s="1"/>
  <c r="F22" i="24"/>
  <c r="F21" i="24"/>
  <c r="A23" i="24"/>
  <c r="F20" i="24"/>
  <c r="M30" i="24"/>
  <c r="O30" i="24" s="1"/>
  <c r="M28" i="24"/>
  <c r="O28" i="24" s="1"/>
  <c r="M23" i="24"/>
  <c r="O23" i="24" s="1"/>
  <c r="W23" i="24"/>
  <c r="Y23" i="24" s="1"/>
  <c r="AG23" i="24"/>
  <c r="AI23" i="24" s="1"/>
  <c r="AQ23" i="24"/>
  <c r="AS23" i="24" s="1"/>
  <c r="I23" i="24"/>
  <c r="K23" i="24" s="1"/>
  <c r="N23" i="24"/>
  <c r="P23" i="24" s="1"/>
  <c r="S23" i="24"/>
  <c r="U23" i="24" s="1"/>
  <c r="X23" i="24"/>
  <c r="Z23" i="24" s="1"/>
  <c r="AC23" i="24"/>
  <c r="AE23" i="24" s="1"/>
  <c r="AH23" i="24"/>
  <c r="AJ23" i="24" s="1"/>
  <c r="AM23" i="24"/>
  <c r="AO23" i="24" s="1"/>
  <c r="AR23" i="24"/>
  <c r="AT23" i="24" s="1"/>
  <c r="AL23" i="24"/>
  <c r="AN23" i="24" s="1"/>
  <c r="AL22" i="24"/>
  <c r="AN22" i="24" s="1"/>
  <c r="AB23" i="24"/>
  <c r="AD23" i="24" s="1"/>
  <c r="AB22" i="24"/>
  <c r="AD22" i="24" s="1"/>
  <c r="H23" i="24"/>
  <c r="J23" i="24" s="1"/>
  <c r="H22" i="24"/>
  <c r="J22" i="24" s="1"/>
  <c r="F25" i="24"/>
  <c r="AQ25" i="24" s="1"/>
  <c r="AS25" i="24" s="1"/>
  <c r="F26" i="24"/>
  <c r="F12" i="24"/>
  <c r="F14" i="24"/>
  <c r="F13" i="24"/>
  <c r="A15" i="24"/>
  <c r="F16" i="24"/>
  <c r="F18" i="24"/>
  <c r="F17" i="24"/>
  <c r="F15" i="24"/>
  <c r="F7" i="24"/>
  <c r="F9" i="24"/>
  <c r="F4" i="24"/>
  <c r="F6" i="24"/>
  <c r="F5" i="24"/>
  <c r="A7" i="24"/>
  <c r="F8" i="24"/>
  <c r="F10" i="24"/>
  <c r="Q74" i="23"/>
  <c r="E75" i="23"/>
  <c r="AT64" i="23"/>
  <c r="T70" i="23"/>
  <c r="T71" i="23"/>
  <c r="H71" i="23"/>
  <c r="J71" i="23" s="1"/>
  <c r="H70" i="23"/>
  <c r="J70" i="23" s="1"/>
  <c r="W65" i="23"/>
  <c r="AI65" i="23"/>
  <c r="AK65" i="23" s="1"/>
  <c r="AI66" i="23"/>
  <c r="AI68" i="23"/>
  <c r="AI74" i="23"/>
  <c r="AI75" i="23" s="1"/>
  <c r="T66" i="23"/>
  <c r="T68" i="23"/>
  <c r="AH75" i="23"/>
  <c r="H73" i="23"/>
  <c r="J73" i="23" s="1"/>
  <c r="AO70" i="23"/>
  <c r="AO69" i="23" s="1"/>
  <c r="Y70" i="23"/>
  <c r="AA70" i="23" s="1"/>
  <c r="AN70" i="23"/>
  <c r="AN71" i="23"/>
  <c r="AN74" i="23"/>
  <c r="AN75" i="23" s="1"/>
  <c r="AD70" i="23"/>
  <c r="AD71" i="23"/>
  <c r="AD74" i="23"/>
  <c r="AC75" i="23" s="1"/>
  <c r="X72" i="23"/>
  <c r="Z72" i="23" s="1"/>
  <c r="X70" i="23"/>
  <c r="X73" i="23"/>
  <c r="Z73" i="23" s="1"/>
  <c r="S72" i="23"/>
  <c r="U72" i="23" s="1"/>
  <c r="U69" i="23" s="1"/>
  <c r="S73" i="23"/>
  <c r="U73" i="23" s="1"/>
  <c r="T67" i="23"/>
  <c r="V67" i="23" s="1"/>
  <c r="Q68" i="23"/>
  <c r="Q65" i="23"/>
  <c r="Q66" i="23"/>
  <c r="A68" i="23"/>
  <c r="N66" i="23"/>
  <c r="P66" i="23" s="1"/>
  <c r="N65" i="23"/>
  <c r="P65" i="23" s="1"/>
  <c r="AM65" i="23"/>
  <c r="AM67" i="23"/>
  <c r="AO67" i="23" s="1"/>
  <c r="AC65" i="23"/>
  <c r="AC67" i="23"/>
  <c r="AE67" i="23" s="1"/>
  <c r="AO56" i="23"/>
  <c r="AT57" i="23"/>
  <c r="Y58" i="23"/>
  <c r="AA58" i="23" s="1"/>
  <c r="Y57" i="23"/>
  <c r="AA57" i="23" s="1"/>
  <c r="AA56" i="23" s="1"/>
  <c r="AJ64" i="23"/>
  <c r="H68" i="23"/>
  <c r="J68" i="23" s="1"/>
  <c r="H66" i="23"/>
  <c r="J66" i="23" s="1"/>
  <c r="J64" i="23" s="1"/>
  <c r="AK56" i="23"/>
  <c r="Z48" i="23"/>
  <c r="AM76" i="23"/>
  <c r="AE69" i="23"/>
  <c r="O70" i="23"/>
  <c r="AR72" i="23"/>
  <c r="AT72" i="23" s="1"/>
  <c r="AR70" i="23"/>
  <c r="AR73" i="23"/>
  <c r="AT73" i="23" s="1"/>
  <c r="AH70" i="23"/>
  <c r="AH72" i="23"/>
  <c r="AJ72" i="23" s="1"/>
  <c r="AH73" i="23"/>
  <c r="AJ73" i="23" s="1"/>
  <c r="AQ65" i="23"/>
  <c r="M73" i="23"/>
  <c r="O73" i="23" s="1"/>
  <c r="AR71" i="23"/>
  <c r="AT71" i="23" s="1"/>
  <c r="AB70" i="23"/>
  <c r="V70" i="23"/>
  <c r="AP70" i="23"/>
  <c r="P70" i="23"/>
  <c r="P69" i="23" s="1"/>
  <c r="AF70" i="23"/>
  <c r="AF69" i="23" s="1"/>
  <c r="I69" i="23"/>
  <c r="V68" i="23"/>
  <c r="AF68" i="23"/>
  <c r="AK68" i="23"/>
  <c r="AP68" i="23"/>
  <c r="H67" i="23"/>
  <c r="J67" i="23" s="1"/>
  <c r="AG65" i="23"/>
  <c r="Z65" i="23"/>
  <c r="Z64" i="23" s="1"/>
  <c r="S65" i="23"/>
  <c r="S67" i="23"/>
  <c r="U67" i="23" s="1"/>
  <c r="M68" i="23"/>
  <c r="O68" i="23" s="1"/>
  <c r="M65" i="23"/>
  <c r="M66" i="23"/>
  <c r="O66" i="23" s="1"/>
  <c r="AU56" i="23"/>
  <c r="AE56" i="23"/>
  <c r="S57" i="23"/>
  <c r="S59" i="23"/>
  <c r="U59" i="23" s="1"/>
  <c r="S61" i="23"/>
  <c r="U61" i="23" s="1"/>
  <c r="S63" i="23"/>
  <c r="U63" i="23" s="1"/>
  <c r="S58" i="23"/>
  <c r="U58" i="23" s="1"/>
  <c r="S60" i="23"/>
  <c r="U60" i="23" s="1"/>
  <c r="S62" i="23"/>
  <c r="U62" i="23" s="1"/>
  <c r="H59" i="23"/>
  <c r="J59" i="23" s="1"/>
  <c r="H61" i="23"/>
  <c r="J61" i="23" s="1"/>
  <c r="H63" i="23"/>
  <c r="J63" i="23" s="1"/>
  <c r="H57" i="23"/>
  <c r="J57" i="23" s="1"/>
  <c r="H58" i="23"/>
  <c r="J58" i="23" s="1"/>
  <c r="H60" i="23"/>
  <c r="J60" i="23" s="1"/>
  <c r="H62" i="23"/>
  <c r="J62" i="23" s="1"/>
  <c r="V71" i="23"/>
  <c r="AA71" i="23"/>
  <c r="AF71" i="23"/>
  <c r="AK71" i="23"/>
  <c r="AK69" i="23" s="1"/>
  <c r="AP71" i="23"/>
  <c r="AU71" i="23"/>
  <c r="AU69" i="23" s="1"/>
  <c r="R70" i="23"/>
  <c r="V66" i="23"/>
  <c r="V64" i="23" s="1"/>
  <c r="AA66" i="23"/>
  <c r="AF66" i="23"/>
  <c r="AK66" i="23"/>
  <c r="AP66" i="23"/>
  <c r="AP64" i="23" s="1"/>
  <c r="AU66" i="23"/>
  <c r="AF64" i="23"/>
  <c r="AS66" i="23"/>
  <c r="AS65" i="23"/>
  <c r="AU65" i="23" s="1"/>
  <c r="AS68" i="23"/>
  <c r="AU68" i="23" s="1"/>
  <c r="AS74" i="23"/>
  <c r="AS75" i="23" s="1"/>
  <c r="Y66" i="23"/>
  <c r="Y65" i="23"/>
  <c r="AA65" i="23" s="1"/>
  <c r="Y68" i="23"/>
  <c r="AA68" i="23" s="1"/>
  <c r="Z57" i="23"/>
  <c r="AR62" i="23"/>
  <c r="AT62" i="23" s="1"/>
  <c r="AH62" i="23"/>
  <c r="AJ62" i="23" s="1"/>
  <c r="X62" i="23"/>
  <c r="Z62" i="23" s="1"/>
  <c r="M62" i="23"/>
  <c r="O62" i="23" s="1"/>
  <c r="AR60" i="23"/>
  <c r="AT60" i="23" s="1"/>
  <c r="AH60" i="23"/>
  <c r="AJ60" i="23" s="1"/>
  <c r="X60" i="23"/>
  <c r="Z60" i="23" s="1"/>
  <c r="M60" i="23"/>
  <c r="O60" i="23" s="1"/>
  <c r="AR58" i="23"/>
  <c r="AT58" i="23" s="1"/>
  <c r="AH58" i="23"/>
  <c r="AJ58" i="23" s="1"/>
  <c r="X58" i="23"/>
  <c r="Z58" i="23" s="1"/>
  <c r="M58" i="23"/>
  <c r="O58" i="23" s="1"/>
  <c r="AP57" i="23"/>
  <c r="AP56" i="23" s="1"/>
  <c r="AL57" i="23"/>
  <c r="AH57" i="23"/>
  <c r="V57" i="23"/>
  <c r="V56" i="23" s="1"/>
  <c r="M57" i="23"/>
  <c r="AU55" i="23"/>
  <c r="AP55" i="23"/>
  <c r="AK55" i="23"/>
  <c r="AF55" i="23"/>
  <c r="AA55" i="23"/>
  <c r="H55" i="23"/>
  <c r="J55" i="23" s="1"/>
  <c r="AU53" i="23"/>
  <c r="AP53" i="23"/>
  <c r="AK53" i="23"/>
  <c r="AF53" i="23"/>
  <c r="AA53" i="23"/>
  <c r="Q49" i="23"/>
  <c r="Q50" i="23"/>
  <c r="AF50" i="23"/>
  <c r="AP50" i="23"/>
  <c r="AU50" i="23"/>
  <c r="AU48" i="23" s="1"/>
  <c r="P48" i="23"/>
  <c r="AO48" i="23"/>
  <c r="T48" i="23"/>
  <c r="S48" i="23"/>
  <c r="K48" i="23"/>
  <c r="I49" i="23"/>
  <c r="K49" i="23" s="1"/>
  <c r="I51" i="23"/>
  <c r="K51" i="23" s="1"/>
  <c r="P57" i="23"/>
  <c r="P56" i="23" s="1"/>
  <c r="I56" i="23"/>
  <c r="AT48" i="23"/>
  <c r="W49" i="23"/>
  <c r="H49" i="23"/>
  <c r="J49" i="23" s="1"/>
  <c r="H50" i="23"/>
  <c r="J50" i="23" s="1"/>
  <c r="AR63" i="23"/>
  <c r="AT63" i="23" s="1"/>
  <c r="AH63" i="23"/>
  <c r="AJ63" i="23" s="1"/>
  <c r="X63" i="23"/>
  <c r="Z63" i="23" s="1"/>
  <c r="M63" i="23"/>
  <c r="O63" i="23" s="1"/>
  <c r="AR61" i="23"/>
  <c r="AT61" i="23" s="1"/>
  <c r="AH61" i="23"/>
  <c r="AJ61" i="23" s="1"/>
  <c r="X61" i="23"/>
  <c r="Z61" i="23" s="1"/>
  <c r="M61" i="23"/>
  <c r="O61" i="23" s="1"/>
  <c r="AR59" i="23"/>
  <c r="AT59" i="23" s="1"/>
  <c r="X59" i="23"/>
  <c r="Z59" i="23" s="1"/>
  <c r="AF57" i="23"/>
  <c r="AF56" i="23" s="1"/>
  <c r="AU54" i="23"/>
  <c r="AP54" i="23"/>
  <c r="AK54" i="23"/>
  <c r="AF54" i="23"/>
  <c r="AA54" i="23"/>
  <c r="H54" i="23"/>
  <c r="J54" i="23" s="1"/>
  <c r="AU52" i="23"/>
  <c r="AP52" i="23"/>
  <c r="AP48" i="23" s="1"/>
  <c r="AK52" i="23"/>
  <c r="AF52" i="23"/>
  <c r="AA52" i="23"/>
  <c r="Q52" i="23"/>
  <c r="H52" i="23"/>
  <c r="J52" i="23" s="1"/>
  <c r="H51" i="23"/>
  <c r="J51" i="23" s="1"/>
  <c r="K50" i="23"/>
  <c r="AQ49" i="23"/>
  <c r="AJ49" i="23"/>
  <c r="AJ48" i="23" s="1"/>
  <c r="AG49" i="23"/>
  <c r="AI49" i="23"/>
  <c r="AK49" i="23" s="1"/>
  <c r="AI50" i="23"/>
  <c r="AK50" i="23" s="1"/>
  <c r="Y49" i="23"/>
  <c r="AA49" i="23" s="1"/>
  <c r="Y50" i="23"/>
  <c r="AA50" i="23" s="1"/>
  <c r="M49" i="23"/>
  <c r="M50" i="23"/>
  <c r="O50" i="23" s="1"/>
  <c r="T44" i="23"/>
  <c r="V44" i="23" s="1"/>
  <c r="X44" i="23"/>
  <c r="AN44" i="23"/>
  <c r="AP44" i="23" s="1"/>
  <c r="AR44" i="23"/>
  <c r="Y44" i="23"/>
  <c r="AC44" i="23"/>
  <c r="AS44" i="23"/>
  <c r="H44" i="23"/>
  <c r="J44" i="23" s="1"/>
  <c r="AD44" i="23"/>
  <c r="AF44" i="23" s="1"/>
  <c r="AH44" i="23"/>
  <c r="I44" i="23"/>
  <c r="N44" i="23"/>
  <c r="S44" i="23"/>
  <c r="U44" i="23" s="1"/>
  <c r="AI44" i="23"/>
  <c r="AM44" i="23"/>
  <c r="K44" i="23"/>
  <c r="AF48" i="23"/>
  <c r="AB49" i="23"/>
  <c r="AE49" i="23"/>
  <c r="AE48" i="23" s="1"/>
  <c r="AU44" i="23"/>
  <c r="AA44" i="23"/>
  <c r="M43" i="23"/>
  <c r="M47" i="23" s="1"/>
  <c r="O47" i="23" s="1"/>
  <c r="AJ35" i="23"/>
  <c r="X37" i="23"/>
  <c r="Z37" i="23" s="1"/>
  <c r="X36" i="23"/>
  <c r="X39" i="23"/>
  <c r="Z39" i="23" s="1"/>
  <c r="AK33" i="23"/>
  <c r="AP33" i="23"/>
  <c r="AU33" i="23"/>
  <c r="AO27" i="23"/>
  <c r="AE27" i="23"/>
  <c r="Y3" i="23"/>
  <c r="X3" i="23"/>
  <c r="AG36" i="23"/>
  <c r="M39" i="23"/>
  <c r="O39" i="23" s="1"/>
  <c r="M38" i="23"/>
  <c r="O38" i="23" s="1"/>
  <c r="AK31" i="23"/>
  <c r="AP31" i="23"/>
  <c r="AU31" i="23"/>
  <c r="Q31" i="23"/>
  <c r="Q33" i="23"/>
  <c r="Q30" i="23"/>
  <c r="Q28" i="23"/>
  <c r="Q29" i="23"/>
  <c r="A31" i="23"/>
  <c r="Q32" i="23"/>
  <c r="Q34" i="23"/>
  <c r="W28" i="23"/>
  <c r="Z29" i="23"/>
  <c r="Z27" i="23" s="1"/>
  <c r="AL28" i="23"/>
  <c r="AD29" i="23"/>
  <c r="AF29" i="23" s="1"/>
  <c r="AD32" i="23"/>
  <c r="AF32" i="23" s="1"/>
  <c r="AD34" i="23"/>
  <c r="AF34" i="23" s="1"/>
  <c r="AD31" i="23"/>
  <c r="AF31" i="23" s="1"/>
  <c r="AD33" i="23"/>
  <c r="AF33" i="23" s="1"/>
  <c r="M27" i="23"/>
  <c r="N27" i="23"/>
  <c r="K3" i="23"/>
  <c r="P47" i="23"/>
  <c r="F46" i="23"/>
  <c r="F45" i="23"/>
  <c r="AK44" i="23"/>
  <c r="P44" i="23"/>
  <c r="V39" i="23"/>
  <c r="AA39" i="23"/>
  <c r="AF39" i="23"/>
  <c r="AK39" i="23"/>
  <c r="AK35" i="23" s="1"/>
  <c r="AP39" i="23"/>
  <c r="AP35" i="23" s="1"/>
  <c r="AU39" i="23"/>
  <c r="AL36" i="23"/>
  <c r="AS38" i="23"/>
  <c r="AU38" i="23" s="1"/>
  <c r="AS37" i="23"/>
  <c r="AU37" i="23" s="1"/>
  <c r="AU35" i="23" s="1"/>
  <c r="AC37" i="23"/>
  <c r="AE37" i="23" s="1"/>
  <c r="AC39" i="23"/>
  <c r="AE39" i="23" s="1"/>
  <c r="T38" i="23"/>
  <c r="V38" i="23" s="1"/>
  <c r="T37" i="23"/>
  <c r="V37" i="23" s="1"/>
  <c r="T40" i="23"/>
  <c r="V40" i="23" s="1"/>
  <c r="T36" i="23"/>
  <c r="V36" i="23" s="1"/>
  <c r="K33" i="23"/>
  <c r="AD30" i="23"/>
  <c r="AU27" i="23"/>
  <c r="AB28" i="23"/>
  <c r="M40" i="23"/>
  <c r="O40" i="23" s="1"/>
  <c r="AQ36" i="23"/>
  <c r="AE36" i="23"/>
  <c r="AE35" i="23" s="1"/>
  <c r="M36" i="23"/>
  <c r="O36" i="23" s="1"/>
  <c r="O35" i="23" s="1"/>
  <c r="S37" i="23"/>
  <c r="U37" i="23" s="1"/>
  <c r="S36" i="23"/>
  <c r="S39" i="23"/>
  <c r="U39" i="23" s="1"/>
  <c r="H35" i="23"/>
  <c r="I35" i="23"/>
  <c r="K31" i="23"/>
  <c r="AQ28" i="23"/>
  <c r="AT29" i="23"/>
  <c r="AT27" i="23" s="1"/>
  <c r="AJ28" i="23"/>
  <c r="AH31" i="23"/>
  <c r="AJ31" i="23" s="1"/>
  <c r="AH33" i="23"/>
  <c r="AJ33" i="23" s="1"/>
  <c r="AH30" i="23"/>
  <c r="AJ30" i="23" s="1"/>
  <c r="Y29" i="23"/>
  <c r="AA29" i="23" s="1"/>
  <c r="Y32" i="23"/>
  <c r="AA32" i="23" s="1"/>
  <c r="Y34" i="23"/>
  <c r="AA34" i="23" s="1"/>
  <c r="Y28" i="23"/>
  <c r="AA28" i="23" s="1"/>
  <c r="Y31" i="23"/>
  <c r="AA31" i="23" s="1"/>
  <c r="Y33" i="23"/>
  <c r="AA33" i="23" s="1"/>
  <c r="S28" i="23"/>
  <c r="S31" i="23"/>
  <c r="U31" i="23" s="1"/>
  <c r="S33" i="23"/>
  <c r="U33" i="23" s="1"/>
  <c r="S30" i="23"/>
  <c r="U30" i="23" s="1"/>
  <c r="H31" i="23"/>
  <c r="J31" i="23" s="1"/>
  <c r="H33" i="23"/>
  <c r="J33" i="23" s="1"/>
  <c r="H30" i="23"/>
  <c r="J30" i="23" s="1"/>
  <c r="H28" i="23"/>
  <c r="J28" i="23" s="1"/>
  <c r="H29" i="23"/>
  <c r="J29" i="23" s="1"/>
  <c r="H32" i="23"/>
  <c r="J32" i="23" s="1"/>
  <c r="H34" i="23"/>
  <c r="J34" i="23" s="1"/>
  <c r="AF38" i="23"/>
  <c r="AF35" i="23" s="1"/>
  <c r="AA38" i="23"/>
  <c r="AA35" i="23" s="1"/>
  <c r="Q38" i="23"/>
  <c r="AT37" i="23"/>
  <c r="AT35" i="23" s="1"/>
  <c r="AO37" i="23"/>
  <c r="AO35" i="23" s="1"/>
  <c r="N35" i="23"/>
  <c r="T27" i="23"/>
  <c r="AF19" i="23"/>
  <c r="AS22" i="23"/>
  <c r="AU22" i="23" s="1"/>
  <c r="AS21" i="23"/>
  <c r="AU21" i="23" s="1"/>
  <c r="AU19" i="23" s="1"/>
  <c r="AS24" i="23"/>
  <c r="AU24" i="23" s="1"/>
  <c r="AC21" i="23"/>
  <c r="AE21" i="23" s="1"/>
  <c r="AC24" i="23"/>
  <c r="AE24" i="23" s="1"/>
  <c r="AC23" i="23"/>
  <c r="AE23" i="23" s="1"/>
  <c r="AC25" i="23"/>
  <c r="AE25" i="23" s="1"/>
  <c r="T22" i="23"/>
  <c r="T21" i="23"/>
  <c r="V21" i="23" s="1"/>
  <c r="T24" i="23"/>
  <c r="V24" i="23" s="1"/>
  <c r="T20" i="23"/>
  <c r="V20" i="23" s="1"/>
  <c r="N20" i="23"/>
  <c r="P20" i="23" s="1"/>
  <c r="N21" i="23"/>
  <c r="P21" i="23" s="1"/>
  <c r="N24" i="23"/>
  <c r="P24" i="23" s="1"/>
  <c r="N23" i="23"/>
  <c r="P23" i="23" s="1"/>
  <c r="N25" i="23"/>
  <c r="P25" i="23" s="1"/>
  <c r="V18" i="23"/>
  <c r="AU30" i="23"/>
  <c r="AP30" i="23"/>
  <c r="AP27" i="23" s="1"/>
  <c r="AK30" i="23"/>
  <c r="AK27" i="23" s="1"/>
  <c r="AF30" i="23"/>
  <c r="AA30" i="23"/>
  <c r="AQ20" i="23"/>
  <c r="AE20" i="23"/>
  <c r="AE19" i="23" s="1"/>
  <c r="S21" i="23"/>
  <c r="U21" i="23" s="1"/>
  <c r="S24" i="23"/>
  <c r="U24" i="23" s="1"/>
  <c r="S20" i="23"/>
  <c r="S23" i="23"/>
  <c r="U23" i="23" s="1"/>
  <c r="S25" i="23"/>
  <c r="U25" i="23" s="1"/>
  <c r="N17" i="23"/>
  <c r="P17" i="23" s="1"/>
  <c r="S17" i="23"/>
  <c r="U17" i="23" s="1"/>
  <c r="X17" i="23"/>
  <c r="Z17" i="23" s="1"/>
  <c r="AC17" i="23"/>
  <c r="AE17" i="23" s="1"/>
  <c r="AH17" i="23"/>
  <c r="AJ17" i="23" s="1"/>
  <c r="AM17" i="23"/>
  <c r="AO17" i="23" s="1"/>
  <c r="AR17" i="23"/>
  <c r="AT17" i="23" s="1"/>
  <c r="T17" i="23"/>
  <c r="V17" i="23" s="1"/>
  <c r="AD17" i="23"/>
  <c r="AF17" i="23" s="1"/>
  <c r="AI17" i="23"/>
  <c r="AK17" i="23" s="1"/>
  <c r="AN17" i="23"/>
  <c r="AP17" i="23" s="1"/>
  <c r="AS17" i="23"/>
  <c r="AU17" i="23" s="1"/>
  <c r="V22" i="23"/>
  <c r="AJ19" i="23"/>
  <c r="X21" i="23"/>
  <c r="Z21" i="23" s="1"/>
  <c r="X24" i="23"/>
  <c r="Z24" i="23" s="1"/>
  <c r="X20" i="23"/>
  <c r="X23" i="23"/>
  <c r="Z23" i="23" s="1"/>
  <c r="X25" i="23"/>
  <c r="Z25" i="23" s="1"/>
  <c r="H19" i="23"/>
  <c r="I19" i="23"/>
  <c r="AP22" i="23"/>
  <c r="AP19" i="23" s="1"/>
  <c r="AK22" i="23"/>
  <c r="AK19" i="23" s="1"/>
  <c r="AF22" i="23"/>
  <c r="AA22" i="23"/>
  <c r="AA19" i="23" s="1"/>
  <c r="AT21" i="23"/>
  <c r="AT19" i="23" s="1"/>
  <c r="AF18" i="23"/>
  <c r="M18" i="23"/>
  <c r="O18" i="23" s="1"/>
  <c r="AL5" i="23"/>
  <c r="AT3" i="23"/>
  <c r="AE4" i="23"/>
  <c r="AE3" i="23" s="1"/>
  <c r="AB4" i="23"/>
  <c r="AB5" i="23"/>
  <c r="J3" i="23"/>
  <c r="F12" i="23"/>
  <c r="F14" i="23"/>
  <c r="F15" i="23"/>
  <c r="F16" i="23"/>
  <c r="Q12" i="23"/>
  <c r="F13" i="23"/>
  <c r="Q14" i="23"/>
  <c r="Q15" i="23"/>
  <c r="Q16" i="23"/>
  <c r="Q13" i="23"/>
  <c r="H11" i="23"/>
  <c r="H74" i="23" s="1"/>
  <c r="I11" i="23"/>
  <c r="R4" i="23"/>
  <c r="AJ3" i="23"/>
  <c r="O3" i="23"/>
  <c r="AS18" i="23"/>
  <c r="AU18" i="23" s="1"/>
  <c r="AN18" i="23"/>
  <c r="AP18" i="23" s="1"/>
  <c r="AI18" i="23"/>
  <c r="AK18" i="23" s="1"/>
  <c r="AD18" i="23"/>
  <c r="X11" i="23"/>
  <c r="X18" i="23" s="1"/>
  <c r="Z18" i="23" s="1"/>
  <c r="Y11" i="23"/>
  <c r="Y18" i="23" s="1"/>
  <c r="AA18" i="23" s="1"/>
  <c r="V9" i="23"/>
  <c r="AF9" i="23"/>
  <c r="AK9" i="23"/>
  <c r="AP9" i="23"/>
  <c r="R5" i="23"/>
  <c r="V6" i="23"/>
  <c r="V3" i="23" s="1"/>
  <c r="AF6" i="23"/>
  <c r="AF3" i="23" s="1"/>
  <c r="AK6" i="23"/>
  <c r="AK3" i="23" s="1"/>
  <c r="AP6" i="23"/>
  <c r="AP3" i="23" s="1"/>
  <c r="AQ5" i="23"/>
  <c r="AL4" i="23"/>
  <c r="AG5" i="23"/>
  <c r="AQ4" i="23"/>
  <c r="AG4" i="23"/>
  <c r="AS8" i="23"/>
  <c r="AU8" i="23" s="1"/>
  <c r="AS10" i="23"/>
  <c r="AU10" i="23" s="1"/>
  <c r="AS7" i="23"/>
  <c r="AU7" i="23" s="1"/>
  <c r="AS6" i="23"/>
  <c r="AU6" i="23" s="1"/>
  <c r="AU3" i="23" s="1"/>
  <c r="AS9" i="23"/>
  <c r="AU9" i="23" s="1"/>
  <c r="L63" i="22"/>
  <c r="L67" i="22"/>
  <c r="L62" i="22"/>
  <c r="L66" i="22"/>
  <c r="L65" i="22"/>
  <c r="L64" i="22"/>
  <c r="P5" i="22"/>
  <c r="F58" i="22"/>
  <c r="G58" i="22" s="1"/>
  <c r="G13" i="20" s="1"/>
  <c r="S57" i="22"/>
  <c r="R22" i="22"/>
  <c r="R39" i="22"/>
  <c r="K8" i="22"/>
  <c r="J21" i="22"/>
  <c r="J68" i="22"/>
  <c r="J5" i="22"/>
  <c r="H61" i="22"/>
  <c r="H69" i="22"/>
  <c r="S3" i="24" s="1"/>
  <c r="H71" i="22"/>
  <c r="S19" i="24" s="1"/>
  <c r="H73" i="22"/>
  <c r="S40" i="24" s="1"/>
  <c r="S44" i="24" s="1"/>
  <c r="U44" i="24" s="1"/>
  <c r="L19" i="22"/>
  <c r="L23" i="22"/>
  <c r="L52" i="22"/>
  <c r="L54" i="22" s="1"/>
  <c r="L68" i="22" s="1"/>
  <c r="L33" i="22"/>
  <c r="L34" i="22"/>
  <c r="L35" i="22"/>
  <c r="L36" i="22"/>
  <c r="L37" i="22"/>
  <c r="D23" i="22"/>
  <c r="E23" i="22" s="1"/>
  <c r="D28" i="22"/>
  <c r="D52" i="22"/>
  <c r="D30" i="22"/>
  <c r="D31" i="22"/>
  <c r="D32" i="22"/>
  <c r="D33" i="22"/>
  <c r="D34" i="22"/>
  <c r="D35" i="22"/>
  <c r="D36" i="22"/>
  <c r="D37" i="22"/>
  <c r="H56" i="22"/>
  <c r="R32" i="24" s="1"/>
  <c r="I5" i="22"/>
  <c r="I18" i="22"/>
  <c r="I53" i="22" s="1"/>
  <c r="J61" i="22"/>
  <c r="R41" i="22"/>
  <c r="R43" i="22"/>
  <c r="R45" i="22"/>
  <c r="R47" i="22"/>
  <c r="R40" i="22"/>
  <c r="R42" i="22"/>
  <c r="R44" i="22"/>
  <c r="R46" i="22"/>
  <c r="D12" i="22"/>
  <c r="L12" i="22"/>
  <c r="F12" i="22"/>
  <c r="N12" i="22"/>
  <c r="H12" i="22"/>
  <c r="P12" i="22"/>
  <c r="M5" i="22"/>
  <c r="L18" i="22"/>
  <c r="L28" i="22" s="1"/>
  <c r="O48" i="22"/>
  <c r="R57" i="22"/>
  <c r="R70" i="22"/>
  <c r="R72" i="22"/>
  <c r="R74" i="22"/>
  <c r="K18" i="22"/>
  <c r="K53" i="22" s="1"/>
  <c r="J12" i="22"/>
  <c r="O6" i="22"/>
  <c r="N9" i="22"/>
  <c r="F67" i="22"/>
  <c r="F63" i="22"/>
  <c r="H54" i="22"/>
  <c r="F53" i="22"/>
  <c r="J37" i="22"/>
  <c r="J36" i="22"/>
  <c r="J35" i="22"/>
  <c r="J34" i="22"/>
  <c r="J33" i="22"/>
  <c r="J31" i="22"/>
  <c r="F64" i="22"/>
  <c r="P9" i="22"/>
  <c r="R7" i="20"/>
  <c r="X50" i="34" l="1"/>
  <c r="X23" i="34"/>
  <c r="Z23" i="34" s="1"/>
  <c r="X44" i="34"/>
  <c r="Z44" i="34" s="1"/>
  <c r="S14" i="34"/>
  <c r="U14" i="34" s="1"/>
  <c r="S31" i="34"/>
  <c r="U31" i="34" s="1"/>
  <c r="X18" i="34"/>
  <c r="Z18" i="34" s="1"/>
  <c r="X13" i="34"/>
  <c r="Z13" i="34" s="1"/>
  <c r="X14" i="34"/>
  <c r="Z14" i="34" s="1"/>
  <c r="X42" i="34"/>
  <c r="Z42" i="34" s="1"/>
  <c r="X16" i="34"/>
  <c r="Z16" i="34" s="1"/>
  <c r="S42" i="34"/>
  <c r="U42" i="34" s="1"/>
  <c r="S44" i="34"/>
  <c r="U44" i="34" s="1"/>
  <c r="S27" i="34"/>
  <c r="U27" i="34" s="1"/>
  <c r="S28" i="34"/>
  <c r="U28" i="34" s="1"/>
  <c r="S47" i="34"/>
  <c r="U47" i="34" s="1"/>
  <c r="S29" i="34"/>
  <c r="U29" i="34" s="1"/>
  <c r="S13" i="34"/>
  <c r="U13" i="34" s="1"/>
  <c r="S26" i="34"/>
  <c r="U26" i="34" s="1"/>
  <c r="S16" i="34"/>
  <c r="U16" i="34" s="1"/>
  <c r="S49" i="34"/>
  <c r="U49" i="34" s="1"/>
  <c r="S41" i="34"/>
  <c r="U41" i="34" s="1"/>
  <c r="S48" i="34"/>
  <c r="U48" i="34" s="1"/>
  <c r="S50" i="34"/>
  <c r="S25" i="34"/>
  <c r="U25" i="34" s="1"/>
  <c r="U32" i="34"/>
  <c r="S4" i="26"/>
  <c r="R33" i="24"/>
  <c r="T33" i="24" s="1"/>
  <c r="R34" i="24"/>
  <c r="T34" i="24" s="1"/>
  <c r="R37" i="24"/>
  <c r="T37" i="24" s="1"/>
  <c r="R38" i="24"/>
  <c r="T38" i="24" s="1"/>
  <c r="R35" i="24"/>
  <c r="T35" i="24" s="1"/>
  <c r="R36" i="24"/>
  <c r="T36" i="24" s="1"/>
  <c r="R39" i="24"/>
  <c r="T39" i="24" s="1"/>
  <c r="S41" i="24"/>
  <c r="U41" i="24" s="1"/>
  <c r="H72" i="22"/>
  <c r="S24" i="24" s="1"/>
  <c r="H70" i="22"/>
  <c r="S11" i="24" s="1"/>
  <c r="S50" i="24" s="1"/>
  <c r="H74" i="22"/>
  <c r="S45" i="24" s="1"/>
  <c r="S7" i="26"/>
  <c r="U19" i="35"/>
  <c r="W20" i="35"/>
  <c r="Y20" i="35" s="1"/>
  <c r="Y19" i="35" s="1"/>
  <c r="M20" i="35"/>
  <c r="O20" i="35" s="1"/>
  <c r="O19" i="35" s="1"/>
  <c r="I10" i="35"/>
  <c r="K10" i="35" s="1"/>
  <c r="N10" i="35"/>
  <c r="P10" i="35" s="1"/>
  <c r="S10" i="35"/>
  <c r="U10" i="35" s="1"/>
  <c r="X10" i="35"/>
  <c r="Z10" i="35" s="1"/>
  <c r="AC10" i="35"/>
  <c r="AE10" i="35" s="1"/>
  <c r="AH10" i="35"/>
  <c r="AJ10" i="35" s="1"/>
  <c r="AM10" i="35"/>
  <c r="AO10" i="35" s="1"/>
  <c r="AR10" i="35"/>
  <c r="AT10" i="35" s="1"/>
  <c r="W10" i="35"/>
  <c r="Y10" i="35" s="1"/>
  <c r="AQ10" i="35"/>
  <c r="AS10" i="35" s="1"/>
  <c r="H10" i="35"/>
  <c r="J10" i="35" s="1"/>
  <c r="AB10" i="35"/>
  <c r="AD10" i="35" s="1"/>
  <c r="M10" i="35"/>
  <c r="O10" i="35" s="1"/>
  <c r="AG10" i="35"/>
  <c r="AI10" i="35" s="1"/>
  <c r="R10" i="35"/>
  <c r="T10" i="35" s="1"/>
  <c r="AL10" i="35"/>
  <c r="AN10" i="35" s="1"/>
  <c r="Z19" i="35"/>
  <c r="I29" i="35"/>
  <c r="K29" i="35" s="1"/>
  <c r="N29" i="35"/>
  <c r="P29" i="35" s="1"/>
  <c r="S29" i="35"/>
  <c r="U29" i="35" s="1"/>
  <c r="X29" i="35"/>
  <c r="Z29" i="35" s="1"/>
  <c r="AC29" i="35"/>
  <c r="AE29" i="35" s="1"/>
  <c r="AH29" i="35"/>
  <c r="AJ29" i="35" s="1"/>
  <c r="AM29" i="35"/>
  <c r="AO29" i="35" s="1"/>
  <c r="AR29" i="35"/>
  <c r="AT29" i="35" s="1"/>
  <c r="H29" i="35"/>
  <c r="J29" i="35" s="1"/>
  <c r="R29" i="35"/>
  <c r="T29" i="35" s="1"/>
  <c r="AB29" i="35"/>
  <c r="AD29" i="35" s="1"/>
  <c r="AL29" i="35"/>
  <c r="AN29" i="35" s="1"/>
  <c r="AG29" i="35"/>
  <c r="AI29" i="35" s="1"/>
  <c r="M29" i="35"/>
  <c r="O29" i="35" s="1"/>
  <c r="W29" i="35"/>
  <c r="Y29" i="35" s="1"/>
  <c r="AQ29" i="35"/>
  <c r="AS29" i="35" s="1"/>
  <c r="AN12" i="35"/>
  <c r="AI12" i="35"/>
  <c r="I8" i="35"/>
  <c r="K8" i="35" s="1"/>
  <c r="N8" i="35"/>
  <c r="P8" i="35" s="1"/>
  <c r="S8" i="35"/>
  <c r="U8" i="35" s="1"/>
  <c r="X8" i="35"/>
  <c r="Z8" i="35" s="1"/>
  <c r="AC8" i="35"/>
  <c r="AE8" i="35" s="1"/>
  <c r="AH8" i="35"/>
  <c r="AJ8" i="35" s="1"/>
  <c r="AM8" i="35"/>
  <c r="AO8" i="35" s="1"/>
  <c r="AR8" i="35"/>
  <c r="AT8" i="35" s="1"/>
  <c r="M8" i="35"/>
  <c r="O8" i="35" s="1"/>
  <c r="AG8" i="35"/>
  <c r="AI8" i="35" s="1"/>
  <c r="R8" i="35"/>
  <c r="T8" i="35" s="1"/>
  <c r="AL8" i="35"/>
  <c r="AN8" i="35" s="1"/>
  <c r="W8" i="35"/>
  <c r="Y8" i="35" s="1"/>
  <c r="AQ8" i="35"/>
  <c r="AS8" i="35" s="1"/>
  <c r="H8" i="35"/>
  <c r="J8" i="35" s="1"/>
  <c r="AB8" i="35"/>
  <c r="AD8" i="35" s="1"/>
  <c r="I4" i="35"/>
  <c r="K4" i="35" s="1"/>
  <c r="N4" i="35"/>
  <c r="P4" i="35" s="1"/>
  <c r="S4" i="35"/>
  <c r="U4" i="35" s="1"/>
  <c r="X4" i="35"/>
  <c r="Z4" i="35" s="1"/>
  <c r="AC4" i="35"/>
  <c r="AE4" i="35" s="1"/>
  <c r="AG4" i="35"/>
  <c r="F11" i="35"/>
  <c r="AH4" i="35"/>
  <c r="AJ4" i="35" s="1"/>
  <c r="AL4" i="35"/>
  <c r="AQ4" i="35"/>
  <c r="AS4" i="35" s="1"/>
  <c r="AM4" i="35"/>
  <c r="AO4" i="35" s="1"/>
  <c r="AR4" i="35"/>
  <c r="AT4" i="35" s="1"/>
  <c r="W4" i="35"/>
  <c r="Y4" i="35" s="1"/>
  <c r="H4" i="35"/>
  <c r="AB4" i="35"/>
  <c r="AD4" i="35" s="1"/>
  <c r="M4" i="35"/>
  <c r="O4" i="35" s="1"/>
  <c r="R4" i="35"/>
  <c r="T4" i="35" s="1"/>
  <c r="AN20" i="35"/>
  <c r="AN19" i="35" s="1"/>
  <c r="AK20" i="35"/>
  <c r="I28" i="35"/>
  <c r="K28" i="35" s="1"/>
  <c r="N28" i="35"/>
  <c r="P28" i="35" s="1"/>
  <c r="S28" i="35"/>
  <c r="U28" i="35" s="1"/>
  <c r="X28" i="35"/>
  <c r="Z28" i="35" s="1"/>
  <c r="AC28" i="35"/>
  <c r="AE28" i="35" s="1"/>
  <c r="AH28" i="35"/>
  <c r="AJ28" i="35" s="1"/>
  <c r="AM28" i="35"/>
  <c r="AO28" i="35" s="1"/>
  <c r="AR28" i="35"/>
  <c r="AT28" i="35" s="1"/>
  <c r="H28" i="35"/>
  <c r="J28" i="35" s="1"/>
  <c r="R28" i="35"/>
  <c r="T28" i="35" s="1"/>
  <c r="AB28" i="35"/>
  <c r="AD28" i="35" s="1"/>
  <c r="AL28" i="35"/>
  <c r="AN28" i="35" s="1"/>
  <c r="M28" i="35"/>
  <c r="O28" i="35" s="1"/>
  <c r="W28" i="35"/>
  <c r="Y28" i="35" s="1"/>
  <c r="AG28" i="35"/>
  <c r="AI28" i="35" s="1"/>
  <c r="AQ28" i="35"/>
  <c r="AS28" i="35" s="1"/>
  <c r="AI20" i="35"/>
  <c r="AI19" i="35" s="1"/>
  <c r="AF20" i="35"/>
  <c r="AE32" i="35"/>
  <c r="I42" i="35"/>
  <c r="K42" i="35" s="1"/>
  <c r="N42" i="35"/>
  <c r="P42" i="35" s="1"/>
  <c r="S42" i="35"/>
  <c r="U42" i="35" s="1"/>
  <c r="X42" i="35"/>
  <c r="Z42" i="35" s="1"/>
  <c r="AC42" i="35"/>
  <c r="AE42" i="35" s="1"/>
  <c r="AH42" i="35"/>
  <c r="AJ42" i="35" s="1"/>
  <c r="AM42" i="35"/>
  <c r="AO42" i="35" s="1"/>
  <c r="AR42" i="35"/>
  <c r="AT42" i="35" s="1"/>
  <c r="R42" i="35"/>
  <c r="T42" i="35" s="1"/>
  <c r="AL42" i="35"/>
  <c r="AN42" i="35" s="1"/>
  <c r="H42" i="35"/>
  <c r="J42" i="35" s="1"/>
  <c r="AB42" i="35"/>
  <c r="AD42" i="35" s="1"/>
  <c r="M42" i="35"/>
  <c r="O42" i="35" s="1"/>
  <c r="W42" i="35"/>
  <c r="Y42" i="35" s="1"/>
  <c r="AQ42" i="35"/>
  <c r="AS42" i="35" s="1"/>
  <c r="AG42" i="35"/>
  <c r="AI42" i="35" s="1"/>
  <c r="G33" i="35"/>
  <c r="AB43" i="35"/>
  <c r="AD43" i="35" s="1"/>
  <c r="I46" i="35"/>
  <c r="K46" i="35" s="1"/>
  <c r="N46" i="35"/>
  <c r="P46" i="35" s="1"/>
  <c r="S46" i="35"/>
  <c r="U46" i="35" s="1"/>
  <c r="X46" i="35"/>
  <c r="Z46" i="35" s="1"/>
  <c r="AC46" i="35"/>
  <c r="AE46" i="35" s="1"/>
  <c r="AG46" i="35"/>
  <c r="AH46" i="35"/>
  <c r="AJ46" i="35" s="1"/>
  <c r="AL46" i="35"/>
  <c r="AQ46" i="35"/>
  <c r="AS46" i="35" s="1"/>
  <c r="AM46" i="35"/>
  <c r="AO46" i="35" s="1"/>
  <c r="AR46" i="35"/>
  <c r="AT46" i="35" s="1"/>
  <c r="W46" i="35"/>
  <c r="Y46" i="35" s="1"/>
  <c r="M46" i="35"/>
  <c r="O46" i="35" s="1"/>
  <c r="R46" i="35"/>
  <c r="T46" i="35" s="1"/>
  <c r="H46" i="35"/>
  <c r="AB46" i="35"/>
  <c r="AD46" i="35" s="1"/>
  <c r="I13" i="35"/>
  <c r="K13" i="35" s="1"/>
  <c r="N13" i="35"/>
  <c r="P13" i="35" s="1"/>
  <c r="P11" i="35" s="1"/>
  <c r="S13" i="35"/>
  <c r="U13" i="35" s="1"/>
  <c r="X13" i="35"/>
  <c r="Z13" i="35" s="1"/>
  <c r="Z11" i="35" s="1"/>
  <c r="AC13" i="35"/>
  <c r="AE13" i="35" s="1"/>
  <c r="AH13" i="35"/>
  <c r="AJ13" i="35" s="1"/>
  <c r="AJ11" i="35" s="1"/>
  <c r="AM13" i="35"/>
  <c r="AO13" i="35" s="1"/>
  <c r="AO11" i="35" s="1"/>
  <c r="M13" i="35"/>
  <c r="O13" i="35" s="1"/>
  <c r="AG13" i="35"/>
  <c r="AI13" i="35" s="1"/>
  <c r="H13" i="35"/>
  <c r="J13" i="35" s="1"/>
  <c r="AB13" i="35"/>
  <c r="AD13" i="35" s="1"/>
  <c r="AD11" i="35" s="1"/>
  <c r="W13" i="35"/>
  <c r="Y13" i="35" s="1"/>
  <c r="Y11" i="35" s="1"/>
  <c r="AQ13" i="35"/>
  <c r="AS13" i="35" s="1"/>
  <c r="AS11" i="35" s="1"/>
  <c r="AL13" i="35"/>
  <c r="AN13" i="35" s="1"/>
  <c r="R13" i="35"/>
  <c r="T13" i="35" s="1"/>
  <c r="AR13" i="35"/>
  <c r="AT13" i="35" s="1"/>
  <c r="H9" i="35"/>
  <c r="J9" i="35" s="1"/>
  <c r="M9" i="35"/>
  <c r="O9" i="35" s="1"/>
  <c r="R9" i="35"/>
  <c r="T9" i="35" s="1"/>
  <c r="W9" i="35"/>
  <c r="Y9" i="35" s="1"/>
  <c r="AB9" i="35"/>
  <c r="AD9" i="35" s="1"/>
  <c r="AG9" i="35"/>
  <c r="AI9" i="35" s="1"/>
  <c r="AL9" i="35"/>
  <c r="AN9" i="35" s="1"/>
  <c r="AQ9" i="35"/>
  <c r="AS9" i="35" s="1"/>
  <c r="I9" i="35"/>
  <c r="K9" i="35" s="1"/>
  <c r="N9" i="35"/>
  <c r="P9" i="35" s="1"/>
  <c r="S9" i="35"/>
  <c r="U9" i="35" s="1"/>
  <c r="X9" i="35"/>
  <c r="Z9" i="35" s="1"/>
  <c r="AC9" i="35"/>
  <c r="AE9" i="35" s="1"/>
  <c r="AH9" i="35"/>
  <c r="AJ9" i="35" s="1"/>
  <c r="AM9" i="35"/>
  <c r="AO9" i="35" s="1"/>
  <c r="AR9" i="35"/>
  <c r="AT9" i="35" s="1"/>
  <c r="P19" i="35"/>
  <c r="R20" i="35"/>
  <c r="T20" i="35" s="1"/>
  <c r="T19" i="35" s="1"/>
  <c r="I26" i="35"/>
  <c r="K26" i="35" s="1"/>
  <c r="N26" i="35"/>
  <c r="P26" i="35" s="1"/>
  <c r="S26" i="35"/>
  <c r="U26" i="35" s="1"/>
  <c r="X26" i="35"/>
  <c r="Z26" i="35" s="1"/>
  <c r="AC26" i="35"/>
  <c r="AE26" i="35" s="1"/>
  <c r="AH26" i="35"/>
  <c r="AJ26" i="35" s="1"/>
  <c r="AM26" i="35"/>
  <c r="AO26" i="35" s="1"/>
  <c r="AR26" i="35"/>
  <c r="AT26" i="35" s="1"/>
  <c r="M26" i="35"/>
  <c r="O26" i="35" s="1"/>
  <c r="AG26" i="35"/>
  <c r="AI26" i="35" s="1"/>
  <c r="R26" i="35"/>
  <c r="T26" i="35" s="1"/>
  <c r="AL26" i="35"/>
  <c r="AN26" i="35" s="1"/>
  <c r="W26" i="35"/>
  <c r="Y26" i="35" s="1"/>
  <c r="AQ26" i="35"/>
  <c r="AS26" i="35" s="1"/>
  <c r="AB26" i="35"/>
  <c r="AD26" i="35" s="1"/>
  <c r="H26" i="35"/>
  <c r="J26" i="35" s="1"/>
  <c r="I49" i="35"/>
  <c r="K49" i="35" s="1"/>
  <c r="N49" i="35"/>
  <c r="P49" i="35" s="1"/>
  <c r="S49" i="35"/>
  <c r="U49" i="35" s="1"/>
  <c r="X49" i="35"/>
  <c r="Z49" i="35" s="1"/>
  <c r="AC49" i="35"/>
  <c r="AE49" i="35" s="1"/>
  <c r="AH49" i="35"/>
  <c r="AJ49" i="35" s="1"/>
  <c r="AM49" i="35"/>
  <c r="AO49" i="35" s="1"/>
  <c r="AR49" i="35"/>
  <c r="AT49" i="35" s="1"/>
  <c r="H49" i="35"/>
  <c r="J49" i="35" s="1"/>
  <c r="AL49" i="35"/>
  <c r="AN49" i="35" s="1"/>
  <c r="M49" i="35"/>
  <c r="O49" i="35" s="1"/>
  <c r="W49" i="35"/>
  <c r="Y49" i="35" s="1"/>
  <c r="AG49" i="35"/>
  <c r="AI49" i="35" s="1"/>
  <c r="AQ49" i="35"/>
  <c r="AS49" i="35" s="1"/>
  <c r="AB49" i="35"/>
  <c r="AD49" i="35" s="1"/>
  <c r="R49" i="35"/>
  <c r="T49" i="35" s="1"/>
  <c r="AS19" i="35"/>
  <c r="P32" i="35"/>
  <c r="I48" i="35"/>
  <c r="K48" i="35" s="1"/>
  <c r="N48" i="35"/>
  <c r="P48" i="35" s="1"/>
  <c r="S48" i="35"/>
  <c r="U48" i="35" s="1"/>
  <c r="X48" i="35"/>
  <c r="Z48" i="35" s="1"/>
  <c r="AC48" i="35"/>
  <c r="AE48" i="35" s="1"/>
  <c r="AH48" i="35"/>
  <c r="AJ48" i="35" s="1"/>
  <c r="AM48" i="35"/>
  <c r="AO48" i="35" s="1"/>
  <c r="AR48" i="35"/>
  <c r="AT48" i="35" s="1"/>
  <c r="M48" i="35"/>
  <c r="O48" i="35" s="1"/>
  <c r="W48" i="35"/>
  <c r="Y48" i="35" s="1"/>
  <c r="AG48" i="35"/>
  <c r="AI48" i="35" s="1"/>
  <c r="AQ48" i="35"/>
  <c r="AS48" i="35" s="1"/>
  <c r="H48" i="35"/>
  <c r="J48" i="35" s="1"/>
  <c r="R48" i="35"/>
  <c r="T48" i="35" s="1"/>
  <c r="AB48" i="35"/>
  <c r="AD48" i="35" s="1"/>
  <c r="AL48" i="35"/>
  <c r="AN48" i="35" s="1"/>
  <c r="H43" i="35"/>
  <c r="J43" i="35" s="1"/>
  <c r="I43" i="35"/>
  <c r="K43" i="35" s="1"/>
  <c r="AC43" i="35"/>
  <c r="AE43" i="35" s="1"/>
  <c r="S43" i="35"/>
  <c r="U43" i="35" s="1"/>
  <c r="AM43" i="35"/>
  <c r="AO43" i="35" s="1"/>
  <c r="N43" i="35"/>
  <c r="P43" i="35" s="1"/>
  <c r="AH43" i="35"/>
  <c r="AJ43" i="35" s="1"/>
  <c r="X43" i="35"/>
  <c r="Z43" i="35" s="1"/>
  <c r="AR43" i="35"/>
  <c r="AT43" i="35" s="1"/>
  <c r="J32" i="35"/>
  <c r="K11" i="35"/>
  <c r="H6" i="35"/>
  <c r="J6" i="35" s="1"/>
  <c r="M6" i="35"/>
  <c r="O6" i="35" s="1"/>
  <c r="R6" i="35"/>
  <c r="T6" i="35" s="1"/>
  <c r="W6" i="35"/>
  <c r="Y6" i="35" s="1"/>
  <c r="AB6" i="35"/>
  <c r="AD6" i="35" s="1"/>
  <c r="AG6" i="35"/>
  <c r="AI6" i="35" s="1"/>
  <c r="AL6" i="35"/>
  <c r="AN6" i="35" s="1"/>
  <c r="AQ6" i="35"/>
  <c r="AS6" i="35" s="1"/>
  <c r="X6" i="35"/>
  <c r="Z6" i="35" s="1"/>
  <c r="AR6" i="35"/>
  <c r="AT6" i="35" s="1"/>
  <c r="I6" i="35"/>
  <c r="K6" i="35" s="1"/>
  <c r="AC6" i="35"/>
  <c r="AE6" i="35" s="1"/>
  <c r="N6" i="35"/>
  <c r="P6" i="35" s="1"/>
  <c r="AH6" i="35"/>
  <c r="AJ6" i="35" s="1"/>
  <c r="S6" i="35"/>
  <c r="U6" i="35" s="1"/>
  <c r="AM6" i="35"/>
  <c r="AO6" i="35" s="1"/>
  <c r="I30" i="35"/>
  <c r="K30" i="35" s="1"/>
  <c r="N30" i="35"/>
  <c r="P30" i="35" s="1"/>
  <c r="S30" i="35"/>
  <c r="U30" i="35" s="1"/>
  <c r="X30" i="35"/>
  <c r="Z30" i="35" s="1"/>
  <c r="AC30" i="35"/>
  <c r="AE30" i="35" s="1"/>
  <c r="AH30" i="35"/>
  <c r="AJ30" i="35" s="1"/>
  <c r="AM30" i="35"/>
  <c r="AO30" i="35" s="1"/>
  <c r="AR30" i="35"/>
  <c r="AT30" i="35" s="1"/>
  <c r="M30" i="35"/>
  <c r="O30" i="35" s="1"/>
  <c r="AG30" i="35"/>
  <c r="AI30" i="35" s="1"/>
  <c r="AB30" i="35"/>
  <c r="AD30" i="35" s="1"/>
  <c r="H30" i="35"/>
  <c r="J30" i="35" s="1"/>
  <c r="W30" i="35"/>
  <c r="Y30" i="35" s="1"/>
  <c r="AQ30" i="35"/>
  <c r="AS30" i="35" s="1"/>
  <c r="R30" i="35"/>
  <c r="T30" i="35" s="1"/>
  <c r="AL30" i="35"/>
  <c r="AN30" i="35" s="1"/>
  <c r="H44" i="35"/>
  <c r="J44" i="35" s="1"/>
  <c r="M44" i="35"/>
  <c r="O44" i="35" s="1"/>
  <c r="R44" i="35"/>
  <c r="T44" i="35" s="1"/>
  <c r="W44" i="35"/>
  <c r="Y44" i="35" s="1"/>
  <c r="AB44" i="35"/>
  <c r="AD44" i="35" s="1"/>
  <c r="AG44" i="35"/>
  <c r="AI44" i="35" s="1"/>
  <c r="AL44" i="35"/>
  <c r="AN44" i="35" s="1"/>
  <c r="AQ44" i="35"/>
  <c r="AS44" i="35" s="1"/>
  <c r="I44" i="35"/>
  <c r="K44" i="35" s="1"/>
  <c r="N44" i="35"/>
  <c r="P44" i="35" s="1"/>
  <c r="S44" i="35"/>
  <c r="U44" i="35" s="1"/>
  <c r="X44" i="35"/>
  <c r="Z44" i="35" s="1"/>
  <c r="AC44" i="35"/>
  <c r="AE44" i="35" s="1"/>
  <c r="AH44" i="35"/>
  <c r="AJ44" i="35" s="1"/>
  <c r="AM44" i="35"/>
  <c r="AO44" i="35" s="1"/>
  <c r="AR44" i="35"/>
  <c r="AT44" i="35" s="1"/>
  <c r="H14" i="35"/>
  <c r="J14" i="35" s="1"/>
  <c r="M14" i="35"/>
  <c r="O14" i="35" s="1"/>
  <c r="R14" i="35"/>
  <c r="T14" i="35" s="1"/>
  <c r="T11" i="35" s="1"/>
  <c r="W14" i="35"/>
  <c r="Y14" i="35" s="1"/>
  <c r="AB14" i="35"/>
  <c r="AD14" i="35" s="1"/>
  <c r="AG14" i="35"/>
  <c r="AI14" i="35" s="1"/>
  <c r="AL14" i="35"/>
  <c r="AN14" i="35" s="1"/>
  <c r="AQ14" i="35"/>
  <c r="AS14" i="35" s="1"/>
  <c r="I14" i="35"/>
  <c r="K14" i="35" s="1"/>
  <c r="N14" i="35"/>
  <c r="P14" i="35" s="1"/>
  <c r="S14" i="35"/>
  <c r="U14" i="35" s="1"/>
  <c r="U11" i="35" s="1"/>
  <c r="X14" i="35"/>
  <c r="Z14" i="35" s="1"/>
  <c r="AC14" i="35"/>
  <c r="AE14" i="35" s="1"/>
  <c r="AE11" i="35" s="1"/>
  <c r="AH14" i="35"/>
  <c r="AJ14" i="35" s="1"/>
  <c r="AM14" i="35"/>
  <c r="AO14" i="35" s="1"/>
  <c r="AR14" i="35"/>
  <c r="AT14" i="35" s="1"/>
  <c r="AT11" i="35" s="1"/>
  <c r="O11" i="35"/>
  <c r="J11" i="35"/>
  <c r="I5" i="35"/>
  <c r="K5" i="35" s="1"/>
  <c r="N5" i="35"/>
  <c r="P5" i="35" s="1"/>
  <c r="S5" i="35"/>
  <c r="U5" i="35" s="1"/>
  <c r="X5" i="35"/>
  <c r="Z5" i="35" s="1"/>
  <c r="AC5" i="35"/>
  <c r="AE5" i="35" s="1"/>
  <c r="AH5" i="35"/>
  <c r="AJ5" i="35" s="1"/>
  <c r="AM5" i="35"/>
  <c r="AO5" i="35" s="1"/>
  <c r="AR5" i="35"/>
  <c r="AT5" i="35" s="1"/>
  <c r="M5" i="35"/>
  <c r="O5" i="35" s="1"/>
  <c r="AG5" i="35"/>
  <c r="AI5" i="35" s="1"/>
  <c r="R5" i="35"/>
  <c r="T5" i="35" s="1"/>
  <c r="AL5" i="35"/>
  <c r="AN5" i="35" s="1"/>
  <c r="W5" i="35"/>
  <c r="Y5" i="35" s="1"/>
  <c r="AQ5" i="35"/>
  <c r="AS5" i="35" s="1"/>
  <c r="H5" i="35"/>
  <c r="J5" i="35" s="1"/>
  <c r="AB5" i="35"/>
  <c r="AD5" i="35" s="1"/>
  <c r="H7" i="35"/>
  <c r="J7" i="35" s="1"/>
  <c r="M7" i="35"/>
  <c r="O7" i="35" s="1"/>
  <c r="R7" i="35"/>
  <c r="T7" i="35" s="1"/>
  <c r="W7" i="35"/>
  <c r="Y7" i="35" s="1"/>
  <c r="AB7" i="35"/>
  <c r="AD7" i="35" s="1"/>
  <c r="AG7" i="35"/>
  <c r="AI7" i="35" s="1"/>
  <c r="AL7" i="35"/>
  <c r="AN7" i="35" s="1"/>
  <c r="AQ7" i="35"/>
  <c r="AS7" i="35" s="1"/>
  <c r="I7" i="35"/>
  <c r="K7" i="35" s="1"/>
  <c r="N7" i="35"/>
  <c r="P7" i="35" s="1"/>
  <c r="S7" i="35"/>
  <c r="U7" i="35" s="1"/>
  <c r="X7" i="35"/>
  <c r="Z7" i="35" s="1"/>
  <c r="AC7" i="35"/>
  <c r="AE7" i="35" s="1"/>
  <c r="AH7" i="35"/>
  <c r="AJ7" i="35" s="1"/>
  <c r="AM7" i="35"/>
  <c r="AO7" i="35" s="1"/>
  <c r="AR7" i="35"/>
  <c r="AT7" i="35" s="1"/>
  <c r="AE19" i="35"/>
  <c r="J20" i="35"/>
  <c r="J19" i="35" s="1"/>
  <c r="G20" i="35"/>
  <c r="R31" i="35"/>
  <c r="T31" i="35" s="1"/>
  <c r="X31" i="35"/>
  <c r="Z31" i="35" s="1"/>
  <c r="AL31" i="35"/>
  <c r="AN31" i="35" s="1"/>
  <c r="AR31" i="35"/>
  <c r="AT31" i="35" s="1"/>
  <c r="M31" i="35"/>
  <c r="O31" i="35" s="1"/>
  <c r="S31" i="35"/>
  <c r="U31" i="35" s="1"/>
  <c r="AG31" i="35"/>
  <c r="AI31" i="35" s="1"/>
  <c r="AM31" i="35"/>
  <c r="AO31" i="35" s="1"/>
  <c r="H31" i="35"/>
  <c r="J31" i="35" s="1"/>
  <c r="N31" i="35"/>
  <c r="P31" i="35" s="1"/>
  <c r="AB31" i="35"/>
  <c r="AD31" i="35" s="1"/>
  <c r="AH31" i="35"/>
  <c r="AJ31" i="35" s="1"/>
  <c r="W31" i="35"/>
  <c r="Y31" i="35" s="1"/>
  <c r="I31" i="35"/>
  <c r="K31" i="35" s="1"/>
  <c r="AC31" i="35"/>
  <c r="AE31" i="35" s="1"/>
  <c r="AQ31" i="35"/>
  <c r="AS31" i="35" s="1"/>
  <c r="I25" i="35"/>
  <c r="K25" i="35" s="1"/>
  <c r="K24" i="35" s="1"/>
  <c r="K19" i="35" s="1"/>
  <c r="N25" i="35"/>
  <c r="P25" i="35" s="1"/>
  <c r="P24" i="35" s="1"/>
  <c r="S25" i="35"/>
  <c r="U25" i="35" s="1"/>
  <c r="X25" i="35"/>
  <c r="Z25" i="35" s="1"/>
  <c r="AC25" i="35"/>
  <c r="AE25" i="35" s="1"/>
  <c r="AE24" i="35" s="1"/>
  <c r="AG25" i="35"/>
  <c r="AH25" i="35"/>
  <c r="AJ25" i="35" s="1"/>
  <c r="AJ24" i="35" s="1"/>
  <c r="AL25" i="35"/>
  <c r="AQ25" i="35"/>
  <c r="AS25" i="35" s="1"/>
  <c r="AS24" i="35" s="1"/>
  <c r="AM25" i="35"/>
  <c r="AO25" i="35" s="1"/>
  <c r="AO24" i="35" s="1"/>
  <c r="AR25" i="35"/>
  <c r="AT25" i="35" s="1"/>
  <c r="AT24" i="35" s="1"/>
  <c r="W25" i="35"/>
  <c r="Y25" i="35" s="1"/>
  <c r="H25" i="35"/>
  <c r="AB25" i="35"/>
  <c r="AD25" i="35" s="1"/>
  <c r="AD24" i="35" s="1"/>
  <c r="M25" i="35"/>
  <c r="O25" i="35" s="1"/>
  <c r="R25" i="35"/>
  <c r="T25" i="35" s="1"/>
  <c r="U32" i="35"/>
  <c r="AO32" i="35"/>
  <c r="W43" i="35"/>
  <c r="Y43" i="35" s="1"/>
  <c r="AG43" i="35"/>
  <c r="AI43" i="35" s="1"/>
  <c r="I41" i="35"/>
  <c r="K41" i="35" s="1"/>
  <c r="N41" i="35"/>
  <c r="P41" i="35" s="1"/>
  <c r="P40" i="35" s="1"/>
  <c r="S41" i="35"/>
  <c r="U41" i="35" s="1"/>
  <c r="U40" i="35" s="1"/>
  <c r="X41" i="35"/>
  <c r="Z41" i="35" s="1"/>
  <c r="Z40" i="35" s="1"/>
  <c r="AC41" i="35"/>
  <c r="AE41" i="35" s="1"/>
  <c r="AE40" i="35" s="1"/>
  <c r="AG41" i="35"/>
  <c r="AH41" i="35"/>
  <c r="AJ41" i="35" s="1"/>
  <c r="AJ40" i="35" s="1"/>
  <c r="AL41" i="35"/>
  <c r="AQ41" i="35"/>
  <c r="AS41" i="35" s="1"/>
  <c r="AS40" i="35" s="1"/>
  <c r="AM41" i="35"/>
  <c r="AO41" i="35" s="1"/>
  <c r="AO40" i="35" s="1"/>
  <c r="AR41" i="35"/>
  <c r="AT41" i="35" s="1"/>
  <c r="AT40" i="35" s="1"/>
  <c r="H41" i="35"/>
  <c r="AB41" i="35"/>
  <c r="AD41" i="35" s="1"/>
  <c r="AD40" i="35" s="1"/>
  <c r="R41" i="35"/>
  <c r="T41" i="35" s="1"/>
  <c r="M41" i="35"/>
  <c r="O41" i="35" s="1"/>
  <c r="O40" i="35" s="1"/>
  <c r="W41" i="35"/>
  <c r="Y41" i="35" s="1"/>
  <c r="Y40" i="35" s="1"/>
  <c r="R43" i="35"/>
  <c r="T43" i="35" s="1"/>
  <c r="P45" i="34"/>
  <c r="I10" i="34"/>
  <c r="K10" i="34" s="1"/>
  <c r="N10" i="34"/>
  <c r="P10" i="34" s="1"/>
  <c r="S10" i="34"/>
  <c r="U10" i="34" s="1"/>
  <c r="X10" i="34"/>
  <c r="Z10" i="34" s="1"/>
  <c r="AR10" i="34"/>
  <c r="AT10" i="34" s="1"/>
  <c r="AQ10" i="34"/>
  <c r="AS10" i="34" s="1"/>
  <c r="H10" i="34"/>
  <c r="J10" i="34" s="1"/>
  <c r="M10" i="34"/>
  <c r="O10" i="34" s="1"/>
  <c r="AF33" i="34"/>
  <c r="AI33" i="34"/>
  <c r="AI32" i="34" s="1"/>
  <c r="J41" i="34"/>
  <c r="I8" i="34"/>
  <c r="K8" i="34" s="1"/>
  <c r="N8" i="34"/>
  <c r="P8" i="34" s="1"/>
  <c r="S8" i="34"/>
  <c r="U8" i="34" s="1"/>
  <c r="X8" i="34"/>
  <c r="Z8" i="34" s="1"/>
  <c r="AR8" i="34"/>
  <c r="AT8" i="34" s="1"/>
  <c r="M8" i="34"/>
  <c r="O8" i="34" s="1"/>
  <c r="AQ8" i="34"/>
  <c r="AS8" i="34" s="1"/>
  <c r="H8" i="34"/>
  <c r="J8" i="34" s="1"/>
  <c r="I4" i="34"/>
  <c r="K4" i="34" s="1"/>
  <c r="N4" i="34"/>
  <c r="P4" i="34" s="1"/>
  <c r="S4" i="34"/>
  <c r="U4" i="34" s="1"/>
  <c r="X4" i="34"/>
  <c r="Z4" i="34" s="1"/>
  <c r="F11" i="34"/>
  <c r="AQ4" i="34"/>
  <c r="AS4" i="34" s="1"/>
  <c r="AR4" i="34"/>
  <c r="AT4" i="34" s="1"/>
  <c r="H4" i="34"/>
  <c r="M4" i="34"/>
  <c r="O4" i="34" s="1"/>
  <c r="I20" i="34"/>
  <c r="K20" i="34" s="1"/>
  <c r="N20" i="34"/>
  <c r="P20" i="34" s="1"/>
  <c r="S20" i="34"/>
  <c r="U20" i="34" s="1"/>
  <c r="X20" i="34"/>
  <c r="Z20" i="34" s="1"/>
  <c r="AQ20" i="34"/>
  <c r="AS20" i="34" s="1"/>
  <c r="AR20" i="34"/>
  <c r="AT20" i="34" s="1"/>
  <c r="H20" i="34"/>
  <c r="P24" i="34"/>
  <c r="G33" i="34"/>
  <c r="T32" i="34"/>
  <c r="H6" i="34"/>
  <c r="J6" i="34" s="1"/>
  <c r="M6" i="34"/>
  <c r="O6" i="34" s="1"/>
  <c r="AQ6" i="34"/>
  <c r="AS6" i="34" s="1"/>
  <c r="X6" i="34"/>
  <c r="Z6" i="34" s="1"/>
  <c r="AR6" i="34"/>
  <c r="AT6" i="34" s="1"/>
  <c r="I6" i="34"/>
  <c r="K6" i="34" s="1"/>
  <c r="N6" i="34"/>
  <c r="P6" i="34" s="1"/>
  <c r="S6" i="34"/>
  <c r="U6" i="34" s="1"/>
  <c r="Z24" i="34"/>
  <c r="Y32" i="34"/>
  <c r="I15" i="34"/>
  <c r="K15" i="34" s="1"/>
  <c r="K11" i="34" s="1"/>
  <c r="N15" i="34"/>
  <c r="P15" i="34" s="1"/>
  <c r="P11" i="34" s="1"/>
  <c r="S15" i="34"/>
  <c r="U15" i="34" s="1"/>
  <c r="X15" i="34"/>
  <c r="Z15" i="34" s="1"/>
  <c r="M15" i="34"/>
  <c r="O15" i="34" s="1"/>
  <c r="O11" i="34" s="1"/>
  <c r="AR15" i="34"/>
  <c r="AT15" i="34" s="1"/>
  <c r="AT11" i="34" s="1"/>
  <c r="H15" i="34"/>
  <c r="J15" i="34" s="1"/>
  <c r="J11" i="34" s="1"/>
  <c r="AQ15" i="34"/>
  <c r="AS15" i="34" s="1"/>
  <c r="AS11" i="34" s="1"/>
  <c r="H9" i="34"/>
  <c r="J9" i="34" s="1"/>
  <c r="M9" i="34"/>
  <c r="O9" i="34" s="1"/>
  <c r="AQ9" i="34"/>
  <c r="AS9" i="34" s="1"/>
  <c r="I9" i="34"/>
  <c r="K9" i="34" s="1"/>
  <c r="N9" i="34"/>
  <c r="P9" i="34" s="1"/>
  <c r="S9" i="34"/>
  <c r="U9" i="34" s="1"/>
  <c r="X9" i="34"/>
  <c r="Z9" i="34" s="1"/>
  <c r="AR9" i="34"/>
  <c r="AT9" i="34" s="1"/>
  <c r="X21" i="34"/>
  <c r="Z21" i="34" s="1"/>
  <c r="AR21" i="34"/>
  <c r="AT21" i="34" s="1"/>
  <c r="H21" i="34"/>
  <c r="J21" i="34" s="1"/>
  <c r="M21" i="34"/>
  <c r="O21" i="34" s="1"/>
  <c r="AQ21" i="34"/>
  <c r="AS21" i="34" s="1"/>
  <c r="K24" i="34"/>
  <c r="G25" i="34"/>
  <c r="J25" i="34"/>
  <c r="J24" i="34" s="1"/>
  <c r="J46" i="34"/>
  <c r="J45" i="34" s="1"/>
  <c r="G46" i="34"/>
  <c r="J32" i="34"/>
  <c r="AN33" i="34"/>
  <c r="AN32" i="34" s="1"/>
  <c r="AK33" i="34"/>
  <c r="Z45" i="34"/>
  <c r="AD32" i="34"/>
  <c r="M17" i="34"/>
  <c r="O17" i="34" s="1"/>
  <c r="S17" i="34"/>
  <c r="U17" i="34" s="1"/>
  <c r="H17" i="34"/>
  <c r="J17" i="34" s="1"/>
  <c r="N17" i="34"/>
  <c r="P17" i="34" s="1"/>
  <c r="I17" i="34"/>
  <c r="K17" i="34" s="1"/>
  <c r="AQ17" i="34"/>
  <c r="AS17" i="34" s="1"/>
  <c r="AR17" i="34"/>
  <c r="AT17" i="34" s="1"/>
  <c r="X17" i="34"/>
  <c r="Z17" i="34" s="1"/>
  <c r="Z11" i="34" s="1"/>
  <c r="I5" i="34"/>
  <c r="K5" i="34" s="1"/>
  <c r="N5" i="34"/>
  <c r="P5" i="34" s="1"/>
  <c r="S5" i="34"/>
  <c r="U5" i="34" s="1"/>
  <c r="X5" i="34"/>
  <c r="Z5" i="34" s="1"/>
  <c r="AR5" i="34"/>
  <c r="AT5" i="34" s="1"/>
  <c r="M5" i="34"/>
  <c r="O5" i="34" s="1"/>
  <c r="AQ5" i="34"/>
  <c r="AS5" i="34" s="1"/>
  <c r="H5" i="34"/>
  <c r="J5" i="34" s="1"/>
  <c r="H7" i="34"/>
  <c r="J7" i="34" s="1"/>
  <c r="M7" i="34"/>
  <c r="O7" i="34" s="1"/>
  <c r="AQ7" i="34"/>
  <c r="AS7" i="34" s="1"/>
  <c r="I7" i="34"/>
  <c r="K7" i="34" s="1"/>
  <c r="N7" i="34"/>
  <c r="P7" i="34" s="1"/>
  <c r="S7" i="34"/>
  <c r="U7" i="34" s="1"/>
  <c r="X7" i="34"/>
  <c r="Z7" i="34" s="1"/>
  <c r="AR7" i="34"/>
  <c r="AT7" i="34" s="1"/>
  <c r="O24" i="34"/>
  <c r="AT24" i="34"/>
  <c r="I43" i="34"/>
  <c r="K43" i="34" s="1"/>
  <c r="N43" i="34"/>
  <c r="P43" i="34" s="1"/>
  <c r="P40" i="34" s="1"/>
  <c r="S43" i="34"/>
  <c r="U43" i="34" s="1"/>
  <c r="H43" i="34"/>
  <c r="J43" i="34" s="1"/>
  <c r="AQ43" i="34"/>
  <c r="AS43" i="34" s="1"/>
  <c r="AS40" i="34" s="1"/>
  <c r="X43" i="34"/>
  <c r="Z43" i="34" s="1"/>
  <c r="AR43" i="34"/>
  <c r="AT43" i="34" s="1"/>
  <c r="M43" i="34"/>
  <c r="O43" i="34" s="1"/>
  <c r="O40" i="34" s="1"/>
  <c r="AS32" i="34"/>
  <c r="AT40" i="34"/>
  <c r="V56" i="33"/>
  <c r="T18" i="33"/>
  <c r="V18" i="33" s="1"/>
  <c r="Y18" i="33"/>
  <c r="AA18" i="33" s="1"/>
  <c r="AD18" i="33"/>
  <c r="AF18" i="33" s="1"/>
  <c r="AS18" i="33"/>
  <c r="AU18" i="33" s="1"/>
  <c r="M18" i="33"/>
  <c r="O18" i="33" s="1"/>
  <c r="N18" i="33"/>
  <c r="P18" i="33" s="1"/>
  <c r="X18" i="33"/>
  <c r="Z18" i="33" s="1"/>
  <c r="AR18" i="33"/>
  <c r="AT18" i="33" s="1"/>
  <c r="H18" i="33"/>
  <c r="J18" i="33" s="1"/>
  <c r="S18" i="33"/>
  <c r="U18" i="33" s="1"/>
  <c r="I18" i="33"/>
  <c r="K18" i="33" s="1"/>
  <c r="I13" i="33"/>
  <c r="K13" i="33" s="1"/>
  <c r="N13" i="33"/>
  <c r="P13" i="33" s="1"/>
  <c r="S13" i="33"/>
  <c r="U13" i="33" s="1"/>
  <c r="X13" i="33"/>
  <c r="Z13" i="33" s="1"/>
  <c r="AR13" i="33"/>
  <c r="AT13" i="33" s="1"/>
  <c r="T13" i="33"/>
  <c r="V13" i="33" s="1"/>
  <c r="Y13" i="33"/>
  <c r="AA13" i="33" s="1"/>
  <c r="AD13" i="33"/>
  <c r="AF13" i="33" s="1"/>
  <c r="AS13" i="33"/>
  <c r="AU13" i="33" s="1"/>
  <c r="H13" i="33"/>
  <c r="J13" i="33" s="1"/>
  <c r="M13" i="33"/>
  <c r="O13" i="33" s="1"/>
  <c r="X16" i="33"/>
  <c r="Z16" i="33" s="1"/>
  <c r="W28" i="33"/>
  <c r="Z28" i="33"/>
  <c r="Z27" i="33" s="1"/>
  <c r="AU3" i="33"/>
  <c r="Y20" i="33"/>
  <c r="AA20" i="33" s="1"/>
  <c r="Y22" i="33"/>
  <c r="AA22" i="33" s="1"/>
  <c r="Y21" i="33"/>
  <c r="AA21" i="33" s="1"/>
  <c r="Y23" i="33"/>
  <c r="AA23" i="33" s="1"/>
  <c r="Y24" i="33"/>
  <c r="AA24" i="33" s="1"/>
  <c r="Y25" i="33"/>
  <c r="AA25" i="33" s="1"/>
  <c r="Y26" i="33"/>
  <c r="AA26" i="33" s="1"/>
  <c r="K11" i="33"/>
  <c r="V43" i="33"/>
  <c r="U20" i="33"/>
  <c r="U19" i="33" s="1"/>
  <c r="R20" i="33"/>
  <c r="H30" i="33"/>
  <c r="J30" i="33" s="1"/>
  <c r="H33" i="33"/>
  <c r="J33" i="33" s="1"/>
  <c r="H28" i="33"/>
  <c r="J28" i="33" s="1"/>
  <c r="H29" i="33"/>
  <c r="J29" i="33" s="1"/>
  <c r="H32" i="33"/>
  <c r="J32" i="33" s="1"/>
  <c r="H31" i="33"/>
  <c r="J31" i="33" s="1"/>
  <c r="H34" i="33"/>
  <c r="J34" i="33" s="1"/>
  <c r="H74" i="33"/>
  <c r="N31" i="33"/>
  <c r="P31" i="33" s="1"/>
  <c r="N33" i="33"/>
  <c r="P33" i="33" s="1"/>
  <c r="N30" i="33"/>
  <c r="P30" i="33" s="1"/>
  <c r="N28" i="33"/>
  <c r="P28" i="33" s="1"/>
  <c r="P27" i="33" s="1"/>
  <c r="N29" i="33"/>
  <c r="P29" i="33" s="1"/>
  <c r="N32" i="33"/>
  <c r="P32" i="33" s="1"/>
  <c r="N34" i="33"/>
  <c r="P34" i="33" s="1"/>
  <c r="AA35" i="33"/>
  <c r="U35" i="33"/>
  <c r="AA48" i="33"/>
  <c r="J48" i="33"/>
  <c r="S49" i="33"/>
  <c r="S50" i="33"/>
  <c r="U50" i="33" s="1"/>
  <c r="S51" i="33"/>
  <c r="U51" i="33" s="1"/>
  <c r="S53" i="33"/>
  <c r="U53" i="33" s="1"/>
  <c r="S55" i="33"/>
  <c r="U55" i="33" s="1"/>
  <c r="S52" i="33"/>
  <c r="U52" i="33" s="1"/>
  <c r="S54" i="33"/>
  <c r="U54" i="33" s="1"/>
  <c r="AE57" i="33"/>
  <c r="AE56" i="33" s="1"/>
  <c r="AB57" i="33"/>
  <c r="AA56" i="33"/>
  <c r="O65" i="33"/>
  <c r="O64" i="33" s="1"/>
  <c r="L65" i="33"/>
  <c r="M70" i="33"/>
  <c r="M72" i="33"/>
  <c r="O72" i="33" s="1"/>
  <c r="M71" i="33"/>
  <c r="O71" i="33" s="1"/>
  <c r="M73" i="33"/>
  <c r="O73" i="33" s="1"/>
  <c r="AE43" i="33"/>
  <c r="U65" i="33"/>
  <c r="U64" i="33" s="1"/>
  <c r="R65" i="33"/>
  <c r="U69" i="33"/>
  <c r="W36" i="33"/>
  <c r="AE64" i="33"/>
  <c r="X22" i="33"/>
  <c r="Z22" i="33" s="1"/>
  <c r="X21" i="33"/>
  <c r="Z21" i="33" s="1"/>
  <c r="X24" i="33"/>
  <c r="Z24" i="33" s="1"/>
  <c r="X26" i="33"/>
  <c r="Z26" i="33" s="1"/>
  <c r="X20" i="33"/>
  <c r="X25" i="33"/>
  <c r="Z25" i="33" s="1"/>
  <c r="X23" i="33"/>
  <c r="Z23" i="33" s="1"/>
  <c r="AT44" i="33"/>
  <c r="AT43" i="33" s="1"/>
  <c r="AQ44" i="33"/>
  <c r="P35" i="33"/>
  <c r="AR76" i="33"/>
  <c r="AR75" i="33"/>
  <c r="Z35" i="33"/>
  <c r="J56" i="33"/>
  <c r="T15" i="33"/>
  <c r="V15" i="33" s="1"/>
  <c r="M15" i="33"/>
  <c r="O15" i="33" s="1"/>
  <c r="AR15" i="33"/>
  <c r="AT15" i="33" s="1"/>
  <c r="N15" i="33"/>
  <c r="P15" i="33" s="1"/>
  <c r="X15" i="33"/>
  <c r="Z15" i="33" s="1"/>
  <c r="AD15" i="33"/>
  <c r="AF15" i="33" s="1"/>
  <c r="AS15" i="33"/>
  <c r="AU15" i="33" s="1"/>
  <c r="S15" i="33"/>
  <c r="U15" i="33" s="1"/>
  <c r="H15" i="33"/>
  <c r="J15" i="33" s="1"/>
  <c r="Y15" i="33"/>
  <c r="AA15" i="33" s="1"/>
  <c r="I15" i="33"/>
  <c r="K15" i="33" s="1"/>
  <c r="T14" i="33"/>
  <c r="V14" i="33" s="1"/>
  <c r="Y14" i="33"/>
  <c r="AA14" i="33" s="1"/>
  <c r="AD14" i="33"/>
  <c r="AF14" i="33" s="1"/>
  <c r="AS14" i="33"/>
  <c r="AU14" i="33" s="1"/>
  <c r="I14" i="33"/>
  <c r="K14" i="33" s="1"/>
  <c r="S14" i="33"/>
  <c r="U14" i="33" s="1"/>
  <c r="M14" i="33"/>
  <c r="O14" i="33" s="1"/>
  <c r="X14" i="33"/>
  <c r="Z14" i="33" s="1"/>
  <c r="AR14" i="33"/>
  <c r="AT14" i="33" s="1"/>
  <c r="H14" i="33"/>
  <c r="J14" i="33" s="1"/>
  <c r="N14" i="33"/>
  <c r="P14" i="33" s="1"/>
  <c r="T28" i="33"/>
  <c r="V28" i="33" s="1"/>
  <c r="T30" i="33"/>
  <c r="V30" i="33" s="1"/>
  <c r="T29" i="33"/>
  <c r="V29" i="33" s="1"/>
  <c r="T31" i="33"/>
  <c r="V31" i="33" s="1"/>
  <c r="T32" i="33"/>
  <c r="V32" i="33" s="1"/>
  <c r="T33" i="33"/>
  <c r="V33" i="33" s="1"/>
  <c r="T34" i="33"/>
  <c r="V34" i="33" s="1"/>
  <c r="AT37" i="33"/>
  <c r="AT35" i="33" s="1"/>
  <c r="AQ36" i="33"/>
  <c r="V19" i="33"/>
  <c r="I17" i="33"/>
  <c r="K17" i="33" s="1"/>
  <c r="AB36" i="33"/>
  <c r="O49" i="33"/>
  <c r="O48" i="33" s="1"/>
  <c r="L49" i="33"/>
  <c r="AU64" i="33"/>
  <c r="W57" i="33"/>
  <c r="Y66" i="33"/>
  <c r="AA66" i="33" s="1"/>
  <c r="Y65" i="33"/>
  <c r="AA65" i="33" s="1"/>
  <c r="Y68" i="33"/>
  <c r="AA68" i="33" s="1"/>
  <c r="Y67" i="33"/>
  <c r="AA67" i="33" s="1"/>
  <c r="A68" i="33"/>
  <c r="N59" i="33"/>
  <c r="P59" i="33" s="1"/>
  <c r="N61" i="33"/>
  <c r="P61" i="33" s="1"/>
  <c r="N63" i="33"/>
  <c r="P63" i="33" s="1"/>
  <c r="N57" i="33"/>
  <c r="P57" i="33" s="1"/>
  <c r="P56" i="33" s="1"/>
  <c r="N58" i="33"/>
  <c r="P58" i="33" s="1"/>
  <c r="N60" i="33"/>
  <c r="P60" i="33" s="1"/>
  <c r="N62" i="33"/>
  <c r="P62" i="33" s="1"/>
  <c r="AA69" i="33"/>
  <c r="AU69" i="33"/>
  <c r="W49" i="33"/>
  <c r="Z49" i="33"/>
  <c r="Z48" i="33" s="1"/>
  <c r="X7" i="33"/>
  <c r="Z7" i="33" s="1"/>
  <c r="X6" i="33"/>
  <c r="Z6" i="33" s="1"/>
  <c r="X9" i="33"/>
  <c r="Z9" i="33" s="1"/>
  <c r="X4" i="33"/>
  <c r="X5" i="33"/>
  <c r="Z5" i="33" s="1"/>
  <c r="X8" i="33"/>
  <c r="Z8" i="33" s="1"/>
  <c r="X10" i="33"/>
  <c r="Z10" i="33" s="1"/>
  <c r="X74" i="33"/>
  <c r="S12" i="33"/>
  <c r="H12" i="33"/>
  <c r="J12" i="33" s="1"/>
  <c r="T12" i="33"/>
  <c r="X12" i="33"/>
  <c r="AR12" i="33"/>
  <c r="A17" i="33"/>
  <c r="M12" i="33"/>
  <c r="AS12" i="33"/>
  <c r="AU12" i="33" s="1"/>
  <c r="AU11" i="33" s="1"/>
  <c r="I12" i="33"/>
  <c r="Y12" i="33"/>
  <c r="AA12" i="33" s="1"/>
  <c r="AA11" i="33" s="1"/>
  <c r="AD12" i="33"/>
  <c r="AF12" i="33" s="1"/>
  <c r="N12" i="33"/>
  <c r="K3" i="33"/>
  <c r="S31" i="33"/>
  <c r="U31" i="33" s="1"/>
  <c r="S33" i="33"/>
  <c r="U33" i="33" s="1"/>
  <c r="S28" i="33"/>
  <c r="S29" i="33"/>
  <c r="U29" i="33" s="1"/>
  <c r="S32" i="33"/>
  <c r="U32" i="33" s="1"/>
  <c r="S34" i="33"/>
  <c r="U34" i="33" s="1"/>
  <c r="S30" i="33"/>
  <c r="U30" i="33" s="1"/>
  <c r="S74" i="33"/>
  <c r="Z44" i="33"/>
  <c r="Z43" i="33" s="1"/>
  <c r="W44" i="33"/>
  <c r="I31" i="33"/>
  <c r="K31" i="33" s="1"/>
  <c r="I33" i="33"/>
  <c r="K33" i="33" s="1"/>
  <c r="I34" i="33"/>
  <c r="K34" i="33" s="1"/>
  <c r="I30" i="33"/>
  <c r="K30" i="33" s="1"/>
  <c r="K27" i="33"/>
  <c r="I28" i="33"/>
  <c r="K28" i="33" s="1"/>
  <c r="I32" i="33"/>
  <c r="K32" i="33" s="1"/>
  <c r="I29" i="33"/>
  <c r="K29" i="33" s="1"/>
  <c r="M30" i="33"/>
  <c r="O30" i="33" s="1"/>
  <c r="M28" i="33"/>
  <c r="O28" i="33" s="1"/>
  <c r="M29" i="33"/>
  <c r="O29" i="33" s="1"/>
  <c r="M32" i="33"/>
  <c r="O32" i="33" s="1"/>
  <c r="M31" i="33"/>
  <c r="O31" i="33" s="1"/>
  <c r="M34" i="33"/>
  <c r="O34" i="33" s="1"/>
  <c r="M33" i="33"/>
  <c r="O33" i="33" s="1"/>
  <c r="M74" i="33"/>
  <c r="AE35" i="33"/>
  <c r="T50" i="33"/>
  <c r="V50" i="33" s="1"/>
  <c r="T49" i="33"/>
  <c r="V49" i="33" s="1"/>
  <c r="T52" i="33"/>
  <c r="V52" i="33" s="1"/>
  <c r="T54" i="33"/>
  <c r="V54" i="33" s="1"/>
  <c r="T51" i="33"/>
  <c r="V51" i="33" s="1"/>
  <c r="T53" i="33"/>
  <c r="V53" i="33" s="1"/>
  <c r="T55" i="33"/>
  <c r="V55" i="33" s="1"/>
  <c r="X65" i="33"/>
  <c r="X68" i="33"/>
  <c r="Z68" i="33" s="1"/>
  <c r="X67" i="33"/>
  <c r="Z67" i="33" s="1"/>
  <c r="X66" i="33"/>
  <c r="Z66" i="33" s="1"/>
  <c r="AE70" i="33"/>
  <c r="AE69" i="33" s="1"/>
  <c r="AB70" i="33"/>
  <c r="M57" i="33"/>
  <c r="M58" i="33"/>
  <c r="O58" i="33" s="1"/>
  <c r="M60" i="33"/>
  <c r="O60" i="33" s="1"/>
  <c r="M62" i="33"/>
  <c r="O62" i="33" s="1"/>
  <c r="M61" i="33"/>
  <c r="O61" i="33" s="1"/>
  <c r="M59" i="33"/>
  <c r="O59" i="33" s="1"/>
  <c r="M63" i="33"/>
  <c r="O63" i="33" s="1"/>
  <c r="AU56" i="33"/>
  <c r="N70" i="33"/>
  <c r="P70" i="33" s="1"/>
  <c r="N72" i="33"/>
  <c r="P72" i="33" s="1"/>
  <c r="N71" i="33"/>
  <c r="P71" i="33" s="1"/>
  <c r="N73" i="33"/>
  <c r="P73" i="33" s="1"/>
  <c r="R70" i="33"/>
  <c r="Z70" i="33"/>
  <c r="Z69" i="33" s="1"/>
  <c r="W70" i="33"/>
  <c r="Y8" i="33"/>
  <c r="AA8" i="33" s="1"/>
  <c r="Y10" i="33"/>
  <c r="AA10" i="33" s="1"/>
  <c r="Y7" i="33"/>
  <c r="AA7" i="33" s="1"/>
  <c r="Y6" i="33"/>
  <c r="AA6" i="33" s="1"/>
  <c r="Y9" i="33"/>
  <c r="AA9" i="33" s="1"/>
  <c r="Y4" i="33"/>
  <c r="AA4" i="33" s="1"/>
  <c r="Y5" i="33"/>
  <c r="AA5" i="33" s="1"/>
  <c r="Y74" i="33"/>
  <c r="AB65" i="33"/>
  <c r="A7" i="33"/>
  <c r="A16" i="33"/>
  <c r="A47" i="33"/>
  <c r="A23" i="33"/>
  <c r="A39" i="33"/>
  <c r="A52" i="33"/>
  <c r="R5" i="32"/>
  <c r="R6" i="32"/>
  <c r="AK3" i="31"/>
  <c r="AO4" i="31"/>
  <c r="AO3" i="31" s="1"/>
  <c r="AL4" i="31"/>
  <c r="AL5" i="31"/>
  <c r="P27" i="31"/>
  <c r="O19" i="31"/>
  <c r="N49" i="31"/>
  <c r="P49" i="31" s="1"/>
  <c r="N50" i="31"/>
  <c r="P50" i="31" s="1"/>
  <c r="N52" i="31"/>
  <c r="P52" i="31" s="1"/>
  <c r="N54" i="31"/>
  <c r="P54" i="31" s="1"/>
  <c r="N51" i="31"/>
  <c r="P51" i="31" s="1"/>
  <c r="N53" i="31"/>
  <c r="P53" i="31" s="1"/>
  <c r="N55" i="31"/>
  <c r="P55" i="31" s="1"/>
  <c r="N59" i="31"/>
  <c r="P59" i="31" s="1"/>
  <c r="N61" i="31"/>
  <c r="P61" i="31" s="1"/>
  <c r="N63" i="31"/>
  <c r="P63" i="31" s="1"/>
  <c r="N62" i="31"/>
  <c r="P62" i="31" s="1"/>
  <c r="N57" i="31"/>
  <c r="P57" i="31" s="1"/>
  <c r="P56" i="31" s="1"/>
  <c r="N58" i="31"/>
  <c r="P58" i="31" s="1"/>
  <c r="N60" i="31"/>
  <c r="P60" i="31" s="1"/>
  <c r="AM75" i="31"/>
  <c r="AM76" i="31"/>
  <c r="X16" i="31"/>
  <c r="Z16" i="31" s="1"/>
  <c r="AD16" i="31"/>
  <c r="AF16" i="31" s="1"/>
  <c r="AI16" i="31"/>
  <c r="AK16" i="31" s="1"/>
  <c r="AN16" i="31"/>
  <c r="AP16" i="31" s="1"/>
  <c r="AS16" i="31"/>
  <c r="AU16" i="31" s="1"/>
  <c r="N16" i="31"/>
  <c r="P16" i="31" s="1"/>
  <c r="AR16" i="31"/>
  <c r="AT16" i="31" s="1"/>
  <c r="H16" i="31"/>
  <c r="J16" i="31" s="1"/>
  <c r="Y16" i="31"/>
  <c r="AA16" i="31" s="1"/>
  <c r="AM16" i="31"/>
  <c r="AO16" i="31" s="1"/>
  <c r="I16" i="31"/>
  <c r="K16" i="31" s="1"/>
  <c r="S16" i="31"/>
  <c r="U16" i="31" s="1"/>
  <c r="AH16" i="31"/>
  <c r="AJ16" i="31" s="1"/>
  <c r="AC16" i="31"/>
  <c r="AE16" i="31" s="1"/>
  <c r="M16" i="31"/>
  <c r="O16" i="31" s="1"/>
  <c r="T16" i="31"/>
  <c r="V16" i="31" s="1"/>
  <c r="K11" i="31"/>
  <c r="K74" i="31" s="1"/>
  <c r="I17" i="31"/>
  <c r="K17" i="31" s="1"/>
  <c r="AO27" i="31"/>
  <c r="Z28" i="31"/>
  <c r="Z27" i="31" s="1"/>
  <c r="W28" i="31"/>
  <c r="AA43" i="31"/>
  <c r="U43" i="31"/>
  <c r="AJ49" i="31"/>
  <c r="AJ48" i="31" s="1"/>
  <c r="AG49" i="31"/>
  <c r="U28" i="31"/>
  <c r="U27" i="31" s="1"/>
  <c r="R28" i="31"/>
  <c r="AP48" i="31"/>
  <c r="AJ65" i="31"/>
  <c r="AJ64" i="31" s="1"/>
  <c r="AG65" i="31"/>
  <c r="AR76" i="31"/>
  <c r="AR75" i="31"/>
  <c r="AF56" i="31"/>
  <c r="AF35" i="31"/>
  <c r="V35" i="31"/>
  <c r="H44" i="31"/>
  <c r="J44" i="31" s="1"/>
  <c r="Z48" i="31"/>
  <c r="R65" i="31"/>
  <c r="U65" i="31"/>
  <c r="U64" i="31" s="1"/>
  <c r="H46" i="31"/>
  <c r="J46" i="31" s="1"/>
  <c r="I46" i="31"/>
  <c r="K46" i="31" s="1"/>
  <c r="AG57" i="31"/>
  <c r="A7" i="31"/>
  <c r="A23" i="31"/>
  <c r="A31" i="31"/>
  <c r="A47" i="31"/>
  <c r="A52" i="31"/>
  <c r="A72" i="31"/>
  <c r="AO35" i="31"/>
  <c r="W70" i="31"/>
  <c r="Z70" i="31"/>
  <c r="Z69" i="31" s="1"/>
  <c r="S12" i="31"/>
  <c r="AI12" i="31"/>
  <c r="AK12" i="31" s="1"/>
  <c r="AM12" i="31"/>
  <c r="H12" i="31"/>
  <c r="J12" i="31" s="1"/>
  <c r="T12" i="31"/>
  <c r="X12" i="31"/>
  <c r="AN12" i="31"/>
  <c r="AP12" i="31" s="1"/>
  <c r="AR12" i="31"/>
  <c r="I12" i="31"/>
  <c r="M12" i="31"/>
  <c r="Y12" i="31"/>
  <c r="AC12" i="31"/>
  <c r="AS12" i="31"/>
  <c r="AU12" i="31" s="1"/>
  <c r="AU11" i="31" s="1"/>
  <c r="AU74" i="31" s="1"/>
  <c r="AH12" i="31"/>
  <c r="AD12" i="31"/>
  <c r="AF12" i="31" s="1"/>
  <c r="N12" i="31"/>
  <c r="A17" i="31"/>
  <c r="AT36" i="31"/>
  <c r="AT35" i="31" s="1"/>
  <c r="AQ36" i="31"/>
  <c r="Z57" i="31"/>
  <c r="Z56" i="31" s="1"/>
  <c r="W57" i="31"/>
  <c r="AU35" i="31"/>
  <c r="H15" i="31"/>
  <c r="J15" i="31" s="1"/>
  <c r="M15" i="31"/>
  <c r="O15" i="31" s="1"/>
  <c r="AC15" i="31"/>
  <c r="AE15" i="31" s="1"/>
  <c r="AI15" i="31"/>
  <c r="AK15" i="31" s="1"/>
  <c r="N15" i="31"/>
  <c r="P15" i="31" s="1"/>
  <c r="X15" i="31"/>
  <c r="Z15" i="31" s="1"/>
  <c r="AN15" i="31"/>
  <c r="AP15" i="31" s="1"/>
  <c r="Y15" i="31"/>
  <c r="AA15" i="31" s="1"/>
  <c r="AH15" i="31"/>
  <c r="AJ15" i="31" s="1"/>
  <c r="AR15" i="31"/>
  <c r="AT15" i="31" s="1"/>
  <c r="I15" i="31"/>
  <c r="K15" i="31" s="1"/>
  <c r="S15" i="31"/>
  <c r="U15" i="31" s="1"/>
  <c r="AS15" i="31"/>
  <c r="AU15" i="31" s="1"/>
  <c r="T15" i="31"/>
  <c r="V15" i="31" s="1"/>
  <c r="AD15" i="31"/>
  <c r="AF15" i="31" s="1"/>
  <c r="AM15" i="31"/>
  <c r="AO15" i="31" s="1"/>
  <c r="AP19" i="31"/>
  <c r="H17" i="31"/>
  <c r="J17" i="31" s="1"/>
  <c r="H74" i="31"/>
  <c r="Z20" i="31"/>
  <c r="Z19" i="31" s="1"/>
  <c r="W20" i="31"/>
  <c r="O27" i="31"/>
  <c r="AE20" i="31"/>
  <c r="AE19" i="31" s="1"/>
  <c r="AB20" i="31"/>
  <c r="P43" i="31"/>
  <c r="J27" i="31"/>
  <c r="I47" i="31"/>
  <c r="K47" i="31" s="1"/>
  <c r="V48" i="31"/>
  <c r="AB44" i="31"/>
  <c r="AJ45" i="31"/>
  <c r="AJ43" i="31" s="1"/>
  <c r="AG44" i="31"/>
  <c r="AC75" i="31"/>
  <c r="V56" i="31"/>
  <c r="P35" i="31"/>
  <c r="M44" i="31"/>
  <c r="O44" i="31" s="1"/>
  <c r="M47" i="31"/>
  <c r="O47" i="31" s="1"/>
  <c r="M46" i="31"/>
  <c r="O46" i="31" s="1"/>
  <c r="M74" i="31"/>
  <c r="M45" i="31"/>
  <c r="O45" i="31" s="1"/>
  <c r="AT43" i="31"/>
  <c r="L65" i="31"/>
  <c r="AJ56" i="31"/>
  <c r="W65" i="31"/>
  <c r="Z65" i="31"/>
  <c r="Z64" i="31" s="1"/>
  <c r="A68" i="31"/>
  <c r="AK69" i="31"/>
  <c r="O70" i="31"/>
  <c r="O69" i="31" s="1"/>
  <c r="L70" i="31"/>
  <c r="H18" i="31"/>
  <c r="J18" i="31" s="1"/>
  <c r="N18" i="31"/>
  <c r="P18" i="31" s="1"/>
  <c r="T18" i="31"/>
  <c r="V18" i="31" s="1"/>
  <c r="AH18" i="31"/>
  <c r="AJ18" i="31" s="1"/>
  <c r="AN18" i="31"/>
  <c r="AP18" i="31" s="1"/>
  <c r="I18" i="31"/>
  <c r="K18" i="31" s="1"/>
  <c r="AC18" i="31"/>
  <c r="AE18" i="31" s="1"/>
  <c r="AI18" i="31"/>
  <c r="AK18" i="31" s="1"/>
  <c r="X18" i="31"/>
  <c r="Z18" i="31" s="1"/>
  <c r="AD18" i="31"/>
  <c r="AF18" i="31" s="1"/>
  <c r="AR18" i="31"/>
  <c r="AT18" i="31" s="1"/>
  <c r="M18" i="31"/>
  <c r="O18" i="31" s="1"/>
  <c r="AM18" i="31"/>
  <c r="AO18" i="31" s="1"/>
  <c r="S18" i="31"/>
  <c r="U18" i="31" s="1"/>
  <c r="AS18" i="31"/>
  <c r="AU18" i="31" s="1"/>
  <c r="Y18" i="31"/>
  <c r="AA18" i="31" s="1"/>
  <c r="I13" i="31"/>
  <c r="K13" i="31" s="1"/>
  <c r="N13" i="31"/>
  <c r="P13" i="31" s="1"/>
  <c r="S13" i="31"/>
  <c r="U13" i="31" s="1"/>
  <c r="X13" i="31"/>
  <c r="Z13" i="31" s="1"/>
  <c r="AC13" i="31"/>
  <c r="AE13" i="31" s="1"/>
  <c r="AH13" i="31"/>
  <c r="AJ13" i="31" s="1"/>
  <c r="AM13" i="31"/>
  <c r="AO13" i="31" s="1"/>
  <c r="AR13" i="31"/>
  <c r="AT13" i="31" s="1"/>
  <c r="T13" i="31"/>
  <c r="V13" i="31" s="1"/>
  <c r="Y13" i="31"/>
  <c r="AA13" i="31" s="1"/>
  <c r="AD13" i="31"/>
  <c r="AF13" i="31" s="1"/>
  <c r="AI13" i="31"/>
  <c r="AK13" i="31" s="1"/>
  <c r="AN13" i="31"/>
  <c r="AP13" i="31" s="1"/>
  <c r="AS13" i="31"/>
  <c r="AU13" i="31" s="1"/>
  <c r="M13" i="31"/>
  <c r="O13" i="31" s="1"/>
  <c r="H13" i="31"/>
  <c r="J13" i="31" s="1"/>
  <c r="T14" i="31"/>
  <c r="V14" i="31" s="1"/>
  <c r="Y14" i="31"/>
  <c r="AA14" i="31" s="1"/>
  <c r="H14" i="31"/>
  <c r="J14" i="31" s="1"/>
  <c r="M14" i="31"/>
  <c r="O14" i="31" s="1"/>
  <c r="N14" i="31"/>
  <c r="P14" i="31" s="1"/>
  <c r="AD14" i="31"/>
  <c r="AF14" i="31" s="1"/>
  <c r="AN14" i="31"/>
  <c r="AP14" i="31" s="1"/>
  <c r="S14" i="31"/>
  <c r="U14" i="31" s="1"/>
  <c r="AI14" i="31"/>
  <c r="AK14" i="31" s="1"/>
  <c r="X14" i="31"/>
  <c r="Z14" i="31" s="1"/>
  <c r="AM14" i="31"/>
  <c r="AO14" i="31" s="1"/>
  <c r="AC14" i="31"/>
  <c r="AE14" i="31" s="1"/>
  <c r="AR14" i="31"/>
  <c r="AT14" i="31" s="1"/>
  <c r="AS14" i="31"/>
  <c r="AU14" i="31" s="1"/>
  <c r="I14" i="31"/>
  <c r="K14" i="31" s="1"/>
  <c r="AH14" i="31"/>
  <c r="AJ14" i="31" s="1"/>
  <c r="R20" i="31"/>
  <c r="U20" i="31"/>
  <c r="U19" i="31" s="1"/>
  <c r="AO44" i="31"/>
  <c r="AO43" i="31" s="1"/>
  <c r="AL44" i="31"/>
  <c r="I44" i="31"/>
  <c r="K44" i="31" s="1"/>
  <c r="H53" i="31"/>
  <c r="J53" i="31" s="1"/>
  <c r="H55" i="31"/>
  <c r="J55" i="31" s="1"/>
  <c r="H50" i="31"/>
  <c r="J50" i="31" s="1"/>
  <c r="H51" i="31"/>
  <c r="J51" i="31" s="1"/>
  <c r="H49" i="31"/>
  <c r="J49" i="31" s="1"/>
  <c r="H54" i="31"/>
  <c r="J54" i="31" s="1"/>
  <c r="H52" i="31"/>
  <c r="J52" i="31" s="1"/>
  <c r="AG36" i="31"/>
  <c r="AJ36" i="31"/>
  <c r="AJ35" i="31" s="1"/>
  <c r="H45" i="31"/>
  <c r="J45" i="31" s="1"/>
  <c r="I45" i="31"/>
  <c r="K45" i="31" s="1"/>
  <c r="AH76" i="31"/>
  <c r="AH75" i="31"/>
  <c r="AK56" i="31"/>
  <c r="AP35" i="31"/>
  <c r="AK35" i="31"/>
  <c r="Z43" i="31"/>
  <c r="AQ44" i="31"/>
  <c r="AT49" i="31"/>
  <c r="AT48" i="31" s="1"/>
  <c r="AQ49" i="31"/>
  <c r="O57" i="31"/>
  <c r="O56" i="31" s="1"/>
  <c r="L57" i="31"/>
  <c r="Z4" i="31"/>
  <c r="Z3" i="31" s="1"/>
  <c r="W4" i="31"/>
  <c r="W5" i="31"/>
  <c r="I59" i="31"/>
  <c r="K59" i="31" s="1"/>
  <c r="I61" i="31"/>
  <c r="K61" i="31" s="1"/>
  <c r="I63" i="31"/>
  <c r="K63" i="31" s="1"/>
  <c r="I57" i="31"/>
  <c r="K57" i="31" s="1"/>
  <c r="K56" i="31"/>
  <c r="I62" i="31"/>
  <c r="K62" i="31" s="1"/>
  <c r="I58" i="31"/>
  <c r="K58" i="31" s="1"/>
  <c r="I60" i="31"/>
  <c r="K60" i="31" s="1"/>
  <c r="U69" i="31"/>
  <c r="AO69" i="31"/>
  <c r="W44" i="31"/>
  <c r="AA48" i="31"/>
  <c r="W49" i="31"/>
  <c r="AT57" i="31"/>
  <c r="AT56" i="31" s="1"/>
  <c r="AQ57" i="31"/>
  <c r="AB57" i="31"/>
  <c r="AU56" i="31"/>
  <c r="I71" i="31"/>
  <c r="K71" i="31" s="1"/>
  <c r="I72" i="31"/>
  <c r="K72" i="31" s="1"/>
  <c r="I73" i="31"/>
  <c r="K73" i="31" s="1"/>
  <c r="I70" i="31"/>
  <c r="K70" i="31" s="1"/>
  <c r="H59" i="31"/>
  <c r="J59" i="31" s="1"/>
  <c r="H61" i="31"/>
  <c r="J61" i="31" s="1"/>
  <c r="H63" i="31"/>
  <c r="J63" i="31" s="1"/>
  <c r="H57" i="31"/>
  <c r="J57" i="31" s="1"/>
  <c r="H58" i="31"/>
  <c r="J58" i="31" s="1"/>
  <c r="H60" i="31"/>
  <c r="J60" i="31" s="1"/>
  <c r="H62" i="31"/>
  <c r="J62" i="31" s="1"/>
  <c r="J69" i="31"/>
  <c r="R70" i="31"/>
  <c r="AL70" i="31"/>
  <c r="AL36" i="31"/>
  <c r="F18" i="30"/>
  <c r="F28" i="30" s="1"/>
  <c r="F32" i="30"/>
  <c r="F36" i="30"/>
  <c r="F33" i="30"/>
  <c r="F37" i="30"/>
  <c r="F29" i="30"/>
  <c r="F30" i="30"/>
  <c r="F34" i="30"/>
  <c r="F35" i="30"/>
  <c r="F52" i="30"/>
  <c r="F31" i="30"/>
  <c r="F23" i="30"/>
  <c r="G23" i="30" s="1"/>
  <c r="J6" i="30"/>
  <c r="J13" i="30"/>
  <c r="K9" i="30"/>
  <c r="I12" i="28" s="1"/>
  <c r="K10" i="30"/>
  <c r="J12" i="30"/>
  <c r="L10" i="30"/>
  <c r="I52" i="30"/>
  <c r="I18" i="30"/>
  <c r="I53" i="30" s="1"/>
  <c r="I19" i="30"/>
  <c r="K17" i="30"/>
  <c r="F21" i="30"/>
  <c r="G21" i="30" s="1"/>
  <c r="F55" i="30"/>
  <c r="F56" i="30" s="1"/>
  <c r="H8" i="30"/>
  <c r="I7" i="30"/>
  <c r="H20" i="30"/>
  <c r="H6" i="28"/>
  <c r="H11" i="28" s="1"/>
  <c r="J7" i="30"/>
  <c r="H5" i="30"/>
  <c r="H17" i="30"/>
  <c r="I4" i="30"/>
  <c r="J4" i="30"/>
  <c r="H5" i="28"/>
  <c r="D21" i="30"/>
  <c r="D23" i="30"/>
  <c r="E23" i="30" s="1"/>
  <c r="D55" i="30"/>
  <c r="G55" i="30"/>
  <c r="G56" i="30" s="1"/>
  <c r="I20" i="30"/>
  <c r="L63" i="27"/>
  <c r="AB11" i="34" s="1"/>
  <c r="L67" i="27"/>
  <c r="AB45" i="34" s="1"/>
  <c r="L62" i="27"/>
  <c r="AB3" i="34" s="1"/>
  <c r="AB8" i="34" s="1"/>
  <c r="AD8" i="34" s="1"/>
  <c r="L65" i="27"/>
  <c r="AB24" i="34" s="1"/>
  <c r="L64" i="27"/>
  <c r="AB19" i="34" s="1"/>
  <c r="L66" i="27"/>
  <c r="AB40" i="34" s="1"/>
  <c r="N18" i="27"/>
  <c r="N28" i="27" s="1"/>
  <c r="O5" i="27"/>
  <c r="H65" i="27"/>
  <c r="R24" i="34" s="1"/>
  <c r="H64" i="27"/>
  <c r="R19" i="34" s="1"/>
  <c r="R21" i="34" s="1"/>
  <c r="T21" i="34" s="1"/>
  <c r="H63" i="27"/>
  <c r="R11" i="34" s="1"/>
  <c r="H67" i="27"/>
  <c r="R45" i="34" s="1"/>
  <c r="H66" i="27"/>
  <c r="R40" i="34" s="1"/>
  <c r="H62" i="27"/>
  <c r="R3" i="34" s="1"/>
  <c r="R8" i="34" s="1"/>
  <c r="T8" i="34" s="1"/>
  <c r="F53" i="27"/>
  <c r="F58" i="27"/>
  <c r="G58" i="27" s="1"/>
  <c r="G13" i="26" s="1"/>
  <c r="F64" i="27"/>
  <c r="F63" i="27"/>
  <c r="F62" i="27"/>
  <c r="F66" i="27"/>
  <c r="F67" i="27"/>
  <c r="F61" i="27"/>
  <c r="F65" i="27"/>
  <c r="L30" i="27"/>
  <c r="AB11" i="33" s="1"/>
  <c r="AC11" i="33" s="1"/>
  <c r="AC18" i="33" s="1"/>
  <c r="AE18" i="33" s="1"/>
  <c r="L31" i="27"/>
  <c r="AC19" i="33" s="1"/>
  <c r="L32" i="27"/>
  <c r="AC27" i="33" s="1"/>
  <c r="L29" i="27"/>
  <c r="J20" i="27"/>
  <c r="J23" i="27" s="1"/>
  <c r="K21" i="27"/>
  <c r="K22" i="27"/>
  <c r="I5" i="27"/>
  <c r="H53" i="27"/>
  <c r="Q5" i="27"/>
  <c r="P18" i="27"/>
  <c r="P28" i="27" s="1"/>
  <c r="I23" i="27"/>
  <c r="I58" i="27" s="1"/>
  <c r="H13" i="26" s="1"/>
  <c r="H58" i="27"/>
  <c r="O17" i="27"/>
  <c r="M20" i="27"/>
  <c r="M52" i="27"/>
  <c r="L17" i="27"/>
  <c r="J62" i="27"/>
  <c r="W3" i="34" s="1"/>
  <c r="W10" i="34" s="1"/>
  <c r="Y10" i="34" s="1"/>
  <c r="J66" i="27"/>
  <c r="W40" i="34" s="1"/>
  <c r="J65" i="27"/>
  <c r="W24" i="34" s="1"/>
  <c r="J64" i="27"/>
  <c r="W19" i="34" s="1"/>
  <c r="J63" i="27"/>
  <c r="W11" i="34" s="1"/>
  <c r="W15" i="34" s="1"/>
  <c r="Y15" i="34" s="1"/>
  <c r="J67" i="27"/>
  <c r="W45" i="34" s="1"/>
  <c r="S9" i="26"/>
  <c r="S13" i="26"/>
  <c r="S8" i="26"/>
  <c r="I8" i="24"/>
  <c r="K8" i="24" s="1"/>
  <c r="N8" i="24"/>
  <c r="P8" i="24" s="1"/>
  <c r="S8" i="24"/>
  <c r="U8" i="24" s="1"/>
  <c r="X8" i="24"/>
  <c r="Z8" i="24" s="1"/>
  <c r="AC8" i="24"/>
  <c r="AE8" i="24" s="1"/>
  <c r="AH8" i="24"/>
  <c r="AJ8" i="24" s="1"/>
  <c r="AM8" i="24"/>
  <c r="AO8" i="24" s="1"/>
  <c r="AR8" i="24"/>
  <c r="AT8" i="24" s="1"/>
  <c r="M8" i="24"/>
  <c r="O8" i="24" s="1"/>
  <c r="AG8" i="24"/>
  <c r="AI8" i="24" s="1"/>
  <c r="AL8" i="24"/>
  <c r="AN8" i="24" s="1"/>
  <c r="AB8" i="24"/>
  <c r="AD8" i="24" s="1"/>
  <c r="AQ8" i="24"/>
  <c r="AS8" i="24" s="1"/>
  <c r="W8" i="24"/>
  <c r="Y8" i="24" s="1"/>
  <c r="H8" i="24"/>
  <c r="J8" i="24" s="1"/>
  <c r="I4" i="24"/>
  <c r="K4" i="24" s="1"/>
  <c r="N4" i="24"/>
  <c r="P4" i="24" s="1"/>
  <c r="S4" i="24"/>
  <c r="U4" i="24" s="1"/>
  <c r="X4" i="24"/>
  <c r="Z4" i="24" s="1"/>
  <c r="AC4" i="24"/>
  <c r="AE4" i="24" s="1"/>
  <c r="AG4" i="24"/>
  <c r="AH4" i="24"/>
  <c r="AJ4" i="24" s="1"/>
  <c r="AL4" i="24"/>
  <c r="AQ4" i="24"/>
  <c r="AS4" i="24" s="1"/>
  <c r="AM4" i="24"/>
  <c r="AO4" i="24" s="1"/>
  <c r="AR4" i="24"/>
  <c r="AT4" i="24" s="1"/>
  <c r="W4" i="24"/>
  <c r="Y4" i="24" s="1"/>
  <c r="H4" i="24"/>
  <c r="AB4" i="24"/>
  <c r="AD4" i="24" s="1"/>
  <c r="F11" i="24"/>
  <c r="M4" i="24"/>
  <c r="O4" i="24" s="1"/>
  <c r="H17" i="24"/>
  <c r="J17" i="24" s="1"/>
  <c r="M17" i="24"/>
  <c r="O17" i="24" s="1"/>
  <c r="W17" i="24"/>
  <c r="Y17" i="24" s="1"/>
  <c r="AB17" i="24"/>
  <c r="AD17" i="24" s="1"/>
  <c r="AG17" i="24"/>
  <c r="AI17" i="24" s="1"/>
  <c r="AL17" i="24"/>
  <c r="AN17" i="24" s="1"/>
  <c r="AQ17" i="24"/>
  <c r="AS17" i="24" s="1"/>
  <c r="I17" i="24"/>
  <c r="K17" i="24" s="1"/>
  <c r="N17" i="24"/>
  <c r="P17" i="24" s="1"/>
  <c r="X17" i="24"/>
  <c r="Z17" i="24" s="1"/>
  <c r="AC17" i="24"/>
  <c r="AE17" i="24" s="1"/>
  <c r="AH17" i="24"/>
  <c r="AJ17" i="24" s="1"/>
  <c r="AM17" i="24"/>
  <c r="AO17" i="24" s="1"/>
  <c r="AR17" i="24"/>
  <c r="AT17" i="24" s="1"/>
  <c r="M13" i="24"/>
  <c r="O13" i="24" s="1"/>
  <c r="W13" i="24"/>
  <c r="Y13" i="24" s="1"/>
  <c r="AG13" i="24"/>
  <c r="AI13" i="24" s="1"/>
  <c r="AQ13" i="24"/>
  <c r="AS13" i="24" s="1"/>
  <c r="N13" i="24"/>
  <c r="P13" i="24" s="1"/>
  <c r="X13" i="24"/>
  <c r="Z13" i="24" s="1"/>
  <c r="AH13" i="24"/>
  <c r="AJ13" i="24" s="1"/>
  <c r="AR13" i="24"/>
  <c r="AT13" i="24" s="1"/>
  <c r="H13" i="24"/>
  <c r="J13" i="24" s="1"/>
  <c r="AB13" i="24"/>
  <c r="AD13" i="24" s="1"/>
  <c r="I13" i="24"/>
  <c r="K13" i="24" s="1"/>
  <c r="AC13" i="24"/>
  <c r="AE13" i="24" s="1"/>
  <c r="AL13" i="24"/>
  <c r="AN13" i="24" s="1"/>
  <c r="AM13" i="24"/>
  <c r="AO13" i="24" s="1"/>
  <c r="M22" i="24"/>
  <c r="O22" i="24" s="1"/>
  <c r="W22" i="24"/>
  <c r="Y22" i="24" s="1"/>
  <c r="AG22" i="24"/>
  <c r="AI22" i="24" s="1"/>
  <c r="AQ22" i="24"/>
  <c r="AS22" i="24" s="1"/>
  <c r="I22" i="24"/>
  <c r="K22" i="24" s="1"/>
  <c r="S22" i="24"/>
  <c r="U22" i="24" s="1"/>
  <c r="AC22" i="24"/>
  <c r="AE22" i="24" s="1"/>
  <c r="AM22" i="24"/>
  <c r="AO22" i="24" s="1"/>
  <c r="N22" i="24"/>
  <c r="P22" i="24" s="1"/>
  <c r="X22" i="24"/>
  <c r="Z22" i="24" s="1"/>
  <c r="AH22" i="24"/>
  <c r="AJ22" i="24" s="1"/>
  <c r="AR22" i="24"/>
  <c r="AT22" i="24" s="1"/>
  <c r="AT32" i="24"/>
  <c r="W43" i="24"/>
  <c r="Y43" i="24" s="1"/>
  <c r="AQ43" i="24"/>
  <c r="AS43" i="24" s="1"/>
  <c r="A28" i="24"/>
  <c r="A48" i="24"/>
  <c r="E56" i="24"/>
  <c r="E52" i="24"/>
  <c r="AI41" i="24"/>
  <c r="H9" i="24"/>
  <c r="J9" i="24" s="1"/>
  <c r="M9" i="24"/>
  <c r="O9" i="24" s="1"/>
  <c r="W9" i="24"/>
  <c r="Y9" i="24" s="1"/>
  <c r="AB9" i="24"/>
  <c r="AD9" i="24" s="1"/>
  <c r="AG9" i="24"/>
  <c r="AI9" i="24" s="1"/>
  <c r="AL9" i="24"/>
  <c r="AN9" i="24" s="1"/>
  <c r="AQ9" i="24"/>
  <c r="AS9" i="24" s="1"/>
  <c r="I9" i="24"/>
  <c r="K9" i="24" s="1"/>
  <c r="N9" i="24"/>
  <c r="P9" i="24" s="1"/>
  <c r="S9" i="24"/>
  <c r="U9" i="24" s="1"/>
  <c r="X9" i="24"/>
  <c r="Z9" i="24" s="1"/>
  <c r="AC9" i="24"/>
  <c r="AE9" i="24" s="1"/>
  <c r="AH9" i="24"/>
  <c r="AJ9" i="24" s="1"/>
  <c r="AM9" i="24"/>
  <c r="AO9" i="24" s="1"/>
  <c r="AR9" i="24"/>
  <c r="AT9" i="24" s="1"/>
  <c r="M18" i="24"/>
  <c r="O18" i="24" s="1"/>
  <c r="W18" i="24"/>
  <c r="Y18" i="24" s="1"/>
  <c r="AG18" i="24"/>
  <c r="AI18" i="24" s="1"/>
  <c r="AQ18" i="24"/>
  <c r="AS18" i="24" s="1"/>
  <c r="N18" i="24"/>
  <c r="P18" i="24" s="1"/>
  <c r="X18" i="24"/>
  <c r="Z18" i="24" s="1"/>
  <c r="AH18" i="24"/>
  <c r="AJ18" i="24" s="1"/>
  <c r="AR18" i="24"/>
  <c r="AT18" i="24" s="1"/>
  <c r="R18" i="24"/>
  <c r="T18" i="24" s="1"/>
  <c r="AL18" i="24"/>
  <c r="AN18" i="24" s="1"/>
  <c r="AM18" i="24"/>
  <c r="AO18" i="24" s="1"/>
  <c r="H18" i="24"/>
  <c r="J18" i="24" s="1"/>
  <c r="AB18" i="24"/>
  <c r="AD18" i="24" s="1"/>
  <c r="I18" i="24"/>
  <c r="K18" i="24" s="1"/>
  <c r="AC18" i="24"/>
  <c r="AE18" i="24" s="1"/>
  <c r="H14" i="24"/>
  <c r="J14" i="24" s="1"/>
  <c r="M14" i="24"/>
  <c r="O14" i="24" s="1"/>
  <c r="W14" i="24"/>
  <c r="Y14" i="24" s="1"/>
  <c r="AB14" i="24"/>
  <c r="AD14" i="24" s="1"/>
  <c r="AG14" i="24"/>
  <c r="AI14" i="24" s="1"/>
  <c r="AL14" i="24"/>
  <c r="AN14" i="24" s="1"/>
  <c r="AQ14" i="24"/>
  <c r="AS14" i="24" s="1"/>
  <c r="I14" i="24"/>
  <c r="K14" i="24" s="1"/>
  <c r="AC14" i="24"/>
  <c r="AE14" i="24" s="1"/>
  <c r="AM14" i="24"/>
  <c r="AO14" i="24" s="1"/>
  <c r="X14" i="24"/>
  <c r="Z14" i="24" s="1"/>
  <c r="AR14" i="24"/>
  <c r="AT14" i="24" s="1"/>
  <c r="N14" i="24"/>
  <c r="P14" i="24" s="1"/>
  <c r="AH14" i="24"/>
  <c r="AJ14" i="24" s="1"/>
  <c r="I26" i="24"/>
  <c r="K26" i="24" s="1"/>
  <c r="S26" i="24"/>
  <c r="U26" i="24" s="1"/>
  <c r="AC26" i="24"/>
  <c r="AE26" i="24" s="1"/>
  <c r="AM26" i="24"/>
  <c r="AO26" i="24" s="1"/>
  <c r="M26" i="24"/>
  <c r="O26" i="24" s="1"/>
  <c r="W26" i="24"/>
  <c r="Y26" i="24" s="1"/>
  <c r="AG26" i="24"/>
  <c r="AI26" i="24" s="1"/>
  <c r="AQ26" i="24"/>
  <c r="AS26" i="24" s="1"/>
  <c r="AS24" i="24" s="1"/>
  <c r="N26" i="24"/>
  <c r="P26" i="24" s="1"/>
  <c r="X26" i="24"/>
  <c r="Z26" i="24" s="1"/>
  <c r="AH26" i="24"/>
  <c r="AJ26" i="24" s="1"/>
  <c r="AR26" i="24"/>
  <c r="AT26" i="24" s="1"/>
  <c r="H26" i="24"/>
  <c r="J26" i="24" s="1"/>
  <c r="AB26" i="24"/>
  <c r="AD26" i="24" s="1"/>
  <c r="AL26" i="24"/>
  <c r="AN26" i="24" s="1"/>
  <c r="H20" i="24"/>
  <c r="I20" i="24"/>
  <c r="K20" i="24" s="1"/>
  <c r="AH20" i="24"/>
  <c r="AJ20" i="24" s="1"/>
  <c r="AL20" i="24"/>
  <c r="AQ20" i="24"/>
  <c r="AS20" i="24" s="1"/>
  <c r="AM20" i="24"/>
  <c r="AO20" i="24" s="1"/>
  <c r="AR20" i="24"/>
  <c r="AT20" i="24" s="1"/>
  <c r="N20" i="24"/>
  <c r="P20" i="24" s="1"/>
  <c r="AB20" i="24"/>
  <c r="AD20" i="24" s="1"/>
  <c r="AC20" i="24"/>
  <c r="AE20" i="24" s="1"/>
  <c r="X20" i="24"/>
  <c r="Z20" i="24" s="1"/>
  <c r="AG20" i="24"/>
  <c r="I48" i="24"/>
  <c r="K48" i="24" s="1"/>
  <c r="N48" i="24"/>
  <c r="P48" i="24" s="1"/>
  <c r="S48" i="24"/>
  <c r="U48" i="24" s="1"/>
  <c r="X48" i="24"/>
  <c r="Z48" i="24" s="1"/>
  <c r="AC48" i="24"/>
  <c r="AE48" i="24" s="1"/>
  <c r="AH48" i="24"/>
  <c r="AJ48" i="24" s="1"/>
  <c r="AM48" i="24"/>
  <c r="AO48" i="24" s="1"/>
  <c r="AR48" i="24"/>
  <c r="AT48" i="24" s="1"/>
  <c r="H48" i="24"/>
  <c r="J48" i="24" s="1"/>
  <c r="AI46" i="24"/>
  <c r="AG48" i="24"/>
  <c r="AI48" i="24" s="1"/>
  <c r="I5" i="24"/>
  <c r="K5" i="24" s="1"/>
  <c r="N5" i="24"/>
  <c r="P5" i="24" s="1"/>
  <c r="S5" i="24"/>
  <c r="U5" i="24" s="1"/>
  <c r="X5" i="24"/>
  <c r="Z5" i="24" s="1"/>
  <c r="AC5" i="24"/>
  <c r="AE5" i="24" s="1"/>
  <c r="AH5" i="24"/>
  <c r="AJ5" i="24" s="1"/>
  <c r="AM5" i="24"/>
  <c r="AO5" i="24" s="1"/>
  <c r="AR5" i="24"/>
  <c r="AT5" i="24" s="1"/>
  <c r="M5" i="24"/>
  <c r="O5" i="24" s="1"/>
  <c r="AG5" i="24"/>
  <c r="AI5" i="24" s="1"/>
  <c r="AL5" i="24"/>
  <c r="AN5" i="24" s="1"/>
  <c r="AB5" i="24"/>
  <c r="AD5" i="24" s="1"/>
  <c r="AQ5" i="24"/>
  <c r="AS5" i="24" s="1"/>
  <c r="H5" i="24"/>
  <c r="J5" i="24" s="1"/>
  <c r="W5" i="24"/>
  <c r="Y5" i="24" s="1"/>
  <c r="H7" i="24"/>
  <c r="J7" i="24" s="1"/>
  <c r="M7" i="24"/>
  <c r="O7" i="24" s="1"/>
  <c r="W7" i="24"/>
  <c r="Y7" i="24" s="1"/>
  <c r="AB7" i="24"/>
  <c r="AD7" i="24" s="1"/>
  <c r="AG7" i="24"/>
  <c r="AI7" i="24" s="1"/>
  <c r="AL7" i="24"/>
  <c r="AN7" i="24" s="1"/>
  <c r="AQ7" i="24"/>
  <c r="AS7" i="24" s="1"/>
  <c r="I7" i="24"/>
  <c r="K7" i="24" s="1"/>
  <c r="N7" i="24"/>
  <c r="P7" i="24" s="1"/>
  <c r="S7" i="24"/>
  <c r="U7" i="24" s="1"/>
  <c r="X7" i="24"/>
  <c r="Z7" i="24" s="1"/>
  <c r="AC7" i="24"/>
  <c r="AE7" i="24" s="1"/>
  <c r="AH7" i="24"/>
  <c r="AJ7" i="24" s="1"/>
  <c r="AM7" i="24"/>
  <c r="AO7" i="24" s="1"/>
  <c r="AR7" i="24"/>
  <c r="AT7" i="24" s="1"/>
  <c r="I16" i="24"/>
  <c r="K16" i="24" s="1"/>
  <c r="AC16" i="24"/>
  <c r="AE16" i="24" s="1"/>
  <c r="AM16" i="24"/>
  <c r="AO16" i="24" s="1"/>
  <c r="M16" i="24"/>
  <c r="O16" i="24" s="1"/>
  <c r="W16" i="24"/>
  <c r="Y16" i="24" s="1"/>
  <c r="AG16" i="24"/>
  <c r="AI16" i="24" s="1"/>
  <c r="AQ16" i="24"/>
  <c r="AS16" i="24" s="1"/>
  <c r="H16" i="24"/>
  <c r="J16" i="24" s="1"/>
  <c r="AB16" i="24"/>
  <c r="AD16" i="24" s="1"/>
  <c r="N16" i="24"/>
  <c r="P16" i="24" s="1"/>
  <c r="AH16" i="24"/>
  <c r="AJ16" i="24" s="1"/>
  <c r="AL16" i="24"/>
  <c r="AN16" i="24" s="1"/>
  <c r="X16" i="24"/>
  <c r="Z16" i="24" s="1"/>
  <c r="AR16" i="24"/>
  <c r="AT16" i="24" s="1"/>
  <c r="I12" i="24"/>
  <c r="K12" i="24" s="1"/>
  <c r="M12" i="24"/>
  <c r="O12" i="24" s="1"/>
  <c r="AC12" i="24"/>
  <c r="AE12" i="24" s="1"/>
  <c r="AG12" i="24"/>
  <c r="N12" i="24"/>
  <c r="P12" i="24" s="1"/>
  <c r="AH12" i="24"/>
  <c r="AJ12" i="24" s="1"/>
  <c r="AL12" i="24"/>
  <c r="W12" i="24"/>
  <c r="Y12" i="24" s="1"/>
  <c r="AM12" i="24"/>
  <c r="AO12" i="24" s="1"/>
  <c r="AQ12" i="24"/>
  <c r="AS12" i="24" s="1"/>
  <c r="H12" i="24"/>
  <c r="J12" i="24" s="1"/>
  <c r="AB12" i="24"/>
  <c r="AD12" i="24" s="1"/>
  <c r="AR12" i="24"/>
  <c r="AT12" i="24" s="1"/>
  <c r="X12" i="24"/>
  <c r="Z12" i="24" s="1"/>
  <c r="AH25" i="24"/>
  <c r="AJ25" i="24" s="1"/>
  <c r="AJ24" i="24" s="1"/>
  <c r="AM25" i="24"/>
  <c r="AO25" i="24" s="1"/>
  <c r="AO24" i="24" s="1"/>
  <c r="AR25" i="24"/>
  <c r="AT25" i="24" s="1"/>
  <c r="AT24" i="24" s="1"/>
  <c r="H25" i="24"/>
  <c r="AB25" i="24"/>
  <c r="AD25" i="24" s="1"/>
  <c r="AD24" i="24" s="1"/>
  <c r="I25" i="24"/>
  <c r="K25" i="24" s="1"/>
  <c r="K24" i="24" s="1"/>
  <c r="S25" i="24"/>
  <c r="U25" i="24" s="1"/>
  <c r="AC25" i="24"/>
  <c r="AE25" i="24" s="1"/>
  <c r="AE24" i="24" s="1"/>
  <c r="M25" i="24"/>
  <c r="O25" i="24" s="1"/>
  <c r="O24" i="24" s="1"/>
  <c r="W25" i="24"/>
  <c r="Y25" i="24" s="1"/>
  <c r="Y24" i="24" s="1"/>
  <c r="N25" i="24"/>
  <c r="P25" i="24" s="1"/>
  <c r="P24" i="24" s="1"/>
  <c r="X25" i="24"/>
  <c r="Z25" i="24" s="1"/>
  <c r="Z24" i="24" s="1"/>
  <c r="AG25" i="24"/>
  <c r="I43" i="24"/>
  <c r="K43" i="24" s="1"/>
  <c r="N43" i="24"/>
  <c r="P43" i="24" s="1"/>
  <c r="S43" i="24"/>
  <c r="U43" i="24" s="1"/>
  <c r="U40" i="24" s="1"/>
  <c r="X43" i="24"/>
  <c r="Z43" i="24" s="1"/>
  <c r="AC43" i="24"/>
  <c r="AE43" i="24" s="1"/>
  <c r="AH43" i="24"/>
  <c r="AJ43" i="24" s="1"/>
  <c r="AM43" i="24"/>
  <c r="AO43" i="24" s="1"/>
  <c r="AR43" i="24"/>
  <c r="AT43" i="24" s="1"/>
  <c r="H43" i="24"/>
  <c r="J43" i="24" s="1"/>
  <c r="M43" i="24"/>
  <c r="O43" i="24" s="1"/>
  <c r="H42" i="24"/>
  <c r="J42" i="24" s="1"/>
  <c r="M42" i="24"/>
  <c r="O42" i="24" s="1"/>
  <c r="O40" i="24" s="1"/>
  <c r="W42" i="24"/>
  <c r="Y42" i="24" s="1"/>
  <c r="AB42" i="24"/>
  <c r="AD42" i="24" s="1"/>
  <c r="AD40" i="24" s="1"/>
  <c r="AG42" i="24"/>
  <c r="AI42" i="24" s="1"/>
  <c r="AL42" i="24"/>
  <c r="AQ42" i="24"/>
  <c r="AS42" i="24" s="1"/>
  <c r="AS40" i="24" s="1"/>
  <c r="I42" i="24"/>
  <c r="K42" i="24" s="1"/>
  <c r="N42" i="24"/>
  <c r="P42" i="24" s="1"/>
  <c r="P40" i="24" s="1"/>
  <c r="S42" i="24"/>
  <c r="U42" i="24" s="1"/>
  <c r="X42" i="24"/>
  <c r="Z42" i="24" s="1"/>
  <c r="Z40" i="24" s="1"/>
  <c r="AC42" i="24"/>
  <c r="AE42" i="24" s="1"/>
  <c r="AE40" i="24" s="1"/>
  <c r="AH42" i="24"/>
  <c r="AJ42" i="24" s="1"/>
  <c r="AM42" i="24"/>
  <c r="AO42" i="24" s="1"/>
  <c r="AR42" i="24"/>
  <c r="AT42" i="24" s="1"/>
  <c r="AT40" i="24" s="1"/>
  <c r="AG43" i="24"/>
  <c r="AI43" i="24" s="1"/>
  <c r="W48" i="24"/>
  <c r="Y48" i="24" s="1"/>
  <c r="AL48" i="24"/>
  <c r="AN48" i="24" s="1"/>
  <c r="AO40" i="24"/>
  <c r="J41" i="24"/>
  <c r="G41" i="24"/>
  <c r="AQ48" i="24"/>
  <c r="AS48" i="24" s="1"/>
  <c r="I10" i="24"/>
  <c r="K10" i="24" s="1"/>
  <c r="N10" i="24"/>
  <c r="P10" i="24" s="1"/>
  <c r="S10" i="24"/>
  <c r="U10" i="24" s="1"/>
  <c r="X10" i="24"/>
  <c r="Z10" i="24" s="1"/>
  <c r="AC10" i="24"/>
  <c r="AE10" i="24" s="1"/>
  <c r="AH10" i="24"/>
  <c r="AJ10" i="24" s="1"/>
  <c r="AM10" i="24"/>
  <c r="AO10" i="24" s="1"/>
  <c r="AR10" i="24"/>
  <c r="AT10" i="24" s="1"/>
  <c r="W10" i="24"/>
  <c r="Y10" i="24" s="1"/>
  <c r="AQ10" i="24"/>
  <c r="AS10" i="24" s="1"/>
  <c r="H10" i="24"/>
  <c r="J10" i="24" s="1"/>
  <c r="AB10" i="24"/>
  <c r="AD10" i="24" s="1"/>
  <c r="M10" i="24"/>
  <c r="O10" i="24" s="1"/>
  <c r="AG10" i="24"/>
  <c r="AI10" i="24" s="1"/>
  <c r="AL10" i="24"/>
  <c r="AN10" i="24" s="1"/>
  <c r="H6" i="24"/>
  <c r="J6" i="24" s="1"/>
  <c r="M6" i="24"/>
  <c r="O6" i="24" s="1"/>
  <c r="W6" i="24"/>
  <c r="Y6" i="24" s="1"/>
  <c r="AB6" i="24"/>
  <c r="AD6" i="24" s="1"/>
  <c r="AG6" i="24"/>
  <c r="AI6" i="24" s="1"/>
  <c r="AL6" i="24"/>
  <c r="AN6" i="24" s="1"/>
  <c r="AQ6" i="24"/>
  <c r="AS6" i="24" s="1"/>
  <c r="X6" i="24"/>
  <c r="Z6" i="24" s="1"/>
  <c r="AR6" i="24"/>
  <c r="AT6" i="24" s="1"/>
  <c r="I6" i="24"/>
  <c r="K6" i="24" s="1"/>
  <c r="AC6" i="24"/>
  <c r="AE6" i="24" s="1"/>
  <c r="N6" i="24"/>
  <c r="P6" i="24" s="1"/>
  <c r="S6" i="24"/>
  <c r="U6" i="24" s="1"/>
  <c r="AH6" i="24"/>
  <c r="AJ6" i="24" s="1"/>
  <c r="AM6" i="24"/>
  <c r="AO6" i="24" s="1"/>
  <c r="H15" i="24"/>
  <c r="J15" i="24" s="1"/>
  <c r="M15" i="24"/>
  <c r="O15" i="24" s="1"/>
  <c r="W15" i="24"/>
  <c r="Y15" i="24" s="1"/>
  <c r="AB15" i="24"/>
  <c r="AD15" i="24" s="1"/>
  <c r="AG15" i="24"/>
  <c r="AI15" i="24" s="1"/>
  <c r="AL15" i="24"/>
  <c r="AN15" i="24" s="1"/>
  <c r="AQ15" i="24"/>
  <c r="AS15" i="24" s="1"/>
  <c r="I15" i="24"/>
  <c r="K15" i="24" s="1"/>
  <c r="N15" i="24"/>
  <c r="P15" i="24" s="1"/>
  <c r="X15" i="24"/>
  <c r="Z15" i="24" s="1"/>
  <c r="AC15" i="24"/>
  <c r="AE15" i="24" s="1"/>
  <c r="AH15" i="24"/>
  <c r="AJ15" i="24" s="1"/>
  <c r="AM15" i="24"/>
  <c r="AO15" i="24" s="1"/>
  <c r="AR15" i="24"/>
  <c r="AT15" i="24" s="1"/>
  <c r="AL25" i="24"/>
  <c r="AC21" i="24"/>
  <c r="AE21" i="24" s="1"/>
  <c r="AM21" i="24"/>
  <c r="AO21" i="24" s="1"/>
  <c r="M21" i="24"/>
  <c r="O21" i="24" s="1"/>
  <c r="W21" i="24"/>
  <c r="Y21" i="24" s="1"/>
  <c r="AG21" i="24"/>
  <c r="AI21" i="24" s="1"/>
  <c r="AQ21" i="24"/>
  <c r="AS21" i="24" s="1"/>
  <c r="X21" i="24"/>
  <c r="Z21" i="24" s="1"/>
  <c r="AH21" i="24"/>
  <c r="AJ21" i="24" s="1"/>
  <c r="AR21" i="24"/>
  <c r="AT21" i="24" s="1"/>
  <c r="H21" i="24"/>
  <c r="J21" i="24" s="1"/>
  <c r="AB21" i="24"/>
  <c r="AD21" i="24" s="1"/>
  <c r="AL21" i="24"/>
  <c r="AN21" i="24" s="1"/>
  <c r="AO32" i="24"/>
  <c r="AL43" i="24"/>
  <c r="AN43" i="24" s="1"/>
  <c r="H47" i="24"/>
  <c r="J47" i="24" s="1"/>
  <c r="M47" i="24"/>
  <c r="O47" i="24" s="1"/>
  <c r="O45" i="24" s="1"/>
  <c r="W47" i="24"/>
  <c r="Y47" i="24" s="1"/>
  <c r="Y45" i="24" s="1"/>
  <c r="AB47" i="24"/>
  <c r="AD47" i="24" s="1"/>
  <c r="AG47" i="24"/>
  <c r="AI47" i="24" s="1"/>
  <c r="AL47" i="24"/>
  <c r="AN47" i="24" s="1"/>
  <c r="AQ47" i="24"/>
  <c r="AS47" i="24" s="1"/>
  <c r="AS45" i="24" s="1"/>
  <c r="I47" i="24"/>
  <c r="K47" i="24" s="1"/>
  <c r="N47" i="24"/>
  <c r="P47" i="24" s="1"/>
  <c r="P45" i="24" s="1"/>
  <c r="S47" i="24"/>
  <c r="U47" i="24" s="1"/>
  <c r="X47" i="24"/>
  <c r="Z47" i="24" s="1"/>
  <c r="Z45" i="24" s="1"/>
  <c r="AC47" i="24"/>
  <c r="AE47" i="24" s="1"/>
  <c r="AE45" i="24" s="1"/>
  <c r="AH47" i="24"/>
  <c r="AJ47" i="24" s="1"/>
  <c r="AJ45" i="24" s="1"/>
  <c r="AM47" i="24"/>
  <c r="AO47" i="24" s="1"/>
  <c r="AO45" i="24" s="1"/>
  <c r="AR47" i="24"/>
  <c r="AT47" i="24" s="1"/>
  <c r="AT45" i="24" s="1"/>
  <c r="AB48" i="24"/>
  <c r="AD48" i="24" s="1"/>
  <c r="AJ40" i="24"/>
  <c r="Y40" i="24"/>
  <c r="J46" i="24"/>
  <c r="J45" i="24" s="1"/>
  <c r="G46" i="24"/>
  <c r="AN46" i="24"/>
  <c r="AN45" i="24" s="1"/>
  <c r="AF27" i="23"/>
  <c r="S12" i="23"/>
  <c r="AI12" i="23"/>
  <c r="AK12" i="23" s="1"/>
  <c r="AM12" i="23"/>
  <c r="H12" i="23"/>
  <c r="J12" i="23" s="1"/>
  <c r="T12" i="23"/>
  <c r="X12" i="23"/>
  <c r="AN12" i="23"/>
  <c r="AP12" i="23" s="1"/>
  <c r="AR12" i="23"/>
  <c r="I12" i="23"/>
  <c r="M12" i="23"/>
  <c r="Y12" i="23"/>
  <c r="AA12" i="23" s="1"/>
  <c r="AC12" i="23"/>
  <c r="AS12" i="23"/>
  <c r="AU12" i="23" s="1"/>
  <c r="N12" i="23"/>
  <c r="AD12" i="23"/>
  <c r="AF12" i="23" s="1"/>
  <c r="A17" i="23"/>
  <c r="AH12" i="23"/>
  <c r="K11" i="23"/>
  <c r="I18" i="23"/>
  <c r="K18" i="23" s="1"/>
  <c r="T16" i="23"/>
  <c r="V16" i="23" s="1"/>
  <c r="Y16" i="23"/>
  <c r="AA16" i="23" s="1"/>
  <c r="AD16" i="23"/>
  <c r="AF16" i="23" s="1"/>
  <c r="AI16" i="23"/>
  <c r="AK16" i="23" s="1"/>
  <c r="AN16" i="23"/>
  <c r="AP16" i="23" s="1"/>
  <c r="AS16" i="23"/>
  <c r="AU16" i="23" s="1"/>
  <c r="H16" i="23"/>
  <c r="J16" i="23" s="1"/>
  <c r="M16" i="23"/>
  <c r="O16" i="23" s="1"/>
  <c r="S16" i="23"/>
  <c r="U16" i="23" s="1"/>
  <c r="AH16" i="23"/>
  <c r="AJ16" i="23" s="1"/>
  <c r="I16" i="23"/>
  <c r="K16" i="23" s="1"/>
  <c r="AC16" i="23"/>
  <c r="AE16" i="23" s="1"/>
  <c r="N16" i="23"/>
  <c r="P16" i="23" s="1"/>
  <c r="X16" i="23"/>
  <c r="Z16" i="23" s="1"/>
  <c r="AR16" i="23"/>
  <c r="AT16" i="23" s="1"/>
  <c r="AM16" i="23"/>
  <c r="AO16" i="23" s="1"/>
  <c r="H23" i="23"/>
  <c r="J23" i="23" s="1"/>
  <c r="H25" i="23"/>
  <c r="J25" i="23" s="1"/>
  <c r="H22" i="23"/>
  <c r="J22" i="23" s="1"/>
  <c r="H20" i="23"/>
  <c r="J20" i="23" s="1"/>
  <c r="H26" i="23"/>
  <c r="J26" i="23" s="1"/>
  <c r="H24" i="23"/>
  <c r="J24" i="23" s="1"/>
  <c r="H21" i="23"/>
  <c r="J21" i="23" s="1"/>
  <c r="Y17" i="23"/>
  <c r="AA17" i="23" s="1"/>
  <c r="AB20" i="23"/>
  <c r="V19" i="23"/>
  <c r="AB36" i="23"/>
  <c r="T46" i="23"/>
  <c r="V46" i="23" s="1"/>
  <c r="Y46" i="23"/>
  <c r="AA46" i="23" s="1"/>
  <c r="AD46" i="23"/>
  <c r="AF46" i="23" s="1"/>
  <c r="AI46" i="23"/>
  <c r="AK46" i="23" s="1"/>
  <c r="AN46" i="23"/>
  <c r="AP46" i="23" s="1"/>
  <c r="AS46" i="23"/>
  <c r="AU46" i="23" s="1"/>
  <c r="H46" i="23"/>
  <c r="J46" i="23" s="1"/>
  <c r="M46" i="23"/>
  <c r="O46" i="23" s="1"/>
  <c r="I46" i="23"/>
  <c r="K46" i="23" s="1"/>
  <c r="N46" i="23"/>
  <c r="P46" i="23" s="1"/>
  <c r="S46" i="23"/>
  <c r="U46" i="23" s="1"/>
  <c r="X46" i="23"/>
  <c r="Z46" i="23" s="1"/>
  <c r="AC46" i="23"/>
  <c r="AE46" i="23" s="1"/>
  <c r="AH46" i="23"/>
  <c r="AJ46" i="23" s="1"/>
  <c r="AM46" i="23"/>
  <c r="AO46" i="23" s="1"/>
  <c r="AR46" i="23"/>
  <c r="AT46" i="23" s="1"/>
  <c r="N31" i="23"/>
  <c r="P31" i="23" s="1"/>
  <c r="N33" i="23"/>
  <c r="P33" i="23" s="1"/>
  <c r="N30" i="23"/>
  <c r="P30" i="23" s="1"/>
  <c r="N28" i="23"/>
  <c r="P28" i="23" s="1"/>
  <c r="N29" i="23"/>
  <c r="P29" i="23" s="1"/>
  <c r="N32" i="23"/>
  <c r="P32" i="23" s="1"/>
  <c r="N34" i="23"/>
  <c r="P34" i="23" s="1"/>
  <c r="X7" i="23"/>
  <c r="Z7" i="23" s="1"/>
  <c r="X6" i="23"/>
  <c r="Z6" i="23" s="1"/>
  <c r="X9" i="23"/>
  <c r="Z9" i="23" s="1"/>
  <c r="X4" i="23"/>
  <c r="X5" i="23"/>
  <c r="Z5" i="23" s="1"/>
  <c r="X8" i="23"/>
  <c r="Z8" i="23" s="1"/>
  <c r="X10" i="23"/>
  <c r="Z10" i="23" s="1"/>
  <c r="X74" i="23"/>
  <c r="Z36" i="23"/>
  <c r="Z35" i="23" s="1"/>
  <c r="W36" i="23"/>
  <c r="AJ44" i="23"/>
  <c r="L49" i="23"/>
  <c r="O49" i="23"/>
  <c r="O48" i="23" s="1"/>
  <c r="AK48" i="23"/>
  <c r="K56" i="23"/>
  <c r="I58" i="23"/>
  <c r="K58" i="23" s="1"/>
  <c r="I59" i="23"/>
  <c r="K59" i="23" s="1"/>
  <c r="I57" i="23"/>
  <c r="K57" i="23" s="1"/>
  <c r="I62" i="23"/>
  <c r="K62" i="23" s="1"/>
  <c r="I63" i="23"/>
  <c r="K63" i="23" s="1"/>
  <c r="I60" i="23"/>
  <c r="K60" i="23" s="1"/>
  <c r="I61" i="23"/>
  <c r="K61" i="23" s="1"/>
  <c r="T49" i="23"/>
  <c r="V49" i="23" s="1"/>
  <c r="T50" i="23"/>
  <c r="V50" i="23" s="1"/>
  <c r="T53" i="23"/>
  <c r="V53" i="23" s="1"/>
  <c r="T55" i="23"/>
  <c r="V55" i="23" s="1"/>
  <c r="T51" i="23"/>
  <c r="V51" i="23" s="1"/>
  <c r="T52" i="23"/>
  <c r="V52" i="23" s="1"/>
  <c r="T54" i="23"/>
  <c r="V54" i="23" s="1"/>
  <c r="AJ57" i="23"/>
  <c r="AJ56" i="23" s="1"/>
  <c r="AG57" i="23"/>
  <c r="Z56" i="23"/>
  <c r="U57" i="23"/>
  <c r="U56" i="23" s="1"/>
  <c r="R57" i="23"/>
  <c r="U65" i="23"/>
  <c r="U64" i="23" s="1"/>
  <c r="R65" i="23"/>
  <c r="AT70" i="23"/>
  <c r="AT69" i="23" s="1"/>
  <c r="AQ70" i="23"/>
  <c r="AQ57" i="23"/>
  <c r="Z70" i="23"/>
  <c r="Z69" i="23" s="1"/>
  <c r="W70" i="23"/>
  <c r="AA69" i="23"/>
  <c r="AR76" i="23"/>
  <c r="J69" i="23"/>
  <c r="L70" i="23"/>
  <c r="R20" i="23"/>
  <c r="U20" i="23"/>
  <c r="U19" i="23" s="1"/>
  <c r="T29" i="23"/>
  <c r="V29" i="23" s="1"/>
  <c r="T32" i="23"/>
  <c r="V32" i="23" s="1"/>
  <c r="T34" i="23"/>
  <c r="V34" i="23" s="1"/>
  <c r="T28" i="23"/>
  <c r="V28" i="23" s="1"/>
  <c r="T31" i="23"/>
  <c r="V31" i="23" s="1"/>
  <c r="T33" i="23"/>
  <c r="V33" i="23" s="1"/>
  <c r="T30" i="23"/>
  <c r="V30" i="23" s="1"/>
  <c r="AA27" i="23"/>
  <c r="AG28" i="23"/>
  <c r="R36" i="23"/>
  <c r="U36" i="23"/>
  <c r="U35" i="23" s="1"/>
  <c r="M31" i="23"/>
  <c r="O31" i="23" s="1"/>
  <c r="M33" i="23"/>
  <c r="O33" i="23" s="1"/>
  <c r="M30" i="23"/>
  <c r="O30" i="23" s="1"/>
  <c r="M28" i="23"/>
  <c r="O28" i="23" s="1"/>
  <c r="M29" i="23"/>
  <c r="O29" i="23" s="1"/>
  <c r="M32" i="23"/>
  <c r="O32" i="23" s="1"/>
  <c r="M34" i="23"/>
  <c r="O34" i="23" s="1"/>
  <c r="M74" i="23"/>
  <c r="Y8" i="23"/>
  <c r="AA8" i="23" s="1"/>
  <c r="Y10" i="23"/>
  <c r="AA10" i="23" s="1"/>
  <c r="Y7" i="23"/>
  <c r="AA7" i="23" s="1"/>
  <c r="Y6" i="23"/>
  <c r="AA6" i="23" s="1"/>
  <c r="Y9" i="23"/>
  <c r="AA9" i="23" s="1"/>
  <c r="Y4" i="23"/>
  <c r="AA4" i="23" s="1"/>
  <c r="Y5" i="23"/>
  <c r="AA5" i="23" s="1"/>
  <c r="Y74" i="23"/>
  <c r="AE44" i="23"/>
  <c r="Z44" i="23"/>
  <c r="J48" i="23"/>
  <c r="W57" i="23"/>
  <c r="O65" i="23"/>
  <c r="O64" i="23" s="1"/>
  <c r="L65" i="23"/>
  <c r="AP69" i="23"/>
  <c r="AO65" i="23"/>
  <c r="AO64" i="23" s="1"/>
  <c r="AL65" i="23"/>
  <c r="T15" i="23"/>
  <c r="V15" i="23" s="1"/>
  <c r="Y15" i="23"/>
  <c r="AA15" i="23" s="1"/>
  <c r="AD15" i="23"/>
  <c r="AF15" i="23" s="1"/>
  <c r="AI15" i="23"/>
  <c r="AK15" i="23" s="1"/>
  <c r="AN15" i="23"/>
  <c r="AP15" i="23" s="1"/>
  <c r="AS15" i="23"/>
  <c r="AU15" i="23" s="1"/>
  <c r="H15" i="23"/>
  <c r="J15" i="23" s="1"/>
  <c r="M15" i="23"/>
  <c r="O15" i="23" s="1"/>
  <c r="N15" i="23"/>
  <c r="P15" i="23" s="1"/>
  <c r="AH15" i="23"/>
  <c r="AJ15" i="23" s="1"/>
  <c r="S15" i="23"/>
  <c r="U15" i="23" s="1"/>
  <c r="AM15" i="23"/>
  <c r="AO15" i="23" s="1"/>
  <c r="X15" i="23"/>
  <c r="Z15" i="23" s="1"/>
  <c r="AR15" i="23"/>
  <c r="AT15" i="23" s="1"/>
  <c r="AC15" i="23"/>
  <c r="AE15" i="23" s="1"/>
  <c r="I15" i="23"/>
  <c r="K15" i="23" s="1"/>
  <c r="I13" i="23"/>
  <c r="K13" i="23" s="1"/>
  <c r="N13" i="23"/>
  <c r="P13" i="23" s="1"/>
  <c r="S13" i="23"/>
  <c r="U13" i="23" s="1"/>
  <c r="X13" i="23"/>
  <c r="Z13" i="23" s="1"/>
  <c r="AC13" i="23"/>
  <c r="AE13" i="23" s="1"/>
  <c r="AH13" i="23"/>
  <c r="AJ13" i="23" s="1"/>
  <c r="AM13" i="23"/>
  <c r="AO13" i="23" s="1"/>
  <c r="AR13" i="23"/>
  <c r="AT13" i="23" s="1"/>
  <c r="T13" i="23"/>
  <c r="V13" i="23" s="1"/>
  <c r="Y13" i="23"/>
  <c r="AA13" i="23" s="1"/>
  <c r="AD13" i="23"/>
  <c r="AF13" i="23" s="1"/>
  <c r="AI13" i="23"/>
  <c r="AK13" i="23" s="1"/>
  <c r="AN13" i="23"/>
  <c r="AP13" i="23" s="1"/>
  <c r="AS13" i="23"/>
  <c r="AU13" i="23" s="1"/>
  <c r="M13" i="23"/>
  <c r="O13" i="23" s="1"/>
  <c r="H13" i="23"/>
  <c r="J13" i="23" s="1"/>
  <c r="T14" i="23"/>
  <c r="V14" i="23" s="1"/>
  <c r="Y14" i="23"/>
  <c r="AA14" i="23" s="1"/>
  <c r="AD14" i="23"/>
  <c r="AF14" i="23" s="1"/>
  <c r="AI14" i="23"/>
  <c r="AK14" i="23" s="1"/>
  <c r="AN14" i="23"/>
  <c r="AP14" i="23" s="1"/>
  <c r="AS14" i="23"/>
  <c r="AU14" i="23" s="1"/>
  <c r="H14" i="23"/>
  <c r="J14" i="23" s="1"/>
  <c r="M14" i="23"/>
  <c r="O14" i="23" s="1"/>
  <c r="X14" i="23"/>
  <c r="Z14" i="23" s="1"/>
  <c r="AR14" i="23"/>
  <c r="AT14" i="23" s="1"/>
  <c r="I14" i="23"/>
  <c r="K14" i="23" s="1"/>
  <c r="AC14" i="23"/>
  <c r="AE14" i="23" s="1"/>
  <c r="N14" i="23"/>
  <c r="P14" i="23" s="1"/>
  <c r="AH14" i="23"/>
  <c r="AJ14" i="23" s="1"/>
  <c r="AM14" i="23"/>
  <c r="AO14" i="23" s="1"/>
  <c r="S14" i="23"/>
  <c r="U14" i="23" s="1"/>
  <c r="H18" i="23"/>
  <c r="J18" i="23" s="1"/>
  <c r="I17" i="23"/>
  <c r="K17" i="23" s="1"/>
  <c r="H17" i="23"/>
  <c r="J17" i="23" s="1"/>
  <c r="N36" i="23"/>
  <c r="P36" i="23" s="1"/>
  <c r="N37" i="23"/>
  <c r="P37" i="23" s="1"/>
  <c r="N39" i="23"/>
  <c r="P39" i="23" s="1"/>
  <c r="N38" i="23"/>
  <c r="P38" i="23" s="1"/>
  <c r="N40" i="23"/>
  <c r="P40" i="23" s="1"/>
  <c r="N42" i="23"/>
  <c r="P42" i="23" s="1"/>
  <c r="N41" i="23"/>
  <c r="P41" i="23" s="1"/>
  <c r="U28" i="23"/>
  <c r="U27" i="23" s="1"/>
  <c r="R28" i="23"/>
  <c r="AJ27" i="23"/>
  <c r="I36" i="23"/>
  <c r="K36" i="23" s="1"/>
  <c r="I37" i="23"/>
  <c r="K37" i="23" s="1"/>
  <c r="I39" i="23"/>
  <c r="K39" i="23" s="1"/>
  <c r="I38" i="23"/>
  <c r="K38" i="23" s="1"/>
  <c r="K35" i="23"/>
  <c r="I42" i="23"/>
  <c r="K42" i="23" s="1"/>
  <c r="I40" i="23"/>
  <c r="K40" i="23" s="1"/>
  <c r="I41" i="23"/>
  <c r="K41" i="23" s="1"/>
  <c r="T45" i="23"/>
  <c r="V45" i="23" s="1"/>
  <c r="Y45" i="23"/>
  <c r="AA45" i="23" s="1"/>
  <c r="AD45" i="23"/>
  <c r="AF45" i="23" s="1"/>
  <c r="AF43" i="23" s="1"/>
  <c r="AI45" i="23"/>
  <c r="AK45" i="23" s="1"/>
  <c r="AK43" i="23" s="1"/>
  <c r="AN45" i="23"/>
  <c r="AP45" i="23" s="1"/>
  <c r="AP43" i="23" s="1"/>
  <c r="AS45" i="23"/>
  <c r="AU45" i="23" s="1"/>
  <c r="AU43" i="23" s="1"/>
  <c r="H45" i="23"/>
  <c r="J45" i="23" s="1"/>
  <c r="J43" i="23" s="1"/>
  <c r="M45" i="23"/>
  <c r="O45" i="23" s="1"/>
  <c r="I45" i="23"/>
  <c r="K45" i="23" s="1"/>
  <c r="N45" i="23"/>
  <c r="P45" i="23" s="1"/>
  <c r="P43" i="23" s="1"/>
  <c r="S45" i="23"/>
  <c r="U45" i="23" s="1"/>
  <c r="U43" i="23" s="1"/>
  <c r="X45" i="23"/>
  <c r="Z45" i="23" s="1"/>
  <c r="AC45" i="23"/>
  <c r="AE45" i="23" s="1"/>
  <c r="AH45" i="23"/>
  <c r="AJ45" i="23" s="1"/>
  <c r="AM45" i="23"/>
  <c r="AO45" i="23" s="1"/>
  <c r="AR45" i="23"/>
  <c r="AT45" i="23" s="1"/>
  <c r="A48" i="23"/>
  <c r="M44" i="23"/>
  <c r="O44" i="23" s="1"/>
  <c r="O43" i="23" s="1"/>
  <c r="V43" i="23"/>
  <c r="AA48" i="23"/>
  <c r="O57" i="23"/>
  <c r="O56" i="23" s="1"/>
  <c r="L57" i="23"/>
  <c r="J56" i="23"/>
  <c r="I72" i="23"/>
  <c r="K72" i="23" s="1"/>
  <c r="I73" i="23"/>
  <c r="K73" i="23" s="1"/>
  <c r="I71" i="23"/>
  <c r="K71" i="23" s="1"/>
  <c r="K69" i="23"/>
  <c r="I70" i="23"/>
  <c r="K70" i="23" s="1"/>
  <c r="V69" i="23"/>
  <c r="AJ70" i="23"/>
  <c r="AJ69" i="23" s="1"/>
  <c r="AG70" i="23"/>
  <c r="O69" i="23"/>
  <c r="P64" i="23"/>
  <c r="AK64" i="23"/>
  <c r="P19" i="23"/>
  <c r="I20" i="23"/>
  <c r="K20" i="23" s="1"/>
  <c r="I21" i="23"/>
  <c r="K21" i="23" s="1"/>
  <c r="I24" i="23"/>
  <c r="K24" i="23" s="1"/>
  <c r="I23" i="23"/>
  <c r="K23" i="23" s="1"/>
  <c r="I25" i="23"/>
  <c r="K25" i="23" s="1"/>
  <c r="I26" i="23"/>
  <c r="K26" i="23" s="1"/>
  <c r="K19" i="23"/>
  <c r="K74" i="23" s="1"/>
  <c r="I22" i="23"/>
  <c r="K22" i="23" s="1"/>
  <c r="Z20" i="23"/>
  <c r="Z19" i="23" s="1"/>
  <c r="W20" i="23"/>
  <c r="J27" i="23"/>
  <c r="H39" i="23"/>
  <c r="J39" i="23" s="1"/>
  <c r="H38" i="23"/>
  <c r="J38" i="23" s="1"/>
  <c r="H42" i="23"/>
  <c r="J42" i="23" s="1"/>
  <c r="H37" i="23"/>
  <c r="J37" i="23" s="1"/>
  <c r="H40" i="23"/>
  <c r="J40" i="23" s="1"/>
  <c r="H41" i="23"/>
  <c r="J41" i="23" s="1"/>
  <c r="H36" i="23"/>
  <c r="J36" i="23" s="1"/>
  <c r="V35" i="23"/>
  <c r="AA43" i="23"/>
  <c r="AO44" i="23"/>
  <c r="AO43" i="23" s="1"/>
  <c r="AL44" i="23"/>
  <c r="AT44" i="23"/>
  <c r="AT43" i="23" s="1"/>
  <c r="AQ44" i="23"/>
  <c r="S51" i="23"/>
  <c r="U51" i="23" s="1"/>
  <c r="S49" i="23"/>
  <c r="S50" i="23"/>
  <c r="U50" i="23" s="1"/>
  <c r="S53" i="23"/>
  <c r="U53" i="23" s="1"/>
  <c r="S55" i="23"/>
  <c r="U55" i="23" s="1"/>
  <c r="S52" i="23"/>
  <c r="U52" i="23" s="1"/>
  <c r="S54" i="23"/>
  <c r="U54" i="23" s="1"/>
  <c r="S74" i="23"/>
  <c r="AA64" i="23"/>
  <c r="AU64" i="23"/>
  <c r="AT56" i="23"/>
  <c r="AE65" i="23"/>
  <c r="AE64" i="23" s="1"/>
  <c r="AB65" i="23"/>
  <c r="A7" i="23"/>
  <c r="A23" i="23"/>
  <c r="A16" i="23"/>
  <c r="A39" i="23"/>
  <c r="A47" i="23"/>
  <c r="A52" i="23"/>
  <c r="A72" i="23"/>
  <c r="AH76" i="23"/>
  <c r="M19" i="22"/>
  <c r="M54" i="22" s="1"/>
  <c r="L38" i="22"/>
  <c r="H65" i="22"/>
  <c r="R24" i="24" s="1"/>
  <c r="H64" i="22"/>
  <c r="R19" i="24" s="1"/>
  <c r="R21" i="24" s="1"/>
  <c r="T21" i="24" s="1"/>
  <c r="H63" i="22"/>
  <c r="R11" i="24" s="1"/>
  <c r="R16" i="24" s="1"/>
  <c r="T16" i="24" s="1"/>
  <c r="H62" i="22"/>
  <c r="R3" i="24" s="1"/>
  <c r="R10" i="24" s="1"/>
  <c r="T10" i="24" s="1"/>
  <c r="H67" i="22"/>
  <c r="R45" i="24" s="1"/>
  <c r="R47" i="24" s="1"/>
  <c r="T47" i="24" s="1"/>
  <c r="H66" i="22"/>
  <c r="R40" i="24" s="1"/>
  <c r="R42" i="24" s="1"/>
  <c r="T42" i="24" s="1"/>
  <c r="P22" i="22"/>
  <c r="P57" i="22"/>
  <c r="N22" i="22"/>
  <c r="J53" i="22"/>
  <c r="K5" i="22"/>
  <c r="N6" i="22"/>
  <c r="K12" i="20"/>
  <c r="L30" i="22"/>
  <c r="L31" i="22"/>
  <c r="L32" i="22"/>
  <c r="L29" i="22"/>
  <c r="J62" i="22"/>
  <c r="J66" i="22"/>
  <c r="J65" i="22"/>
  <c r="J64" i="22"/>
  <c r="J67" i="22"/>
  <c r="J63" i="22"/>
  <c r="D53" i="22"/>
  <c r="D63" i="22"/>
  <c r="D67" i="22"/>
  <c r="D62" i="22"/>
  <c r="D66" i="22"/>
  <c r="D58" i="22"/>
  <c r="E58" i="22" s="1"/>
  <c r="F13" i="20" s="1"/>
  <c r="D61" i="22"/>
  <c r="D65" i="22"/>
  <c r="D64" i="22"/>
  <c r="L70" i="22"/>
  <c r="L72" i="22"/>
  <c r="L74" i="22"/>
  <c r="L71" i="22"/>
  <c r="L69" i="22"/>
  <c r="L73" i="22"/>
  <c r="J70" i="22"/>
  <c r="J72" i="22"/>
  <c r="J74" i="22"/>
  <c r="J69" i="22"/>
  <c r="J73" i="22"/>
  <c r="J71" i="22"/>
  <c r="Q5" i="22"/>
  <c r="P18" i="22"/>
  <c r="P53" i="22" s="1"/>
  <c r="P61" i="22" s="1"/>
  <c r="M23" i="22"/>
  <c r="M58" i="22" s="1"/>
  <c r="J13" i="20" s="1"/>
  <c r="L58" i="22"/>
  <c r="AB5" i="34" l="1"/>
  <c r="AD5" i="34" s="1"/>
  <c r="AB7" i="34"/>
  <c r="AD7" i="34" s="1"/>
  <c r="AB4" i="34"/>
  <c r="AD4" i="34" s="1"/>
  <c r="AB10" i="34"/>
  <c r="AD10" i="34" s="1"/>
  <c r="W9" i="34"/>
  <c r="Y9" i="34" s="1"/>
  <c r="Z40" i="34"/>
  <c r="R5" i="34"/>
  <c r="T5" i="34" s="1"/>
  <c r="R6" i="34"/>
  <c r="T6" i="34" s="1"/>
  <c r="U24" i="34"/>
  <c r="R9" i="34"/>
  <c r="T9" i="34" s="1"/>
  <c r="T3" i="34" s="1"/>
  <c r="R4" i="34"/>
  <c r="T4" i="34" s="1"/>
  <c r="U40" i="34"/>
  <c r="R7" i="34"/>
  <c r="T7" i="34" s="1"/>
  <c r="P53" i="27"/>
  <c r="P61" i="27" s="1"/>
  <c r="AB44" i="34"/>
  <c r="AD44" i="34" s="1"/>
  <c r="AB41" i="34"/>
  <c r="AD41" i="34" s="1"/>
  <c r="AB42" i="34"/>
  <c r="AD42" i="34" s="1"/>
  <c r="AC21" i="33"/>
  <c r="AE21" i="33" s="1"/>
  <c r="AC22" i="33"/>
  <c r="AE22" i="33" s="1"/>
  <c r="AC20" i="33"/>
  <c r="AC23" i="33"/>
  <c r="AE23" i="33" s="1"/>
  <c r="AC25" i="33"/>
  <c r="AE25" i="33" s="1"/>
  <c r="AC24" i="33"/>
  <c r="AE24" i="33" s="1"/>
  <c r="AC26" i="33"/>
  <c r="AE26" i="33" s="1"/>
  <c r="AB22" i="34"/>
  <c r="AD22" i="34" s="1"/>
  <c r="AB23" i="34"/>
  <c r="AD23" i="34" s="1"/>
  <c r="AB18" i="34"/>
  <c r="AD18" i="34" s="1"/>
  <c r="AB12" i="34"/>
  <c r="AD12" i="34" s="1"/>
  <c r="AB14" i="34"/>
  <c r="AD14" i="34" s="1"/>
  <c r="AB16" i="34"/>
  <c r="AD16" i="34" s="1"/>
  <c r="AB13" i="34"/>
  <c r="AD13" i="34" s="1"/>
  <c r="AC12" i="33"/>
  <c r="AC15" i="33"/>
  <c r="AE15" i="33" s="1"/>
  <c r="AB9" i="34"/>
  <c r="AD9" i="34" s="1"/>
  <c r="AB15" i="34"/>
  <c r="AD15" i="34" s="1"/>
  <c r="AB20" i="34"/>
  <c r="AD20" i="34" s="1"/>
  <c r="AC29" i="33"/>
  <c r="AE29" i="33" s="1"/>
  <c r="AC32" i="33"/>
  <c r="AE32" i="33" s="1"/>
  <c r="AC34" i="33"/>
  <c r="AE34" i="33" s="1"/>
  <c r="AC31" i="33"/>
  <c r="AE31" i="33" s="1"/>
  <c r="AC30" i="33"/>
  <c r="AE30" i="33" s="1"/>
  <c r="AC33" i="33"/>
  <c r="AE33" i="33" s="1"/>
  <c r="AC28" i="33"/>
  <c r="AB47" i="34"/>
  <c r="AD47" i="34" s="1"/>
  <c r="AB49" i="34"/>
  <c r="AD49" i="34" s="1"/>
  <c r="AB46" i="34"/>
  <c r="AD46" i="34" s="1"/>
  <c r="AD45" i="34" s="1"/>
  <c r="AB48" i="34"/>
  <c r="AD48" i="34" s="1"/>
  <c r="AC17" i="33"/>
  <c r="AE17" i="33" s="1"/>
  <c r="AC16" i="33"/>
  <c r="AE16" i="33" s="1"/>
  <c r="AB27" i="34"/>
  <c r="AD27" i="34" s="1"/>
  <c r="AB28" i="34"/>
  <c r="AD28" i="34" s="1"/>
  <c r="AB31" i="34"/>
  <c r="AD31" i="34" s="1"/>
  <c r="AB25" i="34"/>
  <c r="AD25" i="34" s="1"/>
  <c r="AB26" i="34"/>
  <c r="AD26" i="34" s="1"/>
  <c r="AB30" i="34"/>
  <c r="AD30" i="34" s="1"/>
  <c r="AB29" i="34"/>
  <c r="AD29" i="34" s="1"/>
  <c r="AC13" i="33"/>
  <c r="AE13" i="33" s="1"/>
  <c r="AB43" i="34"/>
  <c r="AD43" i="34" s="1"/>
  <c r="AD40" i="34" s="1"/>
  <c r="AB17" i="34"/>
  <c r="AD17" i="34" s="1"/>
  <c r="AB2" i="33"/>
  <c r="AC3" i="33"/>
  <c r="AB50" i="34"/>
  <c r="AC14" i="33"/>
  <c r="AE14" i="33" s="1"/>
  <c r="AB21" i="34"/>
  <c r="AD21" i="34" s="1"/>
  <c r="AB6" i="34"/>
  <c r="AD6" i="34" s="1"/>
  <c r="W23" i="34"/>
  <c r="Y23" i="34" s="1"/>
  <c r="W22" i="34"/>
  <c r="Y22" i="34" s="1"/>
  <c r="W30" i="34"/>
  <c r="Y30" i="34" s="1"/>
  <c r="W28" i="34"/>
  <c r="Y28" i="34" s="1"/>
  <c r="W29" i="34"/>
  <c r="Y29" i="34" s="1"/>
  <c r="W31" i="34"/>
  <c r="Y31" i="34" s="1"/>
  <c r="W26" i="34"/>
  <c r="Y26" i="34" s="1"/>
  <c r="W25" i="34"/>
  <c r="Y25" i="34" s="1"/>
  <c r="W27" i="34"/>
  <c r="Y27" i="34" s="1"/>
  <c r="W5" i="34"/>
  <c r="Y5" i="34" s="1"/>
  <c r="W47" i="34"/>
  <c r="Y47" i="34" s="1"/>
  <c r="W49" i="34"/>
  <c r="Y49" i="34" s="1"/>
  <c r="W48" i="34"/>
  <c r="Y48" i="34" s="1"/>
  <c r="W46" i="34"/>
  <c r="Y46" i="34" s="1"/>
  <c r="W42" i="34"/>
  <c r="Y42" i="34" s="1"/>
  <c r="W44" i="34"/>
  <c r="Y44" i="34" s="1"/>
  <c r="W41" i="34"/>
  <c r="Y41" i="34" s="1"/>
  <c r="W43" i="34"/>
  <c r="Y43" i="34" s="1"/>
  <c r="W7" i="34"/>
  <c r="Y7" i="34" s="1"/>
  <c r="W21" i="34"/>
  <c r="Y21" i="34" s="1"/>
  <c r="W14" i="34"/>
  <c r="Y14" i="34" s="1"/>
  <c r="W13" i="34"/>
  <c r="Y13" i="34" s="1"/>
  <c r="W12" i="34"/>
  <c r="Y12" i="34" s="1"/>
  <c r="W16" i="34"/>
  <c r="Y16" i="34" s="1"/>
  <c r="W18" i="34"/>
  <c r="Y18" i="34" s="1"/>
  <c r="W50" i="34"/>
  <c r="W52" i="34" s="1"/>
  <c r="W17" i="34"/>
  <c r="Y17" i="34" s="1"/>
  <c r="W6" i="34"/>
  <c r="Y6" i="34" s="1"/>
  <c r="W4" i="34"/>
  <c r="Y4" i="34" s="1"/>
  <c r="W8" i="34"/>
  <c r="Y8" i="34" s="1"/>
  <c r="R27" i="34"/>
  <c r="T27" i="34" s="1"/>
  <c r="R29" i="34"/>
  <c r="T29" i="34" s="1"/>
  <c r="R31" i="34"/>
  <c r="T31" i="34" s="1"/>
  <c r="R28" i="34"/>
  <c r="T28" i="34" s="1"/>
  <c r="R25" i="34"/>
  <c r="T25" i="34" s="1"/>
  <c r="R30" i="34"/>
  <c r="T30" i="34" s="1"/>
  <c r="R26" i="34"/>
  <c r="T26" i="34" s="1"/>
  <c r="R47" i="34"/>
  <c r="T47" i="34" s="1"/>
  <c r="R48" i="34"/>
  <c r="T48" i="34" s="1"/>
  <c r="R46" i="34"/>
  <c r="T46" i="34" s="1"/>
  <c r="R49" i="34"/>
  <c r="T49" i="34" s="1"/>
  <c r="R42" i="34"/>
  <c r="T42" i="34" s="1"/>
  <c r="R44" i="34"/>
  <c r="T44" i="34" s="1"/>
  <c r="R41" i="34"/>
  <c r="T41" i="34" s="1"/>
  <c r="R18" i="34"/>
  <c r="T18" i="34" s="1"/>
  <c r="R13" i="34"/>
  <c r="T13" i="34" s="1"/>
  <c r="R14" i="34"/>
  <c r="T14" i="34" s="1"/>
  <c r="R16" i="34"/>
  <c r="T16" i="34" s="1"/>
  <c r="R12" i="34"/>
  <c r="T12" i="34" s="1"/>
  <c r="R17" i="34"/>
  <c r="T17" i="34" s="1"/>
  <c r="R50" i="34"/>
  <c r="R52" i="34" s="1"/>
  <c r="R23" i="34"/>
  <c r="T23" i="34" s="1"/>
  <c r="R22" i="34"/>
  <c r="T22" i="34" s="1"/>
  <c r="R43" i="34"/>
  <c r="T43" i="34" s="1"/>
  <c r="R15" i="34"/>
  <c r="T15" i="34" s="1"/>
  <c r="R10" i="34"/>
  <c r="T10" i="34" s="1"/>
  <c r="U45" i="34"/>
  <c r="R13" i="24"/>
  <c r="T13" i="24" s="1"/>
  <c r="R43" i="24"/>
  <c r="T43" i="24" s="1"/>
  <c r="T32" i="24"/>
  <c r="R31" i="24"/>
  <c r="T31" i="24" s="1"/>
  <c r="R29" i="24"/>
  <c r="T29" i="24" s="1"/>
  <c r="R30" i="24"/>
  <c r="T30" i="24" s="1"/>
  <c r="R27" i="24"/>
  <c r="T27" i="24" s="1"/>
  <c r="R28" i="24"/>
  <c r="T28" i="24" s="1"/>
  <c r="R50" i="24"/>
  <c r="R52" i="24" s="1"/>
  <c r="R7" i="24"/>
  <c r="T7" i="24" s="1"/>
  <c r="R5" i="24"/>
  <c r="T5" i="24" s="1"/>
  <c r="R4" i="24"/>
  <c r="T4" i="24" s="1"/>
  <c r="T3" i="24" s="1"/>
  <c r="S31" i="24"/>
  <c r="U31" i="24" s="1"/>
  <c r="S29" i="24"/>
  <c r="U29" i="24" s="1"/>
  <c r="S30" i="24"/>
  <c r="U30" i="24" s="1"/>
  <c r="S28" i="24"/>
  <c r="U28" i="24" s="1"/>
  <c r="U24" i="24" s="1"/>
  <c r="S27" i="24"/>
  <c r="U27" i="24" s="1"/>
  <c r="R46" i="24"/>
  <c r="T46" i="24" s="1"/>
  <c r="R49" i="24"/>
  <c r="T49" i="24" s="1"/>
  <c r="S15" i="24"/>
  <c r="U15" i="24" s="1"/>
  <c r="R15" i="24"/>
  <c r="T15" i="24" s="1"/>
  <c r="R6" i="24"/>
  <c r="T6" i="24" s="1"/>
  <c r="R12" i="24"/>
  <c r="T12" i="24" s="1"/>
  <c r="S16" i="24"/>
  <c r="U16" i="24" s="1"/>
  <c r="R48" i="24"/>
  <c r="T48" i="24" s="1"/>
  <c r="S20" i="24"/>
  <c r="U20" i="24" s="1"/>
  <c r="R14" i="24"/>
  <c r="T14" i="24" s="1"/>
  <c r="S18" i="24"/>
  <c r="U18" i="24" s="1"/>
  <c r="R9" i="24"/>
  <c r="T9" i="24" s="1"/>
  <c r="S13" i="24"/>
  <c r="U13" i="24" s="1"/>
  <c r="S17" i="24"/>
  <c r="U17" i="24" s="1"/>
  <c r="R17" i="24"/>
  <c r="T17" i="24" s="1"/>
  <c r="R44" i="24"/>
  <c r="T44" i="24" s="1"/>
  <c r="R41" i="24"/>
  <c r="T41" i="24" s="1"/>
  <c r="T40" i="24" s="1"/>
  <c r="R23" i="24"/>
  <c r="T23" i="24" s="1"/>
  <c r="R22" i="24"/>
  <c r="T22" i="24" s="1"/>
  <c r="R25" i="24"/>
  <c r="T25" i="24" s="1"/>
  <c r="S12" i="24"/>
  <c r="U12" i="24" s="1"/>
  <c r="R26" i="24"/>
  <c r="T26" i="24" s="1"/>
  <c r="S14" i="24"/>
  <c r="U14" i="24" s="1"/>
  <c r="R8" i="24"/>
  <c r="T8" i="24" s="1"/>
  <c r="S49" i="24"/>
  <c r="U49" i="24" s="1"/>
  <c r="S46" i="24"/>
  <c r="U46" i="24" s="1"/>
  <c r="U45" i="24" s="1"/>
  <c r="J41" i="35"/>
  <c r="J40" i="35" s="1"/>
  <c r="G41" i="35"/>
  <c r="AK41" i="35"/>
  <c r="AN41" i="35"/>
  <c r="AN40" i="35" s="1"/>
  <c r="T24" i="35"/>
  <c r="Y24" i="35"/>
  <c r="AK25" i="35"/>
  <c r="AN25" i="35"/>
  <c r="AN24" i="35" s="1"/>
  <c r="Z24" i="35"/>
  <c r="O45" i="35"/>
  <c r="AS45" i="35"/>
  <c r="AE45" i="35"/>
  <c r="J4" i="35"/>
  <c r="J3" i="35" s="1"/>
  <c r="G4" i="35"/>
  <c r="AS3" i="35"/>
  <c r="AS50" i="35" s="1"/>
  <c r="AI4" i="35"/>
  <c r="AI3" i="35" s="1"/>
  <c r="AF4" i="35"/>
  <c r="P3" i="35"/>
  <c r="AF12" i="35"/>
  <c r="O24" i="35"/>
  <c r="U24" i="35"/>
  <c r="AD45" i="35"/>
  <c r="Y45" i="35"/>
  <c r="AK46" i="35"/>
  <c r="AN46" i="35"/>
  <c r="AN45" i="35" s="1"/>
  <c r="Z45" i="35"/>
  <c r="T3" i="35"/>
  <c r="Y3" i="35"/>
  <c r="Y50" i="35" s="1"/>
  <c r="AK4" i="35"/>
  <c r="AN4" i="35"/>
  <c r="AN3" i="35" s="1"/>
  <c r="AE3" i="35"/>
  <c r="AE50" i="35" s="1"/>
  <c r="K3" i="35"/>
  <c r="K50" i="35" s="1"/>
  <c r="AK12" i="35"/>
  <c r="T40" i="35"/>
  <c r="AI41" i="35"/>
  <c r="AI40" i="35" s="1"/>
  <c r="AF41" i="35"/>
  <c r="AI25" i="35"/>
  <c r="AI24" i="35" s="1"/>
  <c r="AF25" i="35"/>
  <c r="J46" i="35"/>
  <c r="J45" i="35" s="1"/>
  <c r="G46" i="35"/>
  <c r="AT45" i="35"/>
  <c r="AJ45" i="35"/>
  <c r="U45" i="35"/>
  <c r="O3" i="35"/>
  <c r="O50" i="35" s="1"/>
  <c r="AT3" i="35"/>
  <c r="AT50" i="35" s="1"/>
  <c r="AJ3" i="35"/>
  <c r="AJ50" i="35" s="1"/>
  <c r="Z3" i="35"/>
  <c r="Z50" i="35" s="1"/>
  <c r="AN11" i="35"/>
  <c r="J25" i="35"/>
  <c r="J24" i="35" s="1"/>
  <c r="G25" i="35"/>
  <c r="T45" i="35"/>
  <c r="AO45" i="35"/>
  <c r="AI46" i="35"/>
  <c r="AI45" i="35" s="1"/>
  <c r="AF46" i="35"/>
  <c r="P45" i="35"/>
  <c r="AD3" i="35"/>
  <c r="AD50" i="35" s="1"/>
  <c r="AO3" i="35"/>
  <c r="AO50" i="35" s="1"/>
  <c r="U3" i="35"/>
  <c r="U50" i="35" s="1"/>
  <c r="AI11" i="35"/>
  <c r="AT19" i="34"/>
  <c r="M20" i="34"/>
  <c r="O20" i="34" s="1"/>
  <c r="O19" i="34" s="1"/>
  <c r="K19" i="34"/>
  <c r="O3" i="34"/>
  <c r="AT3" i="34"/>
  <c r="AT50" i="34" s="1"/>
  <c r="I9" i="32" s="1"/>
  <c r="Z3" i="34"/>
  <c r="G41" i="34"/>
  <c r="U11" i="34"/>
  <c r="J20" i="34"/>
  <c r="J19" i="34" s="1"/>
  <c r="G20" i="34"/>
  <c r="Z19" i="34"/>
  <c r="U3" i="34"/>
  <c r="J40" i="34"/>
  <c r="AD19" i="34"/>
  <c r="AS19" i="34"/>
  <c r="W20" i="34"/>
  <c r="Y20" i="34" s="1"/>
  <c r="Y19" i="34" s="1"/>
  <c r="U19" i="34"/>
  <c r="J4" i="34"/>
  <c r="J3" i="34" s="1"/>
  <c r="J50" i="34" s="1"/>
  <c r="B8" i="32" s="1"/>
  <c r="G4" i="34"/>
  <c r="AS3" i="34"/>
  <c r="AS50" i="34" s="1"/>
  <c r="I8" i="32" s="1"/>
  <c r="P3" i="34"/>
  <c r="P50" i="34" s="1"/>
  <c r="R20" i="34"/>
  <c r="T20" i="34" s="1"/>
  <c r="T19" i="34" s="1"/>
  <c r="P19" i="34"/>
  <c r="Y3" i="34"/>
  <c r="K3" i="34"/>
  <c r="K50" i="34" s="1"/>
  <c r="O27" i="33"/>
  <c r="Z4" i="33"/>
  <c r="Z3" i="33" s="1"/>
  <c r="W4" i="33"/>
  <c r="W5" i="33"/>
  <c r="O70" i="33"/>
  <c r="O69" i="33" s="1"/>
  <c r="L70" i="33"/>
  <c r="AU74" i="33"/>
  <c r="I5" i="32" s="1"/>
  <c r="W65" i="33"/>
  <c r="Z65" i="33"/>
  <c r="Z64" i="33" s="1"/>
  <c r="R28" i="33"/>
  <c r="U28" i="33"/>
  <c r="U27" i="33" s="1"/>
  <c r="K74" i="33"/>
  <c r="I74" i="33"/>
  <c r="K12" i="33"/>
  <c r="W12" i="33"/>
  <c r="Z12" i="33"/>
  <c r="Z11" i="33" s="1"/>
  <c r="J27" i="33"/>
  <c r="AA3" i="33"/>
  <c r="N74" i="33"/>
  <c r="P12" i="33"/>
  <c r="P11" i="33" s="1"/>
  <c r="P69" i="33"/>
  <c r="L57" i="33"/>
  <c r="O57" i="33"/>
  <c r="O56" i="33" s="1"/>
  <c r="V12" i="33"/>
  <c r="V11" i="33" s="1"/>
  <c r="T74" i="33"/>
  <c r="R12" i="33"/>
  <c r="U12" i="33"/>
  <c r="U11" i="33" s="1"/>
  <c r="V27" i="33"/>
  <c r="V48" i="33"/>
  <c r="AF11" i="33"/>
  <c r="AE12" i="33"/>
  <c r="AB12" i="33"/>
  <c r="AQ12" i="33"/>
  <c r="AT12" i="33"/>
  <c r="AT11" i="33" s="1"/>
  <c r="AT74" i="33" s="1"/>
  <c r="I4" i="32" s="1"/>
  <c r="J11" i="33"/>
  <c r="J74" i="33" s="1"/>
  <c r="B4" i="32" s="1"/>
  <c r="B13" i="32" s="1"/>
  <c r="AA64" i="33"/>
  <c r="Z20" i="33"/>
  <c r="Z19" i="33" s="1"/>
  <c r="W20" i="33"/>
  <c r="AA19" i="33"/>
  <c r="O12" i="33"/>
  <c r="O11" i="33" s="1"/>
  <c r="O74" i="33" s="1"/>
  <c r="C4" i="32" s="1"/>
  <c r="L12" i="33"/>
  <c r="U49" i="33"/>
  <c r="U48" i="33" s="1"/>
  <c r="R49" i="33"/>
  <c r="I74" i="31"/>
  <c r="K12" i="31"/>
  <c r="T74" i="31"/>
  <c r="V12" i="31"/>
  <c r="V11" i="31" s="1"/>
  <c r="V74" i="31" s="1"/>
  <c r="U12" i="31"/>
  <c r="U11" i="31" s="1"/>
  <c r="U74" i="31" s="1"/>
  <c r="R12" i="31"/>
  <c r="J56" i="31"/>
  <c r="N74" i="31"/>
  <c r="P12" i="31"/>
  <c r="P11" i="31" s="1"/>
  <c r="P74" i="31" s="1"/>
  <c r="AE12" i="31"/>
  <c r="AE11" i="31" s="1"/>
  <c r="AE74" i="31" s="1"/>
  <c r="AB12" i="31"/>
  <c r="AQ12" i="31"/>
  <c r="AT12" i="31"/>
  <c r="AT11" i="31" s="1"/>
  <c r="AT74" i="31" s="1"/>
  <c r="J11" i="31"/>
  <c r="J74" i="31" s="1"/>
  <c r="J43" i="31"/>
  <c r="Z74" i="31"/>
  <c r="J48" i="31"/>
  <c r="AF11" i="31"/>
  <c r="AF74" i="31" s="1"/>
  <c r="Y74" i="31"/>
  <c r="AA12" i="31"/>
  <c r="AA11" i="31" s="1"/>
  <c r="AA74" i="31" s="1"/>
  <c r="AP11" i="31"/>
  <c r="AP74" i="31" s="1"/>
  <c r="AO12" i="31"/>
  <c r="AO11" i="31" s="1"/>
  <c r="AO74" i="31" s="1"/>
  <c r="AL12" i="31"/>
  <c r="P48" i="31"/>
  <c r="O43" i="31"/>
  <c r="AJ12" i="31"/>
  <c r="AJ11" i="31" s="1"/>
  <c r="AJ74" i="31" s="1"/>
  <c r="AG12" i="31"/>
  <c r="O12" i="31"/>
  <c r="O11" i="31" s="1"/>
  <c r="L12" i="31"/>
  <c r="W12" i="31"/>
  <c r="Z12" i="31"/>
  <c r="Z11" i="31" s="1"/>
  <c r="AK11" i="31"/>
  <c r="AK74" i="31"/>
  <c r="L4" i="30"/>
  <c r="J5" i="30"/>
  <c r="J17" i="30"/>
  <c r="I5" i="28"/>
  <c r="K4" i="30"/>
  <c r="H22" i="30"/>
  <c r="K20" i="30"/>
  <c r="I21" i="30"/>
  <c r="I56" i="30" s="1"/>
  <c r="I55" i="30"/>
  <c r="K7" i="30"/>
  <c r="J20" i="30"/>
  <c r="L7" i="30"/>
  <c r="J8" i="30"/>
  <c r="I6" i="28"/>
  <c r="I11" i="28" s="1"/>
  <c r="M17" i="30"/>
  <c r="K18" i="30"/>
  <c r="K53" i="30" s="1"/>
  <c r="K19" i="30"/>
  <c r="K54" i="30" s="1"/>
  <c r="K52" i="30"/>
  <c r="H23" i="30"/>
  <c r="H21" i="30"/>
  <c r="I8" i="30"/>
  <c r="H56" i="30"/>
  <c r="I54" i="30"/>
  <c r="H19" i="30"/>
  <c r="N10" i="30"/>
  <c r="L6" i="30"/>
  <c r="L13" i="30"/>
  <c r="M9" i="30"/>
  <c r="J12" i="28" s="1"/>
  <c r="L12" i="30"/>
  <c r="M10" i="30"/>
  <c r="F61" i="30"/>
  <c r="F58" i="30"/>
  <c r="G58" i="30" s="1"/>
  <c r="G13" i="28" s="1"/>
  <c r="F62" i="30"/>
  <c r="F63" i="30"/>
  <c r="F64" i="30"/>
  <c r="F65" i="30"/>
  <c r="F66" i="30"/>
  <c r="F67" i="30"/>
  <c r="F53" i="30"/>
  <c r="D58" i="30"/>
  <c r="E58" i="30" s="1"/>
  <c r="F13" i="28" s="1"/>
  <c r="D56" i="30"/>
  <c r="H52" i="30"/>
  <c r="I5" i="30"/>
  <c r="H18" i="30"/>
  <c r="H53" i="30" s="1"/>
  <c r="H55" i="30"/>
  <c r="J19" i="30"/>
  <c r="J38" i="30" s="1"/>
  <c r="J54" i="30"/>
  <c r="J68" i="30" s="1"/>
  <c r="M21" i="27"/>
  <c r="M55" i="27"/>
  <c r="M56" i="27" s="1"/>
  <c r="L56" i="27" s="1"/>
  <c r="L20" i="27"/>
  <c r="L55" i="27" s="1"/>
  <c r="Q17" i="27"/>
  <c r="O20" i="27"/>
  <c r="O52" i="27"/>
  <c r="N17" i="27"/>
  <c r="P29" i="27"/>
  <c r="AM3" i="33" s="1"/>
  <c r="P30" i="27"/>
  <c r="AM11" i="33" s="1"/>
  <c r="P31" i="27"/>
  <c r="AM19" i="33" s="1"/>
  <c r="P32" i="27"/>
  <c r="AM27" i="33" s="1"/>
  <c r="P33" i="27"/>
  <c r="AM35" i="33" s="1"/>
  <c r="P34" i="27"/>
  <c r="AM43" i="33" s="1"/>
  <c r="P35" i="27"/>
  <c r="AM48" i="33" s="1"/>
  <c r="P36" i="27"/>
  <c r="AM64" i="33" s="1"/>
  <c r="P37" i="27"/>
  <c r="AM69" i="33" s="1"/>
  <c r="J22" i="27"/>
  <c r="K57" i="27"/>
  <c r="J57" i="27" s="1"/>
  <c r="N53" i="27"/>
  <c r="N61" i="27" s="1"/>
  <c r="L33" i="27"/>
  <c r="L34" i="27"/>
  <c r="L35" i="27"/>
  <c r="L36" i="27"/>
  <c r="L37" i="27"/>
  <c r="L19" i="27"/>
  <c r="L52" i="27"/>
  <c r="L54" i="27" s="1"/>
  <c r="L68" i="27" s="1"/>
  <c r="L23" i="27"/>
  <c r="J21" i="27"/>
  <c r="K56" i="27"/>
  <c r="J56" i="27" s="1"/>
  <c r="P65" i="27"/>
  <c r="AL24" i="34" s="1"/>
  <c r="P64" i="27"/>
  <c r="AL19" i="34" s="1"/>
  <c r="P63" i="27"/>
  <c r="AL11" i="34" s="1"/>
  <c r="P67" i="27"/>
  <c r="AL45" i="34" s="1"/>
  <c r="P66" i="27"/>
  <c r="AL40" i="34" s="1"/>
  <c r="P62" i="27"/>
  <c r="AL3" i="34" s="1"/>
  <c r="N30" i="27"/>
  <c r="N31" i="27"/>
  <c r="N32" i="27"/>
  <c r="N33" i="27"/>
  <c r="N34" i="27"/>
  <c r="N35" i="27"/>
  <c r="N36" i="27"/>
  <c r="N37" i="27"/>
  <c r="N29" i="27"/>
  <c r="J58" i="27"/>
  <c r="K23" i="27"/>
  <c r="K58" i="27" s="1"/>
  <c r="I13" i="26" s="1"/>
  <c r="AD45" i="24"/>
  <c r="AN42" i="24"/>
  <c r="AN40" i="24" s="1"/>
  <c r="AK41" i="24"/>
  <c r="J11" i="24"/>
  <c r="P11" i="24"/>
  <c r="K11" i="24"/>
  <c r="Z19" i="24"/>
  <c r="AT19" i="24"/>
  <c r="AJ19" i="24"/>
  <c r="AT3" i="24"/>
  <c r="AJ3" i="24"/>
  <c r="U3" i="24"/>
  <c r="J25" i="24"/>
  <c r="J24" i="24" s="1"/>
  <c r="G25" i="24"/>
  <c r="Z11" i="24"/>
  <c r="AS11" i="24"/>
  <c r="AK12" i="24"/>
  <c r="AN12" i="24"/>
  <c r="AN11" i="24" s="1"/>
  <c r="AI12" i="24"/>
  <c r="AI11" i="24" s="1"/>
  <c r="AF12" i="24"/>
  <c r="AE19" i="24"/>
  <c r="AO19" i="24"/>
  <c r="U19" i="24"/>
  <c r="W20" i="24"/>
  <c r="Y20" i="24" s="1"/>
  <c r="Y19" i="24" s="1"/>
  <c r="AD3" i="24"/>
  <c r="AO3" i="24"/>
  <c r="AO50" i="24" s="1"/>
  <c r="AI4" i="24"/>
  <c r="AI3" i="24" s="1"/>
  <c r="AF4" i="24"/>
  <c r="P3" i="24"/>
  <c r="AT11" i="24"/>
  <c r="AO11" i="24"/>
  <c r="AJ11" i="24"/>
  <c r="AE11" i="24"/>
  <c r="AF46" i="24"/>
  <c r="AD19" i="24"/>
  <c r="AS19" i="24"/>
  <c r="K19" i="24"/>
  <c r="M20" i="24"/>
  <c r="O20" i="24" s="1"/>
  <c r="O19" i="24" s="1"/>
  <c r="AI40" i="24"/>
  <c r="J4" i="24"/>
  <c r="J3" i="24" s="1"/>
  <c r="G4" i="24"/>
  <c r="AS3" i="24"/>
  <c r="AE3" i="24"/>
  <c r="AE50" i="24" s="1"/>
  <c r="K3" i="24"/>
  <c r="AK46" i="24"/>
  <c r="AK25" i="24"/>
  <c r="AN25" i="24"/>
  <c r="AN24" i="24" s="1"/>
  <c r="J40" i="24"/>
  <c r="AI25" i="24"/>
  <c r="AI24" i="24" s="1"/>
  <c r="AF25" i="24"/>
  <c r="AD11" i="24"/>
  <c r="Y11" i="24"/>
  <c r="O11" i="24"/>
  <c r="AI45" i="24"/>
  <c r="AI20" i="24"/>
  <c r="AI19" i="24" s="1"/>
  <c r="AF20" i="24"/>
  <c r="P19" i="24"/>
  <c r="R20" i="24"/>
  <c r="T20" i="24" s="1"/>
  <c r="AK20" i="24"/>
  <c r="AN20" i="24"/>
  <c r="AN19" i="24" s="1"/>
  <c r="G20" i="24"/>
  <c r="J20" i="24"/>
  <c r="J19" i="24" s="1"/>
  <c r="AF41" i="24"/>
  <c r="O3" i="24"/>
  <c r="O50" i="24" s="1"/>
  <c r="Y3" i="24"/>
  <c r="AK4" i="24"/>
  <c r="AN4" i="24"/>
  <c r="AN3" i="24" s="1"/>
  <c r="Z3" i="24"/>
  <c r="Z50" i="24" s="1"/>
  <c r="U49" i="23"/>
  <c r="U48" i="23" s="1"/>
  <c r="R49" i="23"/>
  <c r="W44" i="23"/>
  <c r="AA3" i="23"/>
  <c r="AG44" i="23"/>
  <c r="P27" i="23"/>
  <c r="J19" i="23"/>
  <c r="N74" i="23"/>
  <c r="P12" i="23"/>
  <c r="P11" i="23" s="1"/>
  <c r="O12" i="23"/>
  <c r="O11" i="23" s="1"/>
  <c r="L12" i="23"/>
  <c r="W12" i="23"/>
  <c r="Z12" i="23"/>
  <c r="Z11" i="23" s="1"/>
  <c r="AK11" i="23"/>
  <c r="AK74" i="23" s="1"/>
  <c r="P35" i="23"/>
  <c r="Z43" i="23"/>
  <c r="AJ43" i="23"/>
  <c r="Z4" i="23"/>
  <c r="Z3" i="23" s="1"/>
  <c r="Z74" i="23" s="1"/>
  <c r="W4" i="23"/>
  <c r="W5" i="23"/>
  <c r="AJ12" i="23"/>
  <c r="AJ11" i="23" s="1"/>
  <c r="AJ74" i="23" s="1"/>
  <c r="AG12" i="23"/>
  <c r="AU11" i="23"/>
  <c r="AU74" i="23" s="1"/>
  <c r="I74" i="23"/>
  <c r="K12" i="23"/>
  <c r="T74" i="23"/>
  <c r="V12" i="23"/>
  <c r="V11" i="23" s="1"/>
  <c r="U12" i="23"/>
  <c r="U11" i="23" s="1"/>
  <c r="U74" i="23" s="1"/>
  <c r="R12" i="23"/>
  <c r="J35" i="23"/>
  <c r="AE43" i="23"/>
  <c r="O27" i="23"/>
  <c r="V27" i="23"/>
  <c r="AE12" i="23"/>
  <c r="AE11" i="23" s="1"/>
  <c r="AE74" i="23" s="1"/>
  <c r="AB12" i="23"/>
  <c r="AQ12" i="23"/>
  <c r="AT12" i="23"/>
  <c r="AT11" i="23" s="1"/>
  <c r="AT74" i="23" s="1"/>
  <c r="J11" i="23"/>
  <c r="J74" i="23" s="1"/>
  <c r="AB44" i="23"/>
  <c r="V48" i="23"/>
  <c r="AF11" i="23"/>
  <c r="AF74" i="23" s="1"/>
  <c r="AA11" i="23"/>
  <c r="AP11" i="23"/>
  <c r="AP74" i="23" s="1"/>
  <c r="AO12" i="23"/>
  <c r="AO11" i="23" s="1"/>
  <c r="AO74" i="23" s="1"/>
  <c r="AL12" i="23"/>
  <c r="P65" i="22"/>
  <c r="P64" i="22"/>
  <c r="P67" i="22"/>
  <c r="P63" i="22"/>
  <c r="P62" i="22"/>
  <c r="P66" i="22"/>
  <c r="P19" i="22"/>
  <c r="P28" i="22"/>
  <c r="L42" i="22"/>
  <c r="L44" i="22"/>
  <c r="L46" i="22"/>
  <c r="L43" i="22"/>
  <c r="L45" i="22"/>
  <c r="L47" i="22"/>
  <c r="L41" i="22"/>
  <c r="N5" i="22"/>
  <c r="N57" i="22"/>
  <c r="AD3" i="34" l="1"/>
  <c r="Y24" i="34"/>
  <c r="AM41" i="33"/>
  <c r="AO41" i="33" s="1"/>
  <c r="AM36" i="33"/>
  <c r="AM39" i="33"/>
  <c r="AO39" i="33" s="1"/>
  <c r="AM38" i="33"/>
  <c r="AO38" i="33" s="1"/>
  <c r="AM37" i="33"/>
  <c r="AO37" i="33" s="1"/>
  <c r="AM40" i="33"/>
  <c r="AO40" i="33" s="1"/>
  <c r="AM42" i="33"/>
  <c r="AO42" i="33" s="1"/>
  <c r="AL50" i="34"/>
  <c r="AL8" i="34"/>
  <c r="AN8" i="34" s="1"/>
  <c r="AL4" i="34"/>
  <c r="AL6" i="34"/>
  <c r="AN6" i="34" s="1"/>
  <c r="AL9" i="34"/>
  <c r="AN9" i="34" s="1"/>
  <c r="AL10" i="34"/>
  <c r="AN10" i="34" s="1"/>
  <c r="AL5" i="34"/>
  <c r="AN5" i="34" s="1"/>
  <c r="AL7" i="34"/>
  <c r="AN7" i="34" s="1"/>
  <c r="AL23" i="34"/>
  <c r="AN23" i="34" s="1"/>
  <c r="AL22" i="34"/>
  <c r="AN22" i="34" s="1"/>
  <c r="AL20" i="34"/>
  <c r="AL21" i="34"/>
  <c r="AN21" i="34" s="1"/>
  <c r="AM66" i="33"/>
  <c r="AO66" i="33" s="1"/>
  <c r="AM65" i="33"/>
  <c r="AM68" i="33"/>
  <c r="AO68" i="33" s="1"/>
  <c r="AM67" i="33"/>
  <c r="AO67" i="33" s="1"/>
  <c r="AM30" i="33"/>
  <c r="AO30" i="33" s="1"/>
  <c r="AM34" i="33"/>
  <c r="AO34" i="33" s="1"/>
  <c r="AM28" i="33"/>
  <c r="AM29" i="33"/>
  <c r="AO29" i="33" s="1"/>
  <c r="AM31" i="33"/>
  <c r="AO31" i="33" s="1"/>
  <c r="AM32" i="33"/>
  <c r="AO32" i="33" s="1"/>
  <c r="AM33" i="33"/>
  <c r="AO33" i="33" s="1"/>
  <c r="AL18" i="34"/>
  <c r="AN18" i="34" s="1"/>
  <c r="AL14" i="34"/>
  <c r="AN14" i="34" s="1"/>
  <c r="AL13" i="34"/>
  <c r="AN13" i="34" s="1"/>
  <c r="AL16" i="34"/>
  <c r="AN16" i="34" s="1"/>
  <c r="AL12" i="34"/>
  <c r="AL15" i="34"/>
  <c r="AN15" i="34" s="1"/>
  <c r="AL17" i="34"/>
  <c r="AN17" i="34" s="1"/>
  <c r="AM6" i="33"/>
  <c r="AM5" i="33"/>
  <c r="AO5" i="33" s="1"/>
  <c r="AM8" i="33"/>
  <c r="AO8" i="33" s="1"/>
  <c r="AM9" i="33"/>
  <c r="AO9" i="33" s="1"/>
  <c r="AM10" i="33"/>
  <c r="AO10" i="33" s="1"/>
  <c r="AM4" i="33"/>
  <c r="AO4" i="33" s="1"/>
  <c r="AM7" i="33"/>
  <c r="AM74" i="33"/>
  <c r="AL44" i="34"/>
  <c r="AN44" i="34" s="1"/>
  <c r="AL42" i="34"/>
  <c r="AN42" i="34" s="1"/>
  <c r="AL41" i="34"/>
  <c r="AL43" i="34"/>
  <c r="AN43" i="34" s="1"/>
  <c r="AL27" i="34"/>
  <c r="AN27" i="34" s="1"/>
  <c r="AL30" i="34"/>
  <c r="AN30" i="34" s="1"/>
  <c r="AL26" i="34"/>
  <c r="AN26" i="34" s="1"/>
  <c r="AL25" i="34"/>
  <c r="AL29" i="34"/>
  <c r="AN29" i="34" s="1"/>
  <c r="AL31" i="34"/>
  <c r="AN31" i="34" s="1"/>
  <c r="AL28" i="34"/>
  <c r="AN28" i="34" s="1"/>
  <c r="AM49" i="33"/>
  <c r="AM50" i="33"/>
  <c r="AO50" i="33" s="1"/>
  <c r="AM52" i="33"/>
  <c r="AO52" i="33" s="1"/>
  <c r="AM54" i="33"/>
  <c r="AO54" i="33" s="1"/>
  <c r="AM51" i="33"/>
  <c r="AO51" i="33" s="1"/>
  <c r="AM55" i="33"/>
  <c r="AO55" i="33" s="1"/>
  <c r="AM53" i="33"/>
  <c r="AO53" i="33" s="1"/>
  <c r="AM20" i="33"/>
  <c r="AM23" i="33"/>
  <c r="AO23" i="33" s="1"/>
  <c r="AM22" i="33"/>
  <c r="AO22" i="33" s="1"/>
  <c r="AM25" i="33"/>
  <c r="AO25" i="33" s="1"/>
  <c r="AM21" i="33"/>
  <c r="AO21" i="33" s="1"/>
  <c r="AM24" i="33"/>
  <c r="AO24" i="33" s="1"/>
  <c r="AM26" i="33"/>
  <c r="AO26" i="33" s="1"/>
  <c r="AM70" i="33"/>
  <c r="AM73" i="33"/>
  <c r="AO73" i="33" s="1"/>
  <c r="AM72" i="33"/>
  <c r="AO72" i="33" s="1"/>
  <c r="AM71" i="33"/>
  <c r="AO71" i="33" s="1"/>
  <c r="AL47" i="34"/>
  <c r="AN47" i="34" s="1"/>
  <c r="AL48" i="34"/>
  <c r="AN48" i="34" s="1"/>
  <c r="AL46" i="34"/>
  <c r="AL49" i="34"/>
  <c r="AN49" i="34" s="1"/>
  <c r="AM44" i="33"/>
  <c r="AM46" i="33"/>
  <c r="AO46" i="33" s="1"/>
  <c r="AM45" i="33"/>
  <c r="AO45" i="33" s="1"/>
  <c r="AM47" i="33"/>
  <c r="AO47" i="33" s="1"/>
  <c r="AM17" i="33"/>
  <c r="AO17" i="33" s="1"/>
  <c r="AM16" i="33"/>
  <c r="AO16" i="33" s="1"/>
  <c r="AM13" i="33"/>
  <c r="AO13" i="33" s="1"/>
  <c r="AM15" i="33"/>
  <c r="AO15" i="33" s="1"/>
  <c r="AM12" i="33"/>
  <c r="AM14" i="33"/>
  <c r="AO14" i="33" s="1"/>
  <c r="AM18" i="33"/>
  <c r="AO18" i="33" s="1"/>
  <c r="AG2" i="33"/>
  <c r="AH3" i="33"/>
  <c r="AG11" i="33"/>
  <c r="AH11" i="33"/>
  <c r="AG43" i="33"/>
  <c r="AH43" i="33"/>
  <c r="AG69" i="33"/>
  <c r="AH69" i="33"/>
  <c r="AG35" i="33"/>
  <c r="AH35" i="33"/>
  <c r="AH64" i="33"/>
  <c r="AG64" i="33"/>
  <c r="AG27" i="33"/>
  <c r="AH27" i="33"/>
  <c r="AH48" i="33"/>
  <c r="AG48" i="33"/>
  <c r="AG19" i="33"/>
  <c r="AH19" i="33"/>
  <c r="AE11" i="33"/>
  <c r="AC4" i="33"/>
  <c r="AC5" i="33"/>
  <c r="AE5" i="33" s="1"/>
  <c r="AC6" i="33"/>
  <c r="AE6" i="33" s="1"/>
  <c r="AC7" i="33"/>
  <c r="AE7" i="33" s="1"/>
  <c r="AC9" i="33"/>
  <c r="AE9" i="33" s="1"/>
  <c r="AC10" i="33"/>
  <c r="AE10" i="33" s="1"/>
  <c r="AC8" i="33"/>
  <c r="AE8" i="33" s="1"/>
  <c r="AC74" i="33"/>
  <c r="AD24" i="34"/>
  <c r="AE20" i="33"/>
  <c r="AE19" i="33" s="1"/>
  <c r="AB20" i="33"/>
  <c r="AE28" i="33"/>
  <c r="AE27" i="33" s="1"/>
  <c r="AB28" i="33"/>
  <c r="AD11" i="34"/>
  <c r="AD50" i="34" s="1"/>
  <c r="F8" i="32" s="1"/>
  <c r="Y11" i="34"/>
  <c r="Y40" i="34"/>
  <c r="Y45" i="34"/>
  <c r="Y50" i="34" s="1"/>
  <c r="E8" i="32" s="1"/>
  <c r="T40" i="34"/>
  <c r="T45" i="34"/>
  <c r="T11" i="34"/>
  <c r="T24" i="34"/>
  <c r="U11" i="24"/>
  <c r="U50" i="24" s="1"/>
  <c r="T11" i="24"/>
  <c r="T50" i="24" s="1"/>
  <c r="T45" i="24"/>
  <c r="T19" i="24"/>
  <c r="T24" i="24"/>
  <c r="AI50" i="35"/>
  <c r="T50" i="35"/>
  <c r="AN50" i="35"/>
  <c r="P50" i="35"/>
  <c r="J50" i="35"/>
  <c r="I13" i="32"/>
  <c r="I17" i="32" s="1"/>
  <c r="O50" i="34"/>
  <c r="C8" i="32" s="1"/>
  <c r="C13" i="32" s="1"/>
  <c r="C17" i="32" s="1"/>
  <c r="C19" i="32" s="1"/>
  <c r="C20" i="32" s="1"/>
  <c r="I14" i="32"/>
  <c r="I18" i="32" s="1"/>
  <c r="U50" i="34"/>
  <c r="D9" i="32" s="1"/>
  <c r="D14" i="32" s="1"/>
  <c r="D18" i="32" s="1"/>
  <c r="Z50" i="34"/>
  <c r="E9" i="32" s="1"/>
  <c r="E14" i="32" s="1"/>
  <c r="E18" i="32" s="1"/>
  <c r="S5" i="32"/>
  <c r="S9" i="32" s="1"/>
  <c r="B17" i="32"/>
  <c r="B19" i="32" s="1"/>
  <c r="B22" i="32" s="1"/>
  <c r="U74" i="33"/>
  <c r="D4" i="32" s="1"/>
  <c r="D13" i="32" s="1"/>
  <c r="D17" i="32" s="1"/>
  <c r="AA74" i="33"/>
  <c r="Z74" i="33"/>
  <c r="E4" i="32" s="1"/>
  <c r="P74" i="33"/>
  <c r="V74" i="33"/>
  <c r="O74" i="31"/>
  <c r="I23" i="30"/>
  <c r="I58" i="30" s="1"/>
  <c r="H13" i="28" s="1"/>
  <c r="H58" i="30"/>
  <c r="M52" i="30"/>
  <c r="M18" i="30"/>
  <c r="M53" i="30" s="1"/>
  <c r="M19" i="30"/>
  <c r="M54" i="30" s="1"/>
  <c r="O17" i="30"/>
  <c r="K21" i="30"/>
  <c r="K56" i="30" s="1"/>
  <c r="J56" i="30" s="1"/>
  <c r="K22" i="30"/>
  <c r="M20" i="30"/>
  <c r="I22" i="30"/>
  <c r="I57" i="30" s="1"/>
  <c r="H57" i="30"/>
  <c r="J23" i="30"/>
  <c r="J69" i="30"/>
  <c r="J71" i="30"/>
  <c r="J73" i="30"/>
  <c r="J70" i="30"/>
  <c r="J72" i="30"/>
  <c r="J74" i="30"/>
  <c r="H35" i="30"/>
  <c r="H29" i="30"/>
  <c r="H28" i="30"/>
  <c r="O10" i="30"/>
  <c r="N6" i="30"/>
  <c r="P10" i="30"/>
  <c r="N13" i="30"/>
  <c r="N12" i="30"/>
  <c r="O9" i="30"/>
  <c r="K12" i="28" s="1"/>
  <c r="K8" i="30"/>
  <c r="J21" i="30"/>
  <c r="J18" i="30"/>
  <c r="J28" i="30" s="1"/>
  <c r="K5" i="30"/>
  <c r="J53" i="30"/>
  <c r="J61" i="30" s="1"/>
  <c r="J41" i="30"/>
  <c r="J45" i="30"/>
  <c r="J40" i="30"/>
  <c r="J44" i="30"/>
  <c r="J39" i="30"/>
  <c r="J43" i="30"/>
  <c r="J47" i="30"/>
  <c r="J46" i="30"/>
  <c r="J42" i="30"/>
  <c r="H38" i="30"/>
  <c r="H54" i="30"/>
  <c r="H68" i="30" s="1"/>
  <c r="L8" i="30"/>
  <c r="M7" i="30"/>
  <c r="L20" i="30"/>
  <c r="L55" i="30" s="1"/>
  <c r="N7" i="30"/>
  <c r="J6" i="28"/>
  <c r="J11" i="28" s="1"/>
  <c r="J52" i="30"/>
  <c r="L5" i="30"/>
  <c r="L17" i="30"/>
  <c r="M4" i="30"/>
  <c r="N4" i="30"/>
  <c r="J5" i="28"/>
  <c r="L52" i="30"/>
  <c r="S17" i="27"/>
  <c r="Q20" i="27"/>
  <c r="Q52" i="27"/>
  <c r="P17" i="27"/>
  <c r="M23" i="27"/>
  <c r="M58" i="27" s="1"/>
  <c r="J13" i="26" s="1"/>
  <c r="L58" i="27"/>
  <c r="N64" i="27"/>
  <c r="AG19" i="34" s="1"/>
  <c r="N63" i="27"/>
  <c r="N62" i="27"/>
  <c r="AG3" i="34" s="1"/>
  <c r="N66" i="27"/>
  <c r="AG40" i="34" s="1"/>
  <c r="N65" i="27"/>
  <c r="AG24" i="34" s="1"/>
  <c r="N67" i="27"/>
  <c r="AG45" i="34" s="1"/>
  <c r="N19" i="27"/>
  <c r="N52" i="27"/>
  <c r="L74" i="27"/>
  <c r="AC45" i="34" s="1"/>
  <c r="L72" i="27"/>
  <c r="AC24" i="34" s="1"/>
  <c r="L69" i="27"/>
  <c r="AC3" i="34" s="1"/>
  <c r="L70" i="27"/>
  <c r="AC11" i="34" s="1"/>
  <c r="L71" i="27"/>
  <c r="AC19" i="34" s="1"/>
  <c r="L73" i="27"/>
  <c r="AC40" i="34" s="1"/>
  <c r="J55" i="27"/>
  <c r="K55" i="27" s="1"/>
  <c r="M19" i="27"/>
  <c r="M54" i="27" s="1"/>
  <c r="L38" i="27"/>
  <c r="N20" i="27"/>
  <c r="N55" i="27" s="1"/>
  <c r="O22" i="27"/>
  <c r="O55" i="27"/>
  <c r="M22" i="27"/>
  <c r="L21" i="27"/>
  <c r="Y50" i="24"/>
  <c r="AS50" i="24"/>
  <c r="AI50" i="24"/>
  <c r="AJ50" i="24"/>
  <c r="AT50" i="24"/>
  <c r="AN50" i="24"/>
  <c r="K50" i="24"/>
  <c r="J50" i="24"/>
  <c r="P50" i="24"/>
  <c r="AD50" i="24"/>
  <c r="AA74" i="23"/>
  <c r="V74" i="23"/>
  <c r="O74" i="23"/>
  <c r="P74" i="23"/>
  <c r="N53" i="22"/>
  <c r="N61" i="22" s="1"/>
  <c r="N18" i="22"/>
  <c r="O5" i="22"/>
  <c r="P30" i="22"/>
  <c r="P31" i="22"/>
  <c r="P32" i="22"/>
  <c r="P33" i="22"/>
  <c r="P34" i="22"/>
  <c r="P35" i="22"/>
  <c r="P36" i="22"/>
  <c r="P37" i="22"/>
  <c r="P29" i="22"/>
  <c r="Q19" i="22"/>
  <c r="Q54" i="22" s="1"/>
  <c r="P38" i="22"/>
  <c r="P54" i="22"/>
  <c r="P68" i="22" s="1"/>
  <c r="E13" i="32" l="1"/>
  <c r="E17" i="32" s="1"/>
  <c r="E19" i="32" s="1"/>
  <c r="E20" i="32" s="1"/>
  <c r="T50" i="34"/>
  <c r="AO20" i="33"/>
  <c r="AO19" i="33" s="1"/>
  <c r="AL20" i="33"/>
  <c r="AL5" i="33"/>
  <c r="AO7" i="33"/>
  <c r="AL12" i="33"/>
  <c r="AO12" i="33"/>
  <c r="AO11" i="33" s="1"/>
  <c r="AO44" i="33"/>
  <c r="AO43" i="33" s="1"/>
  <c r="AL44" i="33"/>
  <c r="AO70" i="33"/>
  <c r="AO69" i="33" s="1"/>
  <c r="AL70" i="33"/>
  <c r="AN12" i="34"/>
  <c r="AN11" i="34" s="1"/>
  <c r="AK12" i="34"/>
  <c r="AN41" i="34"/>
  <c r="AN40" i="34" s="1"/>
  <c r="AK41" i="34"/>
  <c r="AL4" i="33"/>
  <c r="AO6" i="33"/>
  <c r="AO28" i="33"/>
  <c r="AO27" i="33" s="1"/>
  <c r="AL28" i="33"/>
  <c r="AK20" i="34"/>
  <c r="AN20" i="34"/>
  <c r="AN19" i="34" s="1"/>
  <c r="AK4" i="34"/>
  <c r="AN4" i="34"/>
  <c r="AN3" i="34" s="1"/>
  <c r="AO36" i="33"/>
  <c r="AO35" i="33" s="1"/>
  <c r="AL36" i="33"/>
  <c r="AN46" i="34"/>
  <c r="AN45" i="34" s="1"/>
  <c r="AK46" i="34"/>
  <c r="AO49" i="33"/>
  <c r="AO48" i="33" s="1"/>
  <c r="AL49" i="33"/>
  <c r="AN25" i="34"/>
  <c r="AN24" i="34" s="1"/>
  <c r="AK25" i="34"/>
  <c r="AM75" i="33"/>
  <c r="AO65" i="33"/>
  <c r="AO64" i="33" s="1"/>
  <c r="AL65" i="33"/>
  <c r="AG10" i="34"/>
  <c r="AI10" i="34" s="1"/>
  <c r="AG5" i="34"/>
  <c r="AI5" i="34" s="1"/>
  <c r="AG4" i="34"/>
  <c r="AG9" i="34"/>
  <c r="AI9" i="34" s="1"/>
  <c r="AG6" i="34"/>
  <c r="AI6" i="34" s="1"/>
  <c r="AG8" i="34"/>
  <c r="AI8" i="34" s="1"/>
  <c r="AG7" i="34"/>
  <c r="AI7" i="34" s="1"/>
  <c r="AH71" i="33"/>
  <c r="AJ71" i="33" s="1"/>
  <c r="AH72" i="33"/>
  <c r="AJ72" i="33" s="1"/>
  <c r="AH73" i="33"/>
  <c r="AJ73" i="33" s="1"/>
  <c r="AH70" i="33"/>
  <c r="AH16" i="33"/>
  <c r="AJ16" i="33" s="1"/>
  <c r="AH17" i="33"/>
  <c r="AJ17" i="33" s="1"/>
  <c r="AH15" i="33"/>
  <c r="AJ15" i="33" s="1"/>
  <c r="AH13" i="33"/>
  <c r="AJ13" i="33" s="1"/>
  <c r="AH18" i="33"/>
  <c r="AJ18" i="33" s="1"/>
  <c r="AH14" i="33"/>
  <c r="AJ14" i="33" s="1"/>
  <c r="AH12" i="33"/>
  <c r="AG47" i="34"/>
  <c r="AI47" i="34" s="1"/>
  <c r="AG46" i="34"/>
  <c r="AG48" i="34"/>
  <c r="AI48" i="34" s="1"/>
  <c r="AG49" i="34"/>
  <c r="AI49" i="34" s="1"/>
  <c r="Q12" i="34"/>
  <c r="AG11" i="34"/>
  <c r="AH49" i="33"/>
  <c r="AH52" i="33"/>
  <c r="AJ52" i="33" s="1"/>
  <c r="AH54" i="33"/>
  <c r="AJ54" i="33" s="1"/>
  <c r="AH53" i="33"/>
  <c r="AJ53" i="33" s="1"/>
  <c r="AH55" i="33"/>
  <c r="AJ55" i="33" s="1"/>
  <c r="AH51" i="33"/>
  <c r="AJ51" i="33" s="1"/>
  <c r="AH50" i="33"/>
  <c r="AJ50" i="33" s="1"/>
  <c r="AH68" i="33"/>
  <c r="AJ68" i="33" s="1"/>
  <c r="AH66" i="33"/>
  <c r="AJ66" i="33" s="1"/>
  <c r="AH65" i="33"/>
  <c r="AH67" i="33"/>
  <c r="AJ67" i="33" s="1"/>
  <c r="AG27" i="34"/>
  <c r="AI27" i="34" s="1"/>
  <c r="AG30" i="34"/>
  <c r="AI30" i="34" s="1"/>
  <c r="AG28" i="34"/>
  <c r="AI28" i="34" s="1"/>
  <c r="AG31" i="34"/>
  <c r="AI31" i="34" s="1"/>
  <c r="AG25" i="34"/>
  <c r="AG26" i="34"/>
  <c r="AI26" i="34" s="1"/>
  <c r="AG29" i="34"/>
  <c r="AI29" i="34" s="1"/>
  <c r="AH21" i="33"/>
  <c r="AJ21" i="33" s="1"/>
  <c r="AH25" i="33"/>
  <c r="AJ25" i="33" s="1"/>
  <c r="AH23" i="33"/>
  <c r="AJ23" i="33" s="1"/>
  <c r="AH26" i="33"/>
  <c r="AJ26" i="33" s="1"/>
  <c r="AH22" i="33"/>
  <c r="AJ22" i="33" s="1"/>
  <c r="AH20" i="33"/>
  <c r="AH24" i="33"/>
  <c r="AJ24" i="33" s="1"/>
  <c r="AH28" i="33"/>
  <c r="AH32" i="33"/>
  <c r="AJ32" i="33" s="1"/>
  <c r="AH33" i="33"/>
  <c r="AJ33" i="33" s="1"/>
  <c r="AH30" i="33"/>
  <c r="AJ30" i="33" s="1"/>
  <c r="AH29" i="33"/>
  <c r="AJ29" i="33" s="1"/>
  <c r="AH31" i="33"/>
  <c r="AJ31" i="33" s="1"/>
  <c r="AH34" i="33"/>
  <c r="AJ34" i="33" s="1"/>
  <c r="AH37" i="33"/>
  <c r="AJ37" i="33" s="1"/>
  <c r="AH39" i="33"/>
  <c r="AJ39" i="33" s="1"/>
  <c r="AH41" i="33"/>
  <c r="AJ41" i="33" s="1"/>
  <c r="AH36" i="33"/>
  <c r="AH40" i="33"/>
  <c r="AJ40" i="33" s="1"/>
  <c r="AH42" i="33"/>
  <c r="AJ42" i="33" s="1"/>
  <c r="AH38" i="33"/>
  <c r="AJ38" i="33" s="1"/>
  <c r="AH45" i="33"/>
  <c r="AJ45" i="33" s="1"/>
  <c r="AH46" i="33"/>
  <c r="AJ46" i="33" s="1"/>
  <c r="AH44" i="33"/>
  <c r="AH47" i="33"/>
  <c r="AJ47" i="33" s="1"/>
  <c r="AH8" i="33"/>
  <c r="AJ8" i="33" s="1"/>
  <c r="AH10" i="33"/>
  <c r="AJ10" i="33" s="1"/>
  <c r="AH7" i="33"/>
  <c r="AJ7" i="33" s="1"/>
  <c r="AH5" i="33"/>
  <c r="AJ5" i="33" s="1"/>
  <c r="AH9" i="33"/>
  <c r="AJ9" i="33" s="1"/>
  <c r="AH4" i="33"/>
  <c r="AH6" i="33"/>
  <c r="AJ6" i="33" s="1"/>
  <c r="AH74" i="33"/>
  <c r="AG23" i="34"/>
  <c r="AI23" i="34" s="1"/>
  <c r="AG22" i="34"/>
  <c r="AI22" i="34" s="1"/>
  <c r="AG20" i="34"/>
  <c r="AG21" i="34"/>
  <c r="AI21" i="34" s="1"/>
  <c r="AG41" i="34"/>
  <c r="AG44" i="34"/>
  <c r="AI44" i="34" s="1"/>
  <c r="AG42" i="34"/>
  <c r="AI42" i="34" s="1"/>
  <c r="AG43" i="34"/>
  <c r="AI43" i="34" s="1"/>
  <c r="AC23" i="34"/>
  <c r="AE23" i="34" s="1"/>
  <c r="AC22" i="34"/>
  <c r="AE22" i="34" s="1"/>
  <c r="AC20" i="34"/>
  <c r="AE20" i="34" s="1"/>
  <c r="AC21" i="34"/>
  <c r="AE21" i="34" s="1"/>
  <c r="AC18" i="34"/>
  <c r="AE18" i="34" s="1"/>
  <c r="AC14" i="34"/>
  <c r="AE14" i="34" s="1"/>
  <c r="AC12" i="34"/>
  <c r="AE12" i="34" s="1"/>
  <c r="AC13" i="34"/>
  <c r="AE13" i="34" s="1"/>
  <c r="AC16" i="34"/>
  <c r="AE16" i="34" s="1"/>
  <c r="AC17" i="34"/>
  <c r="AE17" i="34" s="1"/>
  <c r="AC15" i="34"/>
  <c r="AE15" i="34" s="1"/>
  <c r="AC49" i="34"/>
  <c r="AE49" i="34" s="1"/>
  <c r="AC48" i="34"/>
  <c r="AE48" i="34" s="1"/>
  <c r="AC47" i="34"/>
  <c r="AE47" i="34" s="1"/>
  <c r="AC46" i="34"/>
  <c r="AE46" i="34" s="1"/>
  <c r="AE4" i="33"/>
  <c r="AE3" i="33" s="1"/>
  <c r="AE74" i="33" s="1"/>
  <c r="F4" i="32" s="1"/>
  <c r="F13" i="32" s="1"/>
  <c r="F17" i="32" s="1"/>
  <c r="AB4" i="33"/>
  <c r="AB5" i="33"/>
  <c r="AC8" i="34"/>
  <c r="AE8" i="34" s="1"/>
  <c r="AC10" i="34"/>
  <c r="AE10" i="34" s="1"/>
  <c r="AC5" i="34"/>
  <c r="AE5" i="34" s="1"/>
  <c r="AC7" i="34"/>
  <c r="AE7" i="34" s="1"/>
  <c r="AC4" i="34"/>
  <c r="AE4" i="34" s="1"/>
  <c r="AC9" i="34"/>
  <c r="AE9" i="34" s="1"/>
  <c r="AC6" i="34"/>
  <c r="AE6" i="34" s="1"/>
  <c r="AC42" i="34"/>
  <c r="AE42" i="34" s="1"/>
  <c r="AC44" i="34"/>
  <c r="AE44" i="34" s="1"/>
  <c r="AC41" i="34"/>
  <c r="AE41" i="34" s="1"/>
  <c r="AC43" i="34"/>
  <c r="AE43" i="34" s="1"/>
  <c r="AC50" i="34"/>
  <c r="AB52" i="34" s="1"/>
  <c r="AC30" i="34"/>
  <c r="AE30" i="34" s="1"/>
  <c r="AC29" i="34"/>
  <c r="AE29" i="34" s="1"/>
  <c r="AC27" i="34"/>
  <c r="AE27" i="34" s="1"/>
  <c r="AC26" i="34"/>
  <c r="AE26" i="34" s="1"/>
  <c r="AC25" i="34"/>
  <c r="AE25" i="34" s="1"/>
  <c r="AC31" i="34"/>
  <c r="AE31" i="34" s="1"/>
  <c r="AC28" i="34"/>
  <c r="AE28" i="34" s="1"/>
  <c r="I19" i="32"/>
  <c r="I20" i="32" s="1"/>
  <c r="I23" i="32" s="1"/>
  <c r="I24" i="32" s="1"/>
  <c r="I25" i="32" s="1"/>
  <c r="D19" i="32"/>
  <c r="D20" i="32" s="1"/>
  <c r="S4" i="32"/>
  <c r="S6" i="32"/>
  <c r="S8" i="32"/>
  <c r="S7" i="32"/>
  <c r="S3" i="32"/>
  <c r="L33" i="30"/>
  <c r="L37" i="30"/>
  <c r="L23" i="30"/>
  <c r="L34" i="30"/>
  <c r="L35" i="30"/>
  <c r="L36" i="30"/>
  <c r="M8" i="30"/>
  <c r="L56" i="30"/>
  <c r="M5" i="30"/>
  <c r="L18" i="30"/>
  <c r="L28" i="30" s="1"/>
  <c r="L53" i="30"/>
  <c r="L61" i="30" s="1"/>
  <c r="O7" i="30"/>
  <c r="P7" i="30"/>
  <c r="N8" i="30"/>
  <c r="K6" i="28"/>
  <c r="K11" i="28" s="1"/>
  <c r="H70" i="30"/>
  <c r="H72" i="30"/>
  <c r="H74" i="30"/>
  <c r="H73" i="30"/>
  <c r="H71" i="30"/>
  <c r="H69" i="30"/>
  <c r="H31" i="30"/>
  <c r="H32" i="30"/>
  <c r="H36" i="30"/>
  <c r="H33" i="30"/>
  <c r="H37" i="30"/>
  <c r="H34" i="30"/>
  <c r="H30" i="30"/>
  <c r="L19" i="30"/>
  <c r="L38" i="30" s="1"/>
  <c r="Q17" i="30"/>
  <c r="O18" i="30"/>
  <c r="O53" i="30" s="1"/>
  <c r="O19" i="30"/>
  <c r="O54" i="30" s="1"/>
  <c r="O52" i="30"/>
  <c r="L54" i="30"/>
  <c r="L68" i="30" s="1"/>
  <c r="Q9" i="30"/>
  <c r="L12" i="28" s="1"/>
  <c r="P12" i="30"/>
  <c r="P6" i="30"/>
  <c r="Q10" i="30"/>
  <c r="P13" i="30"/>
  <c r="K23" i="30"/>
  <c r="K58" i="30" s="1"/>
  <c r="I13" i="28" s="1"/>
  <c r="J58" i="30"/>
  <c r="O20" i="30"/>
  <c r="M21" i="30"/>
  <c r="L21" i="30" s="1"/>
  <c r="M22" i="30"/>
  <c r="M55" i="30"/>
  <c r="J62" i="30"/>
  <c r="J63" i="30"/>
  <c r="J64" i="30"/>
  <c r="J65" i="30"/>
  <c r="J66" i="30"/>
  <c r="J67" i="30"/>
  <c r="P4" i="30"/>
  <c r="N5" i="30"/>
  <c r="N17" i="30"/>
  <c r="O4" i="30"/>
  <c r="K5" i="28"/>
  <c r="H40" i="30"/>
  <c r="H42" i="30"/>
  <c r="H44" i="30"/>
  <c r="H46" i="30"/>
  <c r="H39" i="30"/>
  <c r="H41" i="30"/>
  <c r="H43" i="30"/>
  <c r="H45" i="30"/>
  <c r="H47" i="30"/>
  <c r="J29" i="30"/>
  <c r="J30" i="30"/>
  <c r="J34" i="30"/>
  <c r="J31" i="30"/>
  <c r="J35" i="30"/>
  <c r="J32" i="30"/>
  <c r="J36" i="30"/>
  <c r="J33" i="30"/>
  <c r="J37" i="30"/>
  <c r="J22" i="30"/>
  <c r="K57" i="30"/>
  <c r="J57" i="30" s="1"/>
  <c r="J55" i="30" s="1"/>
  <c r="K55" i="30" s="1"/>
  <c r="H61" i="30"/>
  <c r="L42" i="27"/>
  <c r="AD27" i="33" s="1"/>
  <c r="L44" i="27"/>
  <c r="AD43" i="33" s="1"/>
  <c r="L46" i="27"/>
  <c r="L41" i="27"/>
  <c r="AD19" i="33" s="1"/>
  <c r="L43" i="27"/>
  <c r="AD35" i="33" s="1"/>
  <c r="L45" i="27"/>
  <c r="AD48" i="33" s="1"/>
  <c r="L47" i="27"/>
  <c r="M57" i="27"/>
  <c r="L22" i="27"/>
  <c r="L57" i="27" s="1"/>
  <c r="N22" i="27"/>
  <c r="N57" i="27" s="1"/>
  <c r="O57" i="27"/>
  <c r="N23" i="27"/>
  <c r="Q22" i="27"/>
  <c r="Q55" i="27"/>
  <c r="P20" i="27"/>
  <c r="P55" i="27" s="1"/>
  <c r="P23" i="27"/>
  <c r="P19" i="27"/>
  <c r="P52" i="27"/>
  <c r="N38" i="27"/>
  <c r="O19" i="27"/>
  <c r="O54" i="27" s="1"/>
  <c r="N54" i="27"/>
  <c r="N68" i="27" s="1"/>
  <c r="S19" i="27"/>
  <c r="S54" i="27" s="1"/>
  <c r="S20" i="27"/>
  <c r="S52" i="27"/>
  <c r="R17" i="27"/>
  <c r="P69" i="22"/>
  <c r="P71" i="22"/>
  <c r="P73" i="22"/>
  <c r="P70" i="22"/>
  <c r="P74" i="22"/>
  <c r="P72" i="22"/>
  <c r="P42" i="22"/>
  <c r="P44" i="22"/>
  <c r="P46" i="22"/>
  <c r="P40" i="22"/>
  <c r="P39" i="22"/>
  <c r="P41" i="22"/>
  <c r="P43" i="22"/>
  <c r="P45" i="22"/>
  <c r="P47" i="22"/>
  <c r="N28" i="22"/>
  <c r="N19" i="22"/>
  <c r="N64" i="22"/>
  <c r="N63" i="22"/>
  <c r="N67" i="22"/>
  <c r="N66" i="22"/>
  <c r="N65" i="22"/>
  <c r="N62" i="22"/>
  <c r="AO3" i="33" l="1"/>
  <c r="AN50" i="34"/>
  <c r="H8" i="32" s="1"/>
  <c r="AE11" i="34"/>
  <c r="AO74" i="33"/>
  <c r="H4" i="32" s="1"/>
  <c r="H13" i="32" s="1"/>
  <c r="H17" i="32" s="1"/>
  <c r="AJ70" i="33"/>
  <c r="AJ69" i="33" s="1"/>
  <c r="AG70" i="33"/>
  <c r="AI4" i="34"/>
  <c r="AI3" i="34" s="1"/>
  <c r="AF4" i="34"/>
  <c r="AF20" i="34"/>
  <c r="AI20" i="34"/>
  <c r="AI19" i="34" s="1"/>
  <c r="AJ44" i="33"/>
  <c r="AJ43" i="33" s="1"/>
  <c r="AG44" i="33"/>
  <c r="AJ28" i="33"/>
  <c r="AJ27" i="33" s="1"/>
  <c r="AG28" i="33"/>
  <c r="AG65" i="33"/>
  <c r="AJ65" i="33"/>
  <c r="AJ64" i="33" s="1"/>
  <c r="AG12" i="33"/>
  <c r="AJ12" i="33"/>
  <c r="AJ11" i="33" s="1"/>
  <c r="AH75" i="33"/>
  <c r="AJ4" i="33"/>
  <c r="AJ3" i="33" s="1"/>
  <c r="AG5" i="33"/>
  <c r="AG4" i="33"/>
  <c r="AJ49" i="33"/>
  <c r="AJ48" i="33" s="1"/>
  <c r="AG49" i="33"/>
  <c r="AI41" i="34"/>
  <c r="AI40" i="34" s="1"/>
  <c r="AF41" i="34"/>
  <c r="AJ36" i="33"/>
  <c r="AJ35" i="33" s="1"/>
  <c r="AG36" i="33"/>
  <c r="AJ20" i="33"/>
  <c r="AJ19" i="33" s="1"/>
  <c r="AG20" i="33"/>
  <c r="AI25" i="34"/>
  <c r="AI24" i="34" s="1"/>
  <c r="AF25" i="34"/>
  <c r="AG18" i="34"/>
  <c r="AI18" i="34" s="1"/>
  <c r="AG16" i="34"/>
  <c r="AI16" i="34" s="1"/>
  <c r="AG13" i="34"/>
  <c r="AI13" i="34" s="1"/>
  <c r="AG14" i="34"/>
  <c r="AI14" i="34" s="1"/>
  <c r="AG12" i="34"/>
  <c r="AG15" i="34"/>
  <c r="AI15" i="34" s="1"/>
  <c r="AG17" i="34"/>
  <c r="AI17" i="34" s="1"/>
  <c r="AI46" i="34"/>
  <c r="AI45" i="34" s="1"/>
  <c r="AF46" i="34"/>
  <c r="AG50" i="34"/>
  <c r="AD44" i="33"/>
  <c r="AF44" i="33" s="1"/>
  <c r="AD45" i="33"/>
  <c r="AF45" i="33" s="1"/>
  <c r="AD46" i="33"/>
  <c r="AF46" i="33" s="1"/>
  <c r="AD47" i="33"/>
  <c r="AF47" i="33" s="1"/>
  <c r="AD36" i="33"/>
  <c r="AF36" i="33" s="1"/>
  <c r="AD42" i="33"/>
  <c r="AF42" i="33" s="1"/>
  <c r="AD38" i="33"/>
  <c r="AF38" i="33" s="1"/>
  <c r="AD40" i="33"/>
  <c r="AF40" i="33" s="1"/>
  <c r="AD41" i="33"/>
  <c r="AF41" i="33" s="1"/>
  <c r="AD37" i="33"/>
  <c r="AF37" i="33" s="1"/>
  <c r="AD39" i="33"/>
  <c r="AF39" i="33" s="1"/>
  <c r="AD30" i="33"/>
  <c r="AF30" i="33" s="1"/>
  <c r="AD28" i="33"/>
  <c r="AF28" i="33" s="1"/>
  <c r="AD31" i="33"/>
  <c r="AF31" i="33" s="1"/>
  <c r="AD32" i="33"/>
  <c r="AF32" i="33" s="1"/>
  <c r="AD29" i="33"/>
  <c r="AF29" i="33" s="1"/>
  <c r="AD33" i="33"/>
  <c r="AF33" i="33" s="1"/>
  <c r="AD34" i="33"/>
  <c r="AF34" i="33" s="1"/>
  <c r="AE24" i="34"/>
  <c r="AE3" i="34"/>
  <c r="AE45" i="34"/>
  <c r="AD22" i="33"/>
  <c r="AF22" i="33" s="1"/>
  <c r="AD25" i="33"/>
  <c r="AF25" i="33" s="1"/>
  <c r="AD24" i="33"/>
  <c r="AF24" i="33" s="1"/>
  <c r="AD20" i="33"/>
  <c r="AF20" i="33" s="1"/>
  <c r="AD21" i="33"/>
  <c r="AF21" i="33" s="1"/>
  <c r="AD23" i="33"/>
  <c r="AF23" i="33" s="1"/>
  <c r="AD26" i="33"/>
  <c r="AF26" i="33" s="1"/>
  <c r="AD69" i="33"/>
  <c r="AB69" i="33"/>
  <c r="AB64" i="33"/>
  <c r="AD64" i="33"/>
  <c r="AD74" i="33" s="1"/>
  <c r="AC75" i="33" s="1"/>
  <c r="AE40" i="34"/>
  <c r="AE19" i="34"/>
  <c r="AD53" i="33"/>
  <c r="AF53" i="33" s="1"/>
  <c r="AD51" i="33"/>
  <c r="AF51" i="33" s="1"/>
  <c r="AD54" i="33"/>
  <c r="AF54" i="33" s="1"/>
  <c r="AD52" i="33"/>
  <c r="AF52" i="33" s="1"/>
  <c r="AD55" i="33"/>
  <c r="AF55" i="33" s="1"/>
  <c r="AD50" i="33"/>
  <c r="AF50" i="33" s="1"/>
  <c r="AD49" i="33"/>
  <c r="AF49" i="33" s="1"/>
  <c r="L29" i="30"/>
  <c r="L30" i="30"/>
  <c r="L31" i="30"/>
  <c r="L32" i="30"/>
  <c r="M23" i="30"/>
  <c r="M58" i="30" s="1"/>
  <c r="J13" i="28" s="1"/>
  <c r="L58" i="30"/>
  <c r="N23" i="30"/>
  <c r="O21" i="30"/>
  <c r="O22" i="30"/>
  <c r="Q20" i="30"/>
  <c r="O55" i="30"/>
  <c r="N20" i="30"/>
  <c r="N55" i="30" s="1"/>
  <c r="N18" i="30"/>
  <c r="N28" i="30" s="1"/>
  <c r="O5" i="30"/>
  <c r="L69" i="30"/>
  <c r="L71" i="30"/>
  <c r="L73" i="30"/>
  <c r="L72" i="30"/>
  <c r="L70" i="30"/>
  <c r="L74" i="30"/>
  <c r="Q19" i="30"/>
  <c r="Q54" i="30" s="1"/>
  <c r="Q18" i="30"/>
  <c r="Q53" i="30" s="1"/>
  <c r="Q52" i="30"/>
  <c r="P8" i="30"/>
  <c r="Q7" i="30"/>
  <c r="P20" i="30"/>
  <c r="R7" i="30"/>
  <c r="P55" i="30"/>
  <c r="L6" i="28"/>
  <c r="L11" i="28" s="1"/>
  <c r="H63" i="30"/>
  <c r="H67" i="30"/>
  <c r="H62" i="30"/>
  <c r="H66" i="30"/>
  <c r="H65" i="30"/>
  <c r="H64" i="30"/>
  <c r="N19" i="30"/>
  <c r="N52" i="30"/>
  <c r="P5" i="30"/>
  <c r="P17" i="30"/>
  <c r="Q4" i="30"/>
  <c r="R4" i="30"/>
  <c r="P52" i="30"/>
  <c r="L5" i="28"/>
  <c r="M5" i="28" s="1"/>
  <c r="L22" i="30"/>
  <c r="L57" i="30" s="1"/>
  <c r="M57" i="30"/>
  <c r="P19" i="30"/>
  <c r="P38" i="30" s="1"/>
  <c r="L39" i="30"/>
  <c r="L41" i="30"/>
  <c r="L43" i="30"/>
  <c r="L45" i="30"/>
  <c r="L47" i="30"/>
  <c r="L40" i="30"/>
  <c r="L42" i="30"/>
  <c r="L44" i="30"/>
  <c r="L46" i="30"/>
  <c r="O8" i="30"/>
  <c r="N21" i="30"/>
  <c r="L62" i="30"/>
  <c r="L63" i="30"/>
  <c r="L64" i="30"/>
  <c r="L65" i="30"/>
  <c r="L66" i="30"/>
  <c r="L67" i="30"/>
  <c r="N58" i="27"/>
  <c r="O23" i="27"/>
  <c r="O58" i="27" s="1"/>
  <c r="K13" i="26" s="1"/>
  <c r="R20" i="27"/>
  <c r="S22" i="27"/>
  <c r="S55" i="27"/>
  <c r="N39" i="27"/>
  <c r="AI3" i="33" s="1"/>
  <c r="N48" i="27"/>
  <c r="N42" i="27"/>
  <c r="AI27" i="33" s="1"/>
  <c r="N44" i="27"/>
  <c r="AI43" i="33" s="1"/>
  <c r="N46" i="27"/>
  <c r="AI64" i="33" s="1"/>
  <c r="N47" i="27"/>
  <c r="AI69" i="33" s="1"/>
  <c r="N41" i="27"/>
  <c r="AI19" i="33" s="1"/>
  <c r="N45" i="27"/>
  <c r="AI48" i="33" s="1"/>
  <c r="N40" i="27"/>
  <c r="AI11" i="33" s="1"/>
  <c r="N43" i="27"/>
  <c r="AI35" i="33" s="1"/>
  <c r="Q23" i="27"/>
  <c r="Q58" i="27" s="1"/>
  <c r="L13" i="26" s="1"/>
  <c r="P58" i="27"/>
  <c r="R19" i="27"/>
  <c r="R52" i="27"/>
  <c r="N70" i="27"/>
  <c r="AH11" i="34" s="1"/>
  <c r="N72" i="27"/>
  <c r="AH24" i="34" s="1"/>
  <c r="N73" i="27"/>
  <c r="AH40" i="34" s="1"/>
  <c r="N74" i="27"/>
  <c r="AH45" i="34" s="1"/>
  <c r="N71" i="27"/>
  <c r="AH19" i="34" s="1"/>
  <c r="N69" i="27"/>
  <c r="AH3" i="34" s="1"/>
  <c r="Q19" i="27"/>
  <c r="Q54" i="27" s="1"/>
  <c r="P38" i="27"/>
  <c r="P54" i="27"/>
  <c r="P68" i="27" s="1"/>
  <c r="Q57" i="27"/>
  <c r="P22" i="27"/>
  <c r="P57" i="27" s="1"/>
  <c r="N29" i="22"/>
  <c r="N30" i="22"/>
  <c r="N31" i="22"/>
  <c r="N32" i="22"/>
  <c r="N33" i="22"/>
  <c r="N34" i="22"/>
  <c r="N35" i="22"/>
  <c r="N36" i="22"/>
  <c r="N37" i="22"/>
  <c r="N38" i="22"/>
  <c r="O19" i="22"/>
  <c r="O54" i="22" s="1"/>
  <c r="N54" i="22"/>
  <c r="N68" i="22" s="1"/>
  <c r="AI70" i="33" l="1"/>
  <c r="AK70" i="33" s="1"/>
  <c r="AI73" i="33"/>
  <c r="AK73" i="33" s="1"/>
  <c r="AI71" i="33"/>
  <c r="AK71" i="33" s="1"/>
  <c r="AI72" i="33"/>
  <c r="AK72" i="33" s="1"/>
  <c r="AK69" i="33" s="1"/>
  <c r="AH44" i="34"/>
  <c r="AJ44" i="34" s="1"/>
  <c r="AH42" i="34"/>
  <c r="AJ42" i="34" s="1"/>
  <c r="AH41" i="34"/>
  <c r="AJ41" i="34" s="1"/>
  <c r="AH43" i="34"/>
  <c r="AJ43" i="34" s="1"/>
  <c r="AJ40" i="34" s="1"/>
  <c r="AI16" i="33"/>
  <c r="AK16" i="33" s="1"/>
  <c r="AI17" i="33"/>
  <c r="AK17" i="33" s="1"/>
  <c r="AI14" i="33"/>
  <c r="AK14" i="33" s="1"/>
  <c r="AI13" i="33"/>
  <c r="AK13" i="33" s="1"/>
  <c r="AI12" i="33"/>
  <c r="AK12" i="33" s="1"/>
  <c r="AI18" i="33"/>
  <c r="AK18" i="33" s="1"/>
  <c r="AI15" i="33"/>
  <c r="AK15" i="33" s="1"/>
  <c r="AI67" i="33"/>
  <c r="AK67" i="33" s="1"/>
  <c r="AI66" i="33"/>
  <c r="AK66" i="33" s="1"/>
  <c r="AI68" i="33"/>
  <c r="AK68" i="33" s="1"/>
  <c r="AI65" i="33"/>
  <c r="AK65" i="33" s="1"/>
  <c r="AI4" i="33"/>
  <c r="AK4" i="33" s="1"/>
  <c r="AI5" i="33"/>
  <c r="AK5" i="33" s="1"/>
  <c r="AI6" i="33"/>
  <c r="AK6" i="33" s="1"/>
  <c r="AI74" i="33"/>
  <c r="AI8" i="33"/>
  <c r="AK8" i="33" s="1"/>
  <c r="AI10" i="33"/>
  <c r="AK10" i="33" s="1"/>
  <c r="AI9" i="33"/>
  <c r="AK9" i="33" s="1"/>
  <c r="AI7" i="33"/>
  <c r="AK7" i="33" s="1"/>
  <c r="AI12" i="34"/>
  <c r="AI11" i="34" s="1"/>
  <c r="AI50" i="34" s="1"/>
  <c r="G8" i="32" s="1"/>
  <c r="G13" i="32" s="1"/>
  <c r="G17" i="32" s="1"/>
  <c r="AF12" i="34"/>
  <c r="AI38" i="33"/>
  <c r="AK38" i="33" s="1"/>
  <c r="AI36" i="33"/>
  <c r="AK36" i="33" s="1"/>
  <c r="AI37" i="33"/>
  <c r="AK37" i="33" s="1"/>
  <c r="AI39" i="33"/>
  <c r="AK39" i="33" s="1"/>
  <c r="AI41" i="33"/>
  <c r="AK41" i="33" s="1"/>
  <c r="AI40" i="33"/>
  <c r="AK40" i="33" s="1"/>
  <c r="AI42" i="33"/>
  <c r="AK42" i="33" s="1"/>
  <c r="AH50" i="34"/>
  <c r="AG52" i="34" s="1"/>
  <c r="AH6" i="34"/>
  <c r="AJ6" i="34" s="1"/>
  <c r="AH5" i="34"/>
  <c r="AJ5" i="34" s="1"/>
  <c r="AH8" i="34"/>
  <c r="AJ8" i="34" s="1"/>
  <c r="AH10" i="34"/>
  <c r="AJ10" i="34" s="1"/>
  <c r="AH4" i="34"/>
  <c r="AJ4" i="34" s="1"/>
  <c r="AH7" i="34"/>
  <c r="AJ7" i="34" s="1"/>
  <c r="AH9" i="34"/>
  <c r="AJ9" i="34" s="1"/>
  <c r="AH31" i="34"/>
  <c r="AJ31" i="34" s="1"/>
  <c r="AH29" i="34"/>
  <c r="AJ29" i="34" s="1"/>
  <c r="AH26" i="34"/>
  <c r="AJ26" i="34" s="1"/>
  <c r="AH27" i="34"/>
  <c r="AJ27" i="34" s="1"/>
  <c r="AH30" i="34"/>
  <c r="AJ30" i="34" s="1"/>
  <c r="AH25" i="34"/>
  <c r="AJ25" i="34" s="1"/>
  <c r="AH28" i="34"/>
  <c r="AJ28" i="34" s="1"/>
  <c r="AI51" i="33"/>
  <c r="AK51" i="33" s="1"/>
  <c r="AI52" i="33"/>
  <c r="AK52" i="33" s="1"/>
  <c r="AI54" i="33"/>
  <c r="AK54" i="33" s="1"/>
  <c r="AI53" i="33"/>
  <c r="AK53" i="33" s="1"/>
  <c r="AI55" i="33"/>
  <c r="AK55" i="33" s="1"/>
  <c r="AI50" i="33"/>
  <c r="AK50" i="33" s="1"/>
  <c r="AI49" i="33"/>
  <c r="AK49" i="33" s="1"/>
  <c r="AI44" i="33"/>
  <c r="AK44" i="33" s="1"/>
  <c r="AI46" i="33"/>
  <c r="AK46" i="33" s="1"/>
  <c r="AI45" i="33"/>
  <c r="AK45" i="33" s="1"/>
  <c r="AI47" i="33"/>
  <c r="AK47" i="33" s="1"/>
  <c r="AJ74" i="33"/>
  <c r="G4" i="32" s="1"/>
  <c r="AH49" i="34"/>
  <c r="AJ49" i="34" s="1"/>
  <c r="AH47" i="34"/>
  <c r="AJ47" i="34" s="1"/>
  <c r="AH48" i="34"/>
  <c r="AJ48" i="34" s="1"/>
  <c r="AH46" i="34"/>
  <c r="AJ46" i="34" s="1"/>
  <c r="AH23" i="34"/>
  <c r="AJ23" i="34" s="1"/>
  <c r="AH22" i="34"/>
  <c r="AJ22" i="34" s="1"/>
  <c r="AH20" i="34"/>
  <c r="AJ20" i="34" s="1"/>
  <c r="AH21" i="34"/>
  <c r="AJ21" i="34" s="1"/>
  <c r="AH16" i="34"/>
  <c r="AJ16" i="34" s="1"/>
  <c r="AH14" i="34"/>
  <c r="AJ14" i="34" s="1"/>
  <c r="AH13" i="34"/>
  <c r="AJ13" i="34" s="1"/>
  <c r="AH18" i="34"/>
  <c r="AJ18" i="34" s="1"/>
  <c r="AH12" i="34"/>
  <c r="AJ12" i="34" s="1"/>
  <c r="AH15" i="34"/>
  <c r="AJ15" i="34" s="1"/>
  <c r="AH17" i="34"/>
  <c r="AJ17" i="34" s="1"/>
  <c r="AI22" i="33"/>
  <c r="AK22" i="33" s="1"/>
  <c r="AI24" i="33"/>
  <c r="AK24" i="33" s="1"/>
  <c r="AI21" i="33"/>
  <c r="AK21" i="33" s="1"/>
  <c r="AI25" i="33"/>
  <c r="AK25" i="33" s="1"/>
  <c r="AI23" i="33"/>
  <c r="AK23" i="33" s="1"/>
  <c r="AI26" i="33"/>
  <c r="AK26" i="33" s="1"/>
  <c r="AI20" i="33"/>
  <c r="AK20" i="33" s="1"/>
  <c r="AI34" i="33"/>
  <c r="AK34" i="33" s="1"/>
  <c r="AI31" i="33"/>
  <c r="AK31" i="33" s="1"/>
  <c r="AI33" i="33"/>
  <c r="AK33" i="33" s="1"/>
  <c r="AI28" i="33"/>
  <c r="AK28" i="33" s="1"/>
  <c r="AI29" i="33"/>
  <c r="AK29" i="33" s="1"/>
  <c r="AI30" i="33"/>
  <c r="AK30" i="33" s="1"/>
  <c r="AI32" i="33"/>
  <c r="AK32" i="33" s="1"/>
  <c r="AE50" i="34"/>
  <c r="F9" i="32" s="1"/>
  <c r="AF27" i="33"/>
  <c r="AF48" i="33"/>
  <c r="AD72" i="33"/>
  <c r="AF72" i="33" s="1"/>
  <c r="AD70" i="33"/>
  <c r="AF70" i="33" s="1"/>
  <c r="AD73" i="33"/>
  <c r="AF73" i="33" s="1"/>
  <c r="AD71" i="33"/>
  <c r="AF71" i="33" s="1"/>
  <c r="AF19" i="33"/>
  <c r="AF43" i="33"/>
  <c r="AD66" i="33"/>
  <c r="AF66" i="33" s="1"/>
  <c r="AD68" i="33"/>
  <c r="AF68" i="33" s="1"/>
  <c r="AD67" i="33"/>
  <c r="AF67" i="33" s="1"/>
  <c r="AD65" i="33"/>
  <c r="AF65" i="33" s="1"/>
  <c r="AF35" i="33"/>
  <c r="N38" i="30"/>
  <c r="N54" i="30"/>
  <c r="N68" i="30" s="1"/>
  <c r="P21" i="30"/>
  <c r="Q8" i="30"/>
  <c r="P56" i="30"/>
  <c r="N32" i="30"/>
  <c r="N36" i="30"/>
  <c r="N33" i="30"/>
  <c r="N37" i="30"/>
  <c r="N29" i="30"/>
  <c r="N30" i="30"/>
  <c r="N34" i="30"/>
  <c r="N35" i="30"/>
  <c r="N31" i="30"/>
  <c r="O57" i="30"/>
  <c r="N22" i="30"/>
  <c r="N57" i="30" s="1"/>
  <c r="P54" i="30"/>
  <c r="P68" i="30" s="1"/>
  <c r="P23" i="30"/>
  <c r="R20" i="30"/>
  <c r="R9" i="30"/>
  <c r="M6" i="28"/>
  <c r="N56" i="30"/>
  <c r="O56" i="30" s="1"/>
  <c r="P40" i="30"/>
  <c r="P42" i="30"/>
  <c r="P44" i="30"/>
  <c r="P46" i="30"/>
  <c r="P39" i="30"/>
  <c r="P41" i="30"/>
  <c r="P43" i="30"/>
  <c r="P45" i="30"/>
  <c r="P47" i="30"/>
  <c r="Q5" i="30"/>
  <c r="P18" i="30"/>
  <c r="P28" i="30" s="1"/>
  <c r="P53" i="30"/>
  <c r="P61" i="30" s="1"/>
  <c r="N53" i="30"/>
  <c r="N61" i="30" s="1"/>
  <c r="O23" i="30"/>
  <c r="O58" i="30" s="1"/>
  <c r="K13" i="28" s="1"/>
  <c r="N58" i="30"/>
  <c r="R6" i="30"/>
  <c r="R10" i="30"/>
  <c r="S7" i="30" s="1"/>
  <c r="R17" i="30"/>
  <c r="R52" i="30" s="1"/>
  <c r="S4" i="30"/>
  <c r="Q21" i="30"/>
  <c r="Q22" i="30"/>
  <c r="Q55" i="30"/>
  <c r="Q56" i="30" s="1"/>
  <c r="P71" i="27"/>
  <c r="AM19" i="34" s="1"/>
  <c r="P72" i="27"/>
  <c r="AM24" i="34" s="1"/>
  <c r="P69" i="27"/>
  <c r="AM3" i="34" s="1"/>
  <c r="P73" i="27"/>
  <c r="AM40" i="34" s="1"/>
  <c r="P74" i="27"/>
  <c r="AM45" i="34" s="1"/>
  <c r="P70" i="27"/>
  <c r="AM11" i="34" s="1"/>
  <c r="R22" i="27"/>
  <c r="R57" i="27" s="1"/>
  <c r="S57" i="27"/>
  <c r="P40" i="27"/>
  <c r="AN11" i="33" s="1"/>
  <c r="P39" i="27"/>
  <c r="AN3" i="33" s="1"/>
  <c r="P41" i="27"/>
  <c r="AN19" i="33" s="1"/>
  <c r="P43" i="27"/>
  <c r="AN35" i="33" s="1"/>
  <c r="P45" i="27"/>
  <c r="AN48" i="33" s="1"/>
  <c r="P47" i="27"/>
  <c r="AN69" i="33" s="1"/>
  <c r="P42" i="27"/>
  <c r="AN27" i="33" s="1"/>
  <c r="P44" i="27"/>
  <c r="AN43" i="33" s="1"/>
  <c r="P46" i="27"/>
  <c r="AN64" i="33" s="1"/>
  <c r="R23" i="27"/>
  <c r="R55" i="27"/>
  <c r="R54" i="27"/>
  <c r="R68" i="27" s="1"/>
  <c r="R38" i="27"/>
  <c r="N40" i="22"/>
  <c r="N41" i="22"/>
  <c r="N43" i="22"/>
  <c r="N45" i="22"/>
  <c r="N47" i="22"/>
  <c r="N39" i="22"/>
  <c r="N48" i="22"/>
  <c r="N42" i="22"/>
  <c r="N44" i="22"/>
  <c r="N46" i="22"/>
  <c r="N69" i="22"/>
  <c r="N71" i="22"/>
  <c r="N73" i="22"/>
  <c r="N70" i="22"/>
  <c r="N74" i="22"/>
  <c r="N72" i="22"/>
  <c r="AF64" i="33" l="1"/>
  <c r="AN68" i="33"/>
  <c r="AP68" i="33" s="1"/>
  <c r="AN66" i="33"/>
  <c r="AP66" i="33" s="1"/>
  <c r="AN67" i="33"/>
  <c r="AP67" i="33" s="1"/>
  <c r="AN65" i="33"/>
  <c r="AP65" i="33" s="1"/>
  <c r="AM46" i="34"/>
  <c r="AO46" i="34" s="1"/>
  <c r="AM49" i="34"/>
  <c r="AO49" i="34" s="1"/>
  <c r="AM48" i="34"/>
  <c r="AO48" i="34" s="1"/>
  <c r="AM47" i="34"/>
  <c r="AO47" i="34" s="1"/>
  <c r="AN46" i="33"/>
  <c r="AP46" i="33" s="1"/>
  <c r="AN45" i="33"/>
  <c r="AP45" i="33" s="1"/>
  <c r="AN47" i="33"/>
  <c r="AP47" i="33" s="1"/>
  <c r="AN44" i="33"/>
  <c r="AP44" i="33" s="1"/>
  <c r="AN38" i="33"/>
  <c r="AP38" i="33" s="1"/>
  <c r="AN40" i="33"/>
  <c r="AP40" i="33" s="1"/>
  <c r="AN41" i="33"/>
  <c r="AP41" i="33" s="1"/>
  <c r="AN36" i="33"/>
  <c r="AP36" i="33" s="1"/>
  <c r="AN39" i="33"/>
  <c r="AP39" i="33" s="1"/>
  <c r="AN37" i="33"/>
  <c r="AP37" i="33" s="1"/>
  <c r="AN42" i="33"/>
  <c r="AP42" i="33" s="1"/>
  <c r="AM44" i="34"/>
  <c r="AO44" i="34" s="1"/>
  <c r="AM42" i="34"/>
  <c r="AO42" i="34" s="1"/>
  <c r="AM41" i="34"/>
  <c r="AO41" i="34" s="1"/>
  <c r="AM43" i="34"/>
  <c r="AO43" i="34" s="1"/>
  <c r="AN49" i="33"/>
  <c r="AP49" i="33" s="1"/>
  <c r="AN53" i="33"/>
  <c r="AP53" i="33" s="1"/>
  <c r="AN54" i="33"/>
  <c r="AP54" i="33" s="1"/>
  <c r="AN50" i="33"/>
  <c r="AP50" i="33" s="1"/>
  <c r="AN52" i="33"/>
  <c r="AP52" i="33" s="1"/>
  <c r="AN51" i="33"/>
  <c r="AP51" i="33" s="1"/>
  <c r="AN55" i="33"/>
  <c r="AP55" i="33" s="1"/>
  <c r="AM23" i="34"/>
  <c r="AO23" i="34" s="1"/>
  <c r="AM22" i="34"/>
  <c r="AO22" i="34" s="1"/>
  <c r="AM21" i="34"/>
  <c r="AO21" i="34" s="1"/>
  <c r="AM20" i="34"/>
  <c r="AO20" i="34" s="1"/>
  <c r="AN32" i="33"/>
  <c r="AP32" i="33" s="1"/>
  <c r="AN34" i="33"/>
  <c r="AP34" i="33" s="1"/>
  <c r="AN28" i="33"/>
  <c r="AP28" i="33" s="1"/>
  <c r="AN31" i="33"/>
  <c r="AP31" i="33" s="1"/>
  <c r="AN33" i="33"/>
  <c r="AP33" i="33" s="1"/>
  <c r="AN29" i="33"/>
  <c r="AP29" i="33" s="1"/>
  <c r="AN30" i="33"/>
  <c r="AP30" i="33" s="1"/>
  <c r="AN22" i="33"/>
  <c r="AP22" i="33" s="1"/>
  <c r="AN24" i="33"/>
  <c r="AP24" i="33" s="1"/>
  <c r="AN26" i="33"/>
  <c r="AP26" i="33" s="1"/>
  <c r="AN20" i="33"/>
  <c r="AP20" i="33" s="1"/>
  <c r="AN25" i="33"/>
  <c r="AP25" i="33" s="1"/>
  <c r="AN21" i="33"/>
  <c r="AP21" i="33" s="1"/>
  <c r="AN23" i="33"/>
  <c r="AP23" i="33" s="1"/>
  <c r="AM50" i="34"/>
  <c r="AL52" i="34" s="1"/>
  <c r="AM10" i="34"/>
  <c r="AO10" i="34" s="1"/>
  <c r="AM8" i="34"/>
  <c r="AO8" i="34" s="1"/>
  <c r="AM7" i="34"/>
  <c r="AO7" i="34" s="1"/>
  <c r="AM4" i="34"/>
  <c r="AO4" i="34" s="1"/>
  <c r="AM6" i="34"/>
  <c r="AO6" i="34" s="1"/>
  <c r="AM9" i="34"/>
  <c r="AO9" i="34" s="1"/>
  <c r="AM5" i="34"/>
  <c r="AO5" i="34" s="1"/>
  <c r="AN16" i="33"/>
  <c r="AP16" i="33" s="1"/>
  <c r="AN17" i="33"/>
  <c r="AP17" i="33" s="1"/>
  <c r="AN12" i="33"/>
  <c r="AP12" i="33" s="1"/>
  <c r="AN13" i="33"/>
  <c r="AP13" i="33" s="1"/>
  <c r="AN15" i="33"/>
  <c r="AP15" i="33" s="1"/>
  <c r="AN18" i="33"/>
  <c r="AP18" i="33" s="1"/>
  <c r="AN14" i="33"/>
  <c r="AP14" i="33" s="1"/>
  <c r="AN70" i="33"/>
  <c r="AP70" i="33" s="1"/>
  <c r="AN71" i="33"/>
  <c r="AP71" i="33" s="1"/>
  <c r="AN73" i="33"/>
  <c r="AP73" i="33" s="1"/>
  <c r="AN72" i="33"/>
  <c r="AP72" i="33" s="1"/>
  <c r="AN4" i="33"/>
  <c r="AP4" i="33" s="1"/>
  <c r="AN5" i="33"/>
  <c r="AP5" i="33" s="1"/>
  <c r="AN7" i="33"/>
  <c r="AP7" i="33" s="1"/>
  <c r="AN8" i="33"/>
  <c r="AP8" i="33" s="1"/>
  <c r="AN9" i="33"/>
  <c r="AP9" i="33" s="1"/>
  <c r="AN10" i="33"/>
  <c r="AP10" i="33" s="1"/>
  <c r="AN6" i="33"/>
  <c r="AP6" i="33" s="1"/>
  <c r="AN74" i="33"/>
  <c r="AM14" i="34"/>
  <c r="AO14" i="34" s="1"/>
  <c r="AM18" i="34"/>
  <c r="AO18" i="34" s="1"/>
  <c r="AM16" i="34"/>
  <c r="AO16" i="34" s="1"/>
  <c r="AM13" i="34"/>
  <c r="AO13" i="34" s="1"/>
  <c r="AM12" i="34"/>
  <c r="AO12" i="34" s="1"/>
  <c r="AM15" i="34"/>
  <c r="AO15" i="34" s="1"/>
  <c r="AM17" i="34"/>
  <c r="AO17" i="34" s="1"/>
  <c r="AM30" i="34"/>
  <c r="AO30" i="34" s="1"/>
  <c r="AM25" i="34"/>
  <c r="AO25" i="34" s="1"/>
  <c r="AM28" i="34"/>
  <c r="AO28" i="34" s="1"/>
  <c r="AM27" i="34"/>
  <c r="AO27" i="34" s="1"/>
  <c r="AM31" i="34"/>
  <c r="AO31" i="34" s="1"/>
  <c r="AM26" i="34"/>
  <c r="AO26" i="34" s="1"/>
  <c r="AM29" i="34"/>
  <c r="AO29" i="34" s="1"/>
  <c r="AJ11" i="34"/>
  <c r="AJ19" i="34"/>
  <c r="AK48" i="33"/>
  <c r="AJ24" i="34"/>
  <c r="AJ3" i="34"/>
  <c r="AK27" i="33"/>
  <c r="AK19" i="33"/>
  <c r="AJ45" i="34"/>
  <c r="AK43" i="33"/>
  <c r="AI75" i="33"/>
  <c r="AH76" i="33"/>
  <c r="AK64" i="33"/>
  <c r="AK35" i="33"/>
  <c r="AK3" i="33"/>
  <c r="AK11" i="33"/>
  <c r="AF69" i="33"/>
  <c r="AF74" i="33"/>
  <c r="F5" i="32" s="1"/>
  <c r="F14" i="32" s="1"/>
  <c r="F18" i="32" s="1"/>
  <c r="F19" i="32" s="1"/>
  <c r="F20" i="32" s="1"/>
  <c r="S5" i="30"/>
  <c r="S6" i="30"/>
  <c r="R54" i="30"/>
  <c r="R68" i="30" s="1"/>
  <c r="R19" i="30"/>
  <c r="R38" i="30" s="1"/>
  <c r="P64" i="30"/>
  <c r="P65" i="30"/>
  <c r="P63" i="30"/>
  <c r="P67" i="30"/>
  <c r="P62" i="30"/>
  <c r="P66" i="30"/>
  <c r="R23" i="30"/>
  <c r="S23" i="30" s="1"/>
  <c r="S58" i="30" s="1"/>
  <c r="M13" i="28" s="1"/>
  <c r="P70" i="30"/>
  <c r="P72" i="30"/>
  <c r="P74" i="30"/>
  <c r="P69" i="30"/>
  <c r="P71" i="30"/>
  <c r="P73" i="30"/>
  <c r="N48" i="30"/>
  <c r="N42" i="30"/>
  <c r="N46" i="30"/>
  <c r="N41" i="30"/>
  <c r="N45" i="30"/>
  <c r="N40" i="30"/>
  <c r="N44" i="30"/>
  <c r="N39" i="30"/>
  <c r="N47" i="30"/>
  <c r="N43" i="30"/>
  <c r="P31" i="30"/>
  <c r="P35" i="30"/>
  <c r="P32" i="30"/>
  <c r="P36" i="30"/>
  <c r="P33" i="30"/>
  <c r="P37" i="30"/>
  <c r="P34" i="30"/>
  <c r="P30" i="30"/>
  <c r="P29" i="30"/>
  <c r="R55" i="30"/>
  <c r="P22" i="30"/>
  <c r="P57" i="30" s="1"/>
  <c r="Q57" i="30"/>
  <c r="Q23" i="30"/>
  <c r="Q58" i="30" s="1"/>
  <c r="L13" i="28" s="1"/>
  <c r="P58" i="30"/>
  <c r="R13" i="30"/>
  <c r="S10" i="30"/>
  <c r="R12" i="30"/>
  <c r="S8" i="30"/>
  <c r="R58" i="30"/>
  <c r="N62" i="30"/>
  <c r="N63" i="30"/>
  <c r="N64" i="30"/>
  <c r="N65" i="30"/>
  <c r="N66" i="30"/>
  <c r="N67" i="30"/>
  <c r="S9" i="30"/>
  <c r="R22" i="30"/>
  <c r="R57" i="30" s="1"/>
  <c r="M7" i="28"/>
  <c r="M9" i="28" s="1"/>
  <c r="N70" i="30"/>
  <c r="N72" i="30"/>
  <c r="N74" i="30"/>
  <c r="N69" i="30"/>
  <c r="N71" i="30"/>
  <c r="N73" i="30"/>
  <c r="R69" i="27"/>
  <c r="R71" i="27"/>
  <c r="R73" i="27"/>
  <c r="R70" i="27"/>
  <c r="R72" i="27"/>
  <c r="R74" i="27"/>
  <c r="R58" i="27"/>
  <c r="S23" i="27"/>
  <c r="S58" i="27" s="1"/>
  <c r="M13" i="26" s="1"/>
  <c r="R40" i="27"/>
  <c r="R42" i="27"/>
  <c r="R44" i="27"/>
  <c r="R46" i="27"/>
  <c r="R39" i="27"/>
  <c r="R48" i="27"/>
  <c r="R45" i="27"/>
  <c r="R43" i="27"/>
  <c r="R41" i="27"/>
  <c r="R47" i="27"/>
  <c r="I4" i="21"/>
  <c r="B8" i="21"/>
  <c r="AP69" i="33" l="1"/>
  <c r="AP35" i="33"/>
  <c r="AP43" i="33"/>
  <c r="AJ50" i="34"/>
  <c r="G9" i="32" s="1"/>
  <c r="AK74" i="33"/>
  <c r="G5" i="32" s="1"/>
  <c r="G14" i="32" s="1"/>
  <c r="G18" i="32" s="1"/>
  <c r="G19" i="32" s="1"/>
  <c r="G20" i="32" s="1"/>
  <c r="AN75" i="33"/>
  <c r="AM76" i="33"/>
  <c r="AP11" i="33"/>
  <c r="AP48" i="33"/>
  <c r="AO40" i="34"/>
  <c r="AO24" i="34"/>
  <c r="AP3" i="33"/>
  <c r="AO19" i="34"/>
  <c r="AP64" i="33"/>
  <c r="AO11" i="34"/>
  <c r="AO3" i="34"/>
  <c r="AO50" i="34" s="1"/>
  <c r="H9" i="32" s="1"/>
  <c r="AP19" i="33"/>
  <c r="AP27" i="33"/>
  <c r="AO45" i="34"/>
  <c r="M11" i="28"/>
  <c r="R48" i="30"/>
  <c r="R39" i="30"/>
  <c r="R43" i="30"/>
  <c r="R47" i="30"/>
  <c r="R42" i="30"/>
  <c r="R46" i="30"/>
  <c r="R41" i="30"/>
  <c r="R45" i="30"/>
  <c r="R44" i="30"/>
  <c r="R40" i="30"/>
  <c r="R69" i="30"/>
  <c r="R71" i="30"/>
  <c r="R73" i="30"/>
  <c r="R70" i="30"/>
  <c r="R72" i="30"/>
  <c r="R74" i="30"/>
  <c r="M12" i="28"/>
  <c r="I8" i="21"/>
  <c r="I13" i="21" s="1"/>
  <c r="H9" i="21"/>
  <c r="D9" i="21"/>
  <c r="D14" i="21" s="1"/>
  <c r="E9" i="21"/>
  <c r="E14" i="21" s="1"/>
  <c r="H4" i="21"/>
  <c r="B4" i="21"/>
  <c r="B13" i="21" s="1"/>
  <c r="AP74" i="33" l="1"/>
  <c r="H5" i="32" s="1"/>
  <c r="H14" i="32" s="1"/>
  <c r="H18" i="32" s="1"/>
  <c r="H19" i="32" s="1"/>
  <c r="H20" i="32" s="1"/>
  <c r="I17" i="21"/>
  <c r="I17" i="20"/>
  <c r="E18" i="21"/>
  <c r="H17" i="20"/>
  <c r="D18" i="21"/>
  <c r="B17" i="21"/>
  <c r="B19" i="21" s="1"/>
  <c r="B22" i="21" s="1"/>
  <c r="E16" i="20"/>
  <c r="S5" i="21"/>
  <c r="S9" i="21" s="1"/>
  <c r="E8" i="21"/>
  <c r="H5" i="21"/>
  <c r="H14" i="21" s="1"/>
  <c r="G9" i="21"/>
  <c r="I5" i="21"/>
  <c r="D4" i="21"/>
  <c r="D13" i="21" s="1"/>
  <c r="H16" i="20" s="1"/>
  <c r="I9" i="21"/>
  <c r="E4" i="21"/>
  <c r="C4" i="21"/>
  <c r="E13" i="21" l="1"/>
  <c r="I16" i="20" s="1"/>
  <c r="I14" i="21"/>
  <c r="I18" i="21" s="1"/>
  <c r="I19" i="21" s="1"/>
  <c r="I23" i="21" s="1"/>
  <c r="I24" i="21" s="1"/>
  <c r="I25" i="21" s="1"/>
  <c r="M17" i="20"/>
  <c r="M18" i="20" s="1"/>
  <c r="L17" i="20"/>
  <c r="H18" i="21"/>
  <c r="H18" i="20"/>
  <c r="S6" i="21"/>
  <c r="S8" i="21"/>
  <c r="S3" i="21"/>
  <c r="S7" i="21"/>
  <c r="S4" i="21"/>
  <c r="L18" i="20"/>
  <c r="D17" i="21"/>
  <c r="D19" i="21" s="1"/>
  <c r="D20" i="21" s="1"/>
  <c r="G18" i="20"/>
  <c r="H8" i="21"/>
  <c r="H13" i="21" s="1"/>
  <c r="E17" i="21" l="1"/>
  <c r="E19" i="21" s="1"/>
  <c r="E20" i="21" s="1"/>
  <c r="H17" i="21"/>
  <c r="H19" i="21" s="1"/>
  <c r="H20" i="21" s="1"/>
  <c r="C8" i="21" l="1"/>
  <c r="C13" i="21" s="1"/>
  <c r="C17" i="21" l="1"/>
  <c r="C19" i="21" s="1"/>
  <c r="C20" i="21" s="1"/>
  <c r="S10" i="20" l="1"/>
  <c r="S13" i="20" s="1"/>
  <c r="F18" i="20"/>
  <c r="E19" i="20" l="1"/>
  <c r="M19" i="20" s="1"/>
  <c r="S9" i="20"/>
  <c r="S5" i="20"/>
  <c r="S4" i="20"/>
  <c r="S7" i="20"/>
  <c r="S8" i="20"/>
  <c r="F19" i="20" l="1"/>
  <c r="G19" i="20"/>
  <c r="M22" i="20"/>
  <c r="M23" i="20" s="1"/>
  <c r="H19" i="20"/>
  <c r="L19" i="20"/>
  <c r="G5" i="21" l="1"/>
  <c r="G14" i="21" s="1"/>
  <c r="G18" i="21" l="1"/>
  <c r="K17" i="20"/>
  <c r="K18" i="20" s="1"/>
  <c r="K19" i="20" s="1"/>
  <c r="G8" i="21" l="1"/>
  <c r="G4" i="21" l="1"/>
  <c r="G13" i="21" s="1"/>
  <c r="G17" i="21" l="1"/>
  <c r="G19" i="21" s="1"/>
  <c r="G20" i="21" s="1"/>
  <c r="F8" i="21" l="1"/>
  <c r="F4" i="21" l="1"/>
  <c r="F13" i="21" s="1"/>
  <c r="F9" i="21"/>
  <c r="I18" i="20" l="1"/>
  <c r="I19" i="20" s="1"/>
  <c r="F17" i="21"/>
  <c r="F5" i="21" l="1"/>
  <c r="F14" i="21" s="1"/>
  <c r="L16" i="14"/>
  <c r="K16" i="14"/>
  <c r="J16" i="14"/>
  <c r="I16" i="14"/>
  <c r="H16" i="14"/>
  <c r="G16" i="14"/>
  <c r="F16" i="14"/>
  <c r="M6" i="14"/>
  <c r="L6" i="14"/>
  <c r="L5" i="14"/>
  <c r="K6" i="14"/>
  <c r="K5" i="14"/>
  <c r="J6" i="14"/>
  <c r="J5" i="14"/>
  <c r="I6" i="14"/>
  <c r="I5" i="14"/>
  <c r="H6" i="14"/>
  <c r="H5" i="14"/>
  <c r="G6" i="14"/>
  <c r="G5" i="14"/>
  <c r="F6" i="14"/>
  <c r="F5" i="14"/>
  <c r="D14" i="13"/>
  <c r="D13" i="13"/>
  <c r="C13" i="13"/>
  <c r="B13" i="13"/>
  <c r="D8" i="13"/>
  <c r="E5" i="13"/>
  <c r="D5" i="13"/>
  <c r="C5" i="13"/>
  <c r="B5" i="13"/>
  <c r="B4" i="13"/>
  <c r="AJ50" i="3"/>
  <c r="AN50" i="3"/>
  <c r="AO50" i="3"/>
  <c r="X24" i="3"/>
  <c r="AN11" i="12"/>
  <c r="AI11" i="12"/>
  <c r="AD69" i="12"/>
  <c r="AD27" i="12"/>
  <c r="AD28" i="12" s="1"/>
  <c r="AD19" i="12"/>
  <c r="AD11" i="12"/>
  <c r="AD3" i="12"/>
  <c r="AA5" i="12"/>
  <c r="AA4" i="12"/>
  <c r="AA3" i="12"/>
  <c r="Y48" i="12"/>
  <c r="Y43" i="12"/>
  <c r="Y35" i="12"/>
  <c r="Y27" i="12"/>
  <c r="Y19" i="12"/>
  <c r="Y11" i="12"/>
  <c r="Y3" i="12"/>
  <c r="Y56" i="12"/>
  <c r="Y64" i="12"/>
  <c r="Y69" i="12"/>
  <c r="T74" i="12"/>
  <c r="T69" i="12"/>
  <c r="T64" i="12"/>
  <c r="S56" i="12"/>
  <c r="T56" i="12"/>
  <c r="T48" i="12"/>
  <c r="T43" i="12"/>
  <c r="T35" i="12"/>
  <c r="T27" i="12"/>
  <c r="T19" i="12"/>
  <c r="T11" i="12"/>
  <c r="T3" i="12"/>
  <c r="X56" i="12"/>
  <c r="H54" i="11"/>
  <c r="H53" i="11"/>
  <c r="P68" i="11"/>
  <c r="J68" i="11"/>
  <c r="H68" i="11"/>
  <c r="H70" i="11" s="1"/>
  <c r="J61" i="11"/>
  <c r="D61" i="11"/>
  <c r="H72" i="11"/>
  <c r="H71" i="11"/>
  <c r="H67" i="11"/>
  <c r="H63" i="11"/>
  <c r="H62" i="11"/>
  <c r="H61" i="11"/>
  <c r="H66" i="11" s="1"/>
  <c r="S53" i="11"/>
  <c r="S56" i="11"/>
  <c r="P56" i="11"/>
  <c r="Q56" i="11"/>
  <c r="O56" i="11"/>
  <c r="N56" i="11"/>
  <c r="J39" i="11"/>
  <c r="L47" i="11"/>
  <c r="L46" i="11"/>
  <c r="L45" i="11"/>
  <c r="L44" i="11"/>
  <c r="L43" i="11"/>
  <c r="L42" i="11"/>
  <c r="L41" i="11"/>
  <c r="L40" i="11"/>
  <c r="L39" i="11"/>
  <c r="J47" i="11"/>
  <c r="J46" i="11"/>
  <c r="J45" i="11"/>
  <c r="J44" i="11"/>
  <c r="J43" i="11"/>
  <c r="J42" i="11"/>
  <c r="J41" i="11"/>
  <c r="J40" i="11"/>
  <c r="H44" i="11"/>
  <c r="H43" i="11"/>
  <c r="H42" i="11"/>
  <c r="H41" i="11"/>
  <c r="H40" i="11"/>
  <c r="H47" i="11"/>
  <c r="H46" i="11"/>
  <c r="H45" i="11"/>
  <c r="H39" i="11"/>
  <c r="P32" i="11"/>
  <c r="N32" i="11"/>
  <c r="N34" i="11"/>
  <c r="N33" i="11"/>
  <c r="N31" i="11"/>
  <c r="N30" i="11"/>
  <c r="N29" i="11"/>
  <c r="L37" i="11"/>
  <c r="L36" i="11"/>
  <c r="L35" i="11"/>
  <c r="L34" i="11"/>
  <c r="L33" i="11"/>
  <c r="L32" i="11"/>
  <c r="L31" i="11"/>
  <c r="L30" i="11"/>
  <c r="L29" i="11"/>
  <c r="J31" i="11"/>
  <c r="J30" i="11"/>
  <c r="J37" i="11"/>
  <c r="J36" i="11"/>
  <c r="J35" i="11"/>
  <c r="J34" i="11"/>
  <c r="J33" i="11"/>
  <c r="J32" i="11"/>
  <c r="J29" i="11"/>
  <c r="H37" i="11"/>
  <c r="H36" i="11"/>
  <c r="H35" i="11"/>
  <c r="H34" i="11"/>
  <c r="H33" i="11"/>
  <c r="H32" i="11"/>
  <c r="H31" i="11"/>
  <c r="F29" i="11"/>
  <c r="H29" i="11"/>
  <c r="H30" i="11"/>
  <c r="J38" i="11"/>
  <c r="H38" i="11"/>
  <c r="Q23" i="11"/>
  <c r="O23" i="11"/>
  <c r="M23" i="11"/>
  <c r="K23" i="11"/>
  <c r="I23" i="11"/>
  <c r="G23" i="11"/>
  <c r="E23" i="11"/>
  <c r="S22" i="11"/>
  <c r="S21" i="11"/>
  <c r="Q22" i="11"/>
  <c r="Q21" i="11"/>
  <c r="O22" i="11"/>
  <c r="O21" i="11"/>
  <c r="M22" i="11"/>
  <c r="M21" i="11"/>
  <c r="L21" i="11" s="1"/>
  <c r="K22" i="11"/>
  <c r="K21" i="11"/>
  <c r="J21" i="11" s="1"/>
  <c r="P21" i="11"/>
  <c r="N21" i="11"/>
  <c r="J17" i="20" l="1"/>
  <c r="J18" i="20" s="1"/>
  <c r="J19" i="20" s="1"/>
  <c r="F18" i="21"/>
  <c r="F19" i="21" s="1"/>
  <c r="F20" i="21" s="1"/>
  <c r="H64" i="11"/>
  <c r="H69" i="11"/>
  <c r="H65" i="11"/>
  <c r="R12" i="11" l="1"/>
  <c r="P12" i="11"/>
  <c r="N12" i="11"/>
  <c r="L12" i="11"/>
  <c r="J12" i="11"/>
  <c r="H12" i="11"/>
  <c r="F12" i="11"/>
  <c r="D12" i="11"/>
  <c r="S19" i="11"/>
  <c r="R19" i="11"/>
  <c r="P18" i="11"/>
  <c r="P19" i="11"/>
  <c r="Q19" i="11"/>
  <c r="N19" i="11"/>
  <c r="O19" i="11"/>
  <c r="M19" i="11"/>
  <c r="K19" i="11"/>
  <c r="J19" i="11" s="1"/>
  <c r="I19" i="11"/>
  <c r="N18" i="11"/>
  <c r="L18" i="11"/>
  <c r="J18" i="11"/>
  <c r="H18" i="11"/>
  <c r="S18" i="11"/>
  <c r="Q18" i="11"/>
  <c r="O18" i="11"/>
  <c r="M18" i="11"/>
  <c r="K18" i="11"/>
  <c r="I22" i="11"/>
  <c r="H22" i="11"/>
  <c r="H21" i="11"/>
  <c r="I21" i="11"/>
  <c r="G21" i="11"/>
  <c r="I18" i="11"/>
  <c r="G18" i="11"/>
  <c r="S20" i="11"/>
  <c r="Q20" i="11"/>
  <c r="O20" i="11"/>
  <c r="M20" i="11"/>
  <c r="K20" i="11"/>
  <c r="I20" i="11"/>
  <c r="G20" i="11"/>
  <c r="S17" i="11"/>
  <c r="Q17" i="11"/>
  <c r="O17" i="11"/>
  <c r="M17" i="11"/>
  <c r="K17" i="11"/>
  <c r="I17" i="11"/>
  <c r="G17" i="11"/>
  <c r="P5" i="11"/>
  <c r="R9" i="11"/>
  <c r="R8" i="11" s="1"/>
  <c r="S8" i="11" s="1"/>
  <c r="Q8" i="11"/>
  <c r="O8" i="11"/>
  <c r="P8" i="11"/>
  <c r="P9" i="11"/>
  <c r="N8" i="11"/>
  <c r="N9" i="11"/>
  <c r="L8" i="11"/>
  <c r="L9" i="11"/>
  <c r="J8" i="11"/>
  <c r="H8" i="11"/>
  <c r="I8" i="11"/>
  <c r="R4" i="11"/>
  <c r="R5" i="11" s="1"/>
  <c r="P4" i="11"/>
  <c r="N4" i="11"/>
  <c r="L4" i="11"/>
  <c r="J4" i="11"/>
  <c r="H4" i="11"/>
  <c r="F4" i="11"/>
  <c r="D4" i="11"/>
  <c r="F8" i="11"/>
  <c r="D8" i="11"/>
  <c r="R4" i="14"/>
  <c r="M5" i="14" l="1"/>
  <c r="F3" i="14" s="1"/>
  <c r="R21" i="11"/>
  <c r="R56" i="11"/>
  <c r="R8" i="14"/>
  <c r="M9" i="14"/>
  <c r="L9" i="14"/>
  <c r="K9" i="14"/>
  <c r="J9" i="14"/>
  <c r="I9" i="14"/>
  <c r="H9" i="14"/>
  <c r="G9" i="14"/>
  <c r="M11" i="14"/>
  <c r="L11" i="14"/>
  <c r="K11" i="14"/>
  <c r="J11" i="14"/>
  <c r="I11" i="14"/>
  <c r="H11" i="14"/>
  <c r="G11" i="14"/>
  <c r="F11" i="14"/>
  <c r="M7" i="11"/>
  <c r="M4" i="11"/>
  <c r="L6" i="11"/>
  <c r="I12" i="14"/>
  <c r="H12" i="14"/>
  <c r="F12" i="14"/>
  <c r="AH56" i="12"/>
  <c r="AC56" i="12"/>
  <c r="K57" i="11"/>
  <c r="R13" i="11"/>
  <c r="P13" i="11"/>
  <c r="N13" i="11"/>
  <c r="L13" i="11"/>
  <c r="J13" i="11"/>
  <c r="H13" i="11"/>
  <c r="F13" i="11"/>
  <c r="R5" i="14" l="1"/>
  <c r="M8" i="11"/>
  <c r="L56" i="11"/>
  <c r="R7" i="14" l="1"/>
  <c r="R6" i="14"/>
  <c r="R20" i="11"/>
  <c r="P20" i="11"/>
  <c r="N20" i="11"/>
  <c r="L20" i="11"/>
  <c r="AB56" i="12" s="1"/>
  <c r="J20" i="11"/>
  <c r="H20" i="11"/>
  <c r="F20" i="11"/>
  <c r="D20" i="11"/>
  <c r="R17" i="11"/>
  <c r="P17" i="11"/>
  <c r="N17" i="11"/>
  <c r="N52" i="11" s="1"/>
  <c r="J17" i="11"/>
  <c r="H17" i="11"/>
  <c r="F17" i="11"/>
  <c r="D17" i="11"/>
  <c r="D28" i="11" s="1"/>
  <c r="R3" i="13" l="1"/>
  <c r="R7" i="13" s="1"/>
  <c r="R4" i="13" s="1"/>
  <c r="R6" i="13" l="1"/>
  <c r="R5" i="13"/>
  <c r="J6" i="11"/>
  <c r="C14" i="13" l="1"/>
  <c r="B14" i="13"/>
  <c r="AR56" i="12"/>
  <c r="AR63" i="12" s="1"/>
  <c r="AT63" i="12" s="1"/>
  <c r="F11" i="3"/>
  <c r="F10" i="3"/>
  <c r="F9" i="3"/>
  <c r="F8" i="3"/>
  <c r="F7" i="3"/>
  <c r="F6" i="3"/>
  <c r="F5" i="3"/>
  <c r="F4" i="3"/>
  <c r="AP12" i="3"/>
  <c r="AA12" i="3"/>
  <c r="V12" i="3"/>
  <c r="S21" i="3"/>
  <c r="U21" i="3" s="1"/>
  <c r="N41" i="3"/>
  <c r="P41" i="3" s="1"/>
  <c r="F20" i="3"/>
  <c r="F23" i="3"/>
  <c r="F22" i="3"/>
  <c r="F21" i="3"/>
  <c r="P49" i="3"/>
  <c r="P47" i="3"/>
  <c r="P22" i="3"/>
  <c r="P21" i="3"/>
  <c r="P23" i="3"/>
  <c r="N31" i="3"/>
  <c r="P31" i="3" s="1"/>
  <c r="N30" i="3"/>
  <c r="P30" i="3" s="1"/>
  <c r="N29" i="3"/>
  <c r="P29" i="3" s="1"/>
  <c r="N28" i="3"/>
  <c r="P28" i="3" s="1"/>
  <c r="N27" i="3"/>
  <c r="P27" i="3" s="1"/>
  <c r="N26" i="3"/>
  <c r="P26" i="3" s="1"/>
  <c r="N19" i="3"/>
  <c r="N25" i="3"/>
  <c r="P25" i="3" s="1"/>
  <c r="N11" i="3"/>
  <c r="N15" i="3" s="1"/>
  <c r="P15" i="3" s="1"/>
  <c r="N3" i="3"/>
  <c r="N7" i="3" s="1"/>
  <c r="P7" i="3" s="1"/>
  <c r="N49" i="3"/>
  <c r="N48" i="3"/>
  <c r="P48" i="3" s="1"/>
  <c r="N47" i="3"/>
  <c r="N46" i="3"/>
  <c r="P46" i="3" s="1"/>
  <c r="P45" i="3" s="1"/>
  <c r="N44" i="3"/>
  <c r="P44" i="3" s="1"/>
  <c r="N43" i="3"/>
  <c r="P43" i="3" s="1"/>
  <c r="N42" i="3"/>
  <c r="P42" i="3" s="1"/>
  <c r="N39" i="3"/>
  <c r="P39" i="3" s="1"/>
  <c r="N21" i="3"/>
  <c r="L12" i="3"/>
  <c r="I44" i="3"/>
  <c r="I19" i="3"/>
  <c r="I32" i="3"/>
  <c r="I35" i="3" s="1"/>
  <c r="F47" i="3"/>
  <c r="F41" i="3"/>
  <c r="F25" i="3"/>
  <c r="F12" i="3"/>
  <c r="I45" i="3"/>
  <c r="I48" i="3" s="1"/>
  <c r="I40" i="3"/>
  <c r="I43" i="3" s="1"/>
  <c r="I24" i="3"/>
  <c r="I11" i="3"/>
  <c r="I17" i="3" s="1"/>
  <c r="I3" i="3"/>
  <c r="I21" i="3"/>
  <c r="D51" i="3"/>
  <c r="D52" i="3"/>
  <c r="D53" i="3"/>
  <c r="D5" i="3"/>
  <c r="D6" i="3"/>
  <c r="D7" i="3"/>
  <c r="D8" i="3"/>
  <c r="D9" i="3"/>
  <c r="D10" i="3"/>
  <c r="D12" i="3"/>
  <c r="D13" i="3"/>
  <c r="D14" i="3"/>
  <c r="D15" i="3"/>
  <c r="D16" i="3"/>
  <c r="D17" i="3"/>
  <c r="D18" i="3"/>
  <c r="D20" i="3"/>
  <c r="D21" i="3"/>
  <c r="D22" i="3"/>
  <c r="D23" i="3"/>
  <c r="D25" i="3"/>
  <c r="D26" i="3"/>
  <c r="D27" i="3"/>
  <c r="D28" i="3"/>
  <c r="D29" i="3"/>
  <c r="D30" i="3"/>
  <c r="D31" i="3"/>
  <c r="D33" i="3"/>
  <c r="D34" i="3"/>
  <c r="D35" i="3"/>
  <c r="D36" i="3"/>
  <c r="D37" i="3"/>
  <c r="D38" i="3"/>
  <c r="D39" i="3"/>
  <c r="D41" i="3"/>
  <c r="D42" i="3"/>
  <c r="D43" i="3"/>
  <c r="D44" i="3"/>
  <c r="D46" i="3"/>
  <c r="D47" i="3"/>
  <c r="D48" i="3"/>
  <c r="D49" i="3"/>
  <c r="D50" i="3"/>
  <c r="D4" i="3"/>
  <c r="S48" i="11"/>
  <c r="AQ69" i="12"/>
  <c r="AQ64" i="12"/>
  <c r="AQ56" i="12"/>
  <c r="AQ48" i="12"/>
  <c r="AQ43" i="12"/>
  <c r="AQ35" i="12"/>
  <c r="AQ27" i="12"/>
  <c r="AQ19" i="12"/>
  <c r="AQ11" i="12"/>
  <c r="AQ3" i="12"/>
  <c r="AQ2" i="12"/>
  <c r="AL69" i="12"/>
  <c r="AL64" i="12"/>
  <c r="AL56" i="12"/>
  <c r="AL48" i="12"/>
  <c r="AL43" i="12"/>
  <c r="AL35" i="12"/>
  <c r="AL27" i="12"/>
  <c r="AL19" i="12"/>
  <c r="AN18" i="12"/>
  <c r="AP18" i="12" s="1"/>
  <c r="AN17" i="12"/>
  <c r="AP17" i="12" s="1"/>
  <c r="AN16" i="12"/>
  <c r="AP16" i="12" s="1"/>
  <c r="AN15" i="12"/>
  <c r="AP15" i="12" s="1"/>
  <c r="AN14" i="12"/>
  <c r="AP14" i="12" s="1"/>
  <c r="AN13" i="12"/>
  <c r="AP13" i="12" s="1"/>
  <c r="AN12" i="12"/>
  <c r="AP12" i="12" s="1"/>
  <c r="AL11" i="12"/>
  <c r="AL3" i="12"/>
  <c r="AL2" i="12"/>
  <c r="A48" i="12"/>
  <c r="F47" i="12"/>
  <c r="F46" i="12"/>
  <c r="F45" i="12"/>
  <c r="F44" i="12"/>
  <c r="A46" i="12"/>
  <c r="R56" i="12"/>
  <c r="A8" i="12"/>
  <c r="A6" i="12"/>
  <c r="A15" i="12"/>
  <c r="T61" i="12"/>
  <c r="V61" i="12" s="1"/>
  <c r="D33" i="11"/>
  <c r="G35" i="12" s="1"/>
  <c r="I35" i="12" s="1"/>
  <c r="I42" i="12" s="1"/>
  <c r="G56" i="12"/>
  <c r="I56" i="12" s="1"/>
  <c r="I63" i="12" s="1"/>
  <c r="E57" i="12"/>
  <c r="E58" i="12"/>
  <c r="E59" i="12"/>
  <c r="E60" i="12"/>
  <c r="E61" i="12"/>
  <c r="E62" i="12"/>
  <c r="E63" i="12"/>
  <c r="D5" i="12"/>
  <c r="D6" i="12"/>
  <c r="D7" i="12"/>
  <c r="D8" i="12"/>
  <c r="D9" i="12"/>
  <c r="D10" i="12"/>
  <c r="D12" i="12"/>
  <c r="D13" i="12"/>
  <c r="D14" i="12"/>
  <c r="D15" i="12"/>
  <c r="D16" i="12"/>
  <c r="D17" i="12"/>
  <c r="D18" i="12"/>
  <c r="D20" i="12"/>
  <c r="D21" i="12"/>
  <c r="D22" i="12"/>
  <c r="D23" i="12"/>
  <c r="D24" i="12"/>
  <c r="D25" i="12"/>
  <c r="D26" i="12"/>
  <c r="D28" i="12"/>
  <c r="D29" i="12"/>
  <c r="D30" i="12"/>
  <c r="D31" i="12"/>
  <c r="D32" i="12"/>
  <c r="D33" i="12"/>
  <c r="D34" i="12"/>
  <c r="D36" i="12"/>
  <c r="D37" i="12"/>
  <c r="D38" i="12"/>
  <c r="D39" i="12"/>
  <c r="D40" i="12"/>
  <c r="D41" i="12"/>
  <c r="D42" i="12"/>
  <c r="D44" i="12"/>
  <c r="D45" i="12"/>
  <c r="D46" i="12"/>
  <c r="D47" i="12"/>
  <c r="D49" i="12"/>
  <c r="D50" i="12"/>
  <c r="D51" i="12"/>
  <c r="D52" i="12"/>
  <c r="D53" i="12"/>
  <c r="D54" i="12"/>
  <c r="D55" i="12"/>
  <c r="D57" i="12"/>
  <c r="D58" i="12"/>
  <c r="D59" i="12"/>
  <c r="D60" i="12"/>
  <c r="D61" i="12"/>
  <c r="D62" i="12"/>
  <c r="D63" i="12"/>
  <c r="D65" i="12"/>
  <c r="D66" i="12"/>
  <c r="D67" i="12"/>
  <c r="D68" i="12"/>
  <c r="D70" i="12"/>
  <c r="D71" i="12"/>
  <c r="D72" i="12"/>
  <c r="D73" i="12"/>
  <c r="D74" i="12"/>
  <c r="D75" i="12"/>
  <c r="D4" i="12"/>
  <c r="A71" i="12"/>
  <c r="Q72" i="12" s="1"/>
  <c r="A67" i="12"/>
  <c r="Q67" i="12" s="1"/>
  <c r="A51" i="12"/>
  <c r="Q50" i="12" s="1"/>
  <c r="Q45" i="12"/>
  <c r="A38" i="12"/>
  <c r="Q36" i="12" s="1"/>
  <c r="A30" i="12"/>
  <c r="Q31" i="12" s="1"/>
  <c r="A22" i="12"/>
  <c r="Q22" i="12" s="1"/>
  <c r="Q4" i="12"/>
  <c r="A37" i="11"/>
  <c r="A36" i="11"/>
  <c r="A35" i="11"/>
  <c r="A34" i="11"/>
  <c r="A33" i="11"/>
  <c r="A32" i="11"/>
  <c r="A31" i="11"/>
  <c r="S55" i="11"/>
  <c r="S52" i="11"/>
  <c r="Q57" i="11"/>
  <c r="Q55" i="11"/>
  <c r="Q52" i="11"/>
  <c r="O57" i="11"/>
  <c r="O55" i="11"/>
  <c r="O52" i="11"/>
  <c r="M57" i="11"/>
  <c r="M55" i="11"/>
  <c r="M52" i="11"/>
  <c r="K54" i="11"/>
  <c r="K52" i="11"/>
  <c r="I57" i="11"/>
  <c r="I55" i="11"/>
  <c r="I52" i="11"/>
  <c r="S57" i="11"/>
  <c r="S10" i="11"/>
  <c r="R55" i="11"/>
  <c r="R52" i="11"/>
  <c r="P55" i="11"/>
  <c r="J52" i="11"/>
  <c r="H55" i="11"/>
  <c r="R19" i="12"/>
  <c r="G55" i="11"/>
  <c r="G56" i="11" s="1"/>
  <c r="L56" i="12"/>
  <c r="N56" i="12" s="1"/>
  <c r="N63" i="12" s="1"/>
  <c r="F52" i="11"/>
  <c r="F53" i="11" s="1"/>
  <c r="G52" i="11"/>
  <c r="G53" i="11" s="1"/>
  <c r="E55" i="11"/>
  <c r="E56" i="11" s="1"/>
  <c r="E21" i="11"/>
  <c r="D55" i="11"/>
  <c r="D56" i="11" s="1"/>
  <c r="H32" i="3" s="1"/>
  <c r="Q10" i="11"/>
  <c r="O10" i="11"/>
  <c r="M10" i="11"/>
  <c r="K10" i="11"/>
  <c r="I10" i="11"/>
  <c r="G10" i="11"/>
  <c r="E10" i="11"/>
  <c r="J9" i="11"/>
  <c r="H9" i="11"/>
  <c r="G8" i="11"/>
  <c r="E8" i="11"/>
  <c r="Q7" i="11"/>
  <c r="O7" i="11"/>
  <c r="K7" i="11"/>
  <c r="I7" i="11"/>
  <c r="G7" i="11"/>
  <c r="E7" i="11"/>
  <c r="J5" i="11"/>
  <c r="K5" i="11" s="1"/>
  <c r="H6" i="11"/>
  <c r="H5" i="11" s="1"/>
  <c r="I5" i="11" s="1"/>
  <c r="F5" i="11"/>
  <c r="G5" i="11" s="1"/>
  <c r="D5" i="11"/>
  <c r="E5" i="11" s="1"/>
  <c r="S4" i="11"/>
  <c r="S5" i="11" s="1"/>
  <c r="Q4" i="11"/>
  <c r="O4" i="11"/>
  <c r="K4" i="11"/>
  <c r="I4" i="11"/>
  <c r="G4" i="11"/>
  <c r="E4" i="11"/>
  <c r="C18" i="13" l="1"/>
  <c r="G17" i="14"/>
  <c r="B18" i="13"/>
  <c r="F17" i="14"/>
  <c r="R22" i="11"/>
  <c r="R57" i="11" s="1"/>
  <c r="J57" i="11"/>
  <c r="J22" i="11"/>
  <c r="P6" i="11"/>
  <c r="Q5" i="11" s="1"/>
  <c r="L12" i="14"/>
  <c r="P22" i="11"/>
  <c r="N60" i="12"/>
  <c r="I15" i="3"/>
  <c r="I38" i="3"/>
  <c r="N16" i="3"/>
  <c r="P16" i="3" s="1"/>
  <c r="I14" i="3"/>
  <c r="I18" i="3"/>
  <c r="I41" i="3"/>
  <c r="W56" i="12"/>
  <c r="D52" i="11"/>
  <c r="D67" i="11" s="1"/>
  <c r="H45" i="3" s="1"/>
  <c r="D35" i="11"/>
  <c r="G48" i="12" s="1"/>
  <c r="H48" i="12" s="1"/>
  <c r="H52" i="12" s="1"/>
  <c r="J52" i="12" s="1"/>
  <c r="D31" i="11"/>
  <c r="G19" i="12" s="1"/>
  <c r="D37" i="11"/>
  <c r="G69" i="12" s="1"/>
  <c r="H69" i="12" s="1"/>
  <c r="D32" i="11"/>
  <c r="G27" i="12" s="1"/>
  <c r="H27" i="12" s="1"/>
  <c r="D36" i="11"/>
  <c r="G64" i="12" s="1"/>
  <c r="D30" i="11"/>
  <c r="D34" i="11"/>
  <c r="G43" i="12" s="1"/>
  <c r="D29" i="11"/>
  <c r="G2" i="12" s="1"/>
  <c r="AD18" i="12"/>
  <c r="AF18" i="12" s="1"/>
  <c r="O48" i="11"/>
  <c r="H38" i="3"/>
  <c r="J38" i="3" s="1"/>
  <c r="H36" i="3"/>
  <c r="J36" i="3" s="1"/>
  <c r="H34" i="3"/>
  <c r="J34" i="3" s="1"/>
  <c r="H37" i="3"/>
  <c r="J37" i="3" s="1"/>
  <c r="H39" i="3"/>
  <c r="J39" i="3" s="1"/>
  <c r="H35" i="3"/>
  <c r="J35" i="3" s="1"/>
  <c r="I31" i="3"/>
  <c r="I27" i="3"/>
  <c r="I30" i="3"/>
  <c r="I25" i="3"/>
  <c r="I29" i="3"/>
  <c r="I28" i="3"/>
  <c r="I26" i="3"/>
  <c r="H33" i="3"/>
  <c r="L55" i="11"/>
  <c r="I47" i="3"/>
  <c r="N62" i="12"/>
  <c r="N59" i="12"/>
  <c r="P52" i="11"/>
  <c r="P23" i="11"/>
  <c r="N20" i="3"/>
  <c r="P20" i="3" s="1"/>
  <c r="N18" i="3"/>
  <c r="P18" i="3" s="1"/>
  <c r="N14" i="3"/>
  <c r="P14" i="3" s="1"/>
  <c r="N13" i="3"/>
  <c r="P13" i="3" s="1"/>
  <c r="N17" i="3"/>
  <c r="P17" i="3" s="1"/>
  <c r="N12" i="3"/>
  <c r="P12" i="3" s="1"/>
  <c r="I49" i="3"/>
  <c r="I46" i="3"/>
  <c r="I39" i="3"/>
  <c r="I34" i="3"/>
  <c r="I36" i="3"/>
  <c r="I33" i="3"/>
  <c r="I37" i="3"/>
  <c r="N6" i="3"/>
  <c r="P6" i="3" s="1"/>
  <c r="N4" i="3"/>
  <c r="P4" i="3" s="1"/>
  <c r="N9" i="3"/>
  <c r="P9" i="3" s="1"/>
  <c r="N5" i="3"/>
  <c r="P5" i="3" s="1"/>
  <c r="N8" i="3"/>
  <c r="P8" i="3" s="1"/>
  <c r="N10" i="3"/>
  <c r="P10" i="3" s="1"/>
  <c r="I50" i="3"/>
  <c r="I12" i="3"/>
  <c r="I16" i="3"/>
  <c r="I42" i="3"/>
  <c r="I13" i="3"/>
  <c r="P19" i="3"/>
  <c r="S22" i="3"/>
  <c r="U22" i="3" s="1"/>
  <c r="S23" i="3"/>
  <c r="U23" i="3" s="1"/>
  <c r="P40" i="3"/>
  <c r="P24" i="3"/>
  <c r="N23" i="3"/>
  <c r="N50" i="3"/>
  <c r="N22" i="3"/>
  <c r="N33" i="3"/>
  <c r="P33" i="3" s="1"/>
  <c r="N34" i="3"/>
  <c r="P34" i="3" s="1"/>
  <c r="N35" i="3"/>
  <c r="P35" i="3" s="1"/>
  <c r="N36" i="3"/>
  <c r="P36" i="3" s="1"/>
  <c r="N37" i="3"/>
  <c r="P37" i="3" s="1"/>
  <c r="N38" i="3"/>
  <c r="P38" i="3" s="1"/>
  <c r="I20" i="3"/>
  <c r="K49" i="3"/>
  <c r="K21" i="3"/>
  <c r="K39" i="3"/>
  <c r="K12" i="3"/>
  <c r="AR57" i="12"/>
  <c r="AR58" i="12"/>
  <c r="AT58" i="12" s="1"/>
  <c r="AR59" i="12"/>
  <c r="AT59" i="12" s="1"/>
  <c r="AR60" i="12"/>
  <c r="AT60" i="12" s="1"/>
  <c r="AR61" i="12"/>
  <c r="AT61" i="12" s="1"/>
  <c r="AR62" i="12"/>
  <c r="AT62" i="12" s="1"/>
  <c r="AP11" i="12"/>
  <c r="AI18" i="12"/>
  <c r="AK18" i="12" s="1"/>
  <c r="AI17" i="12"/>
  <c r="AK17" i="12" s="1"/>
  <c r="AI16" i="12"/>
  <c r="AK16" i="12" s="1"/>
  <c r="AI15" i="12"/>
  <c r="AK15" i="12" s="1"/>
  <c r="AI14" i="12"/>
  <c r="AK14" i="12" s="1"/>
  <c r="AI13" i="12"/>
  <c r="AK13" i="12" s="1"/>
  <c r="AI12" i="12"/>
  <c r="AK12" i="12" s="1"/>
  <c r="AC63" i="12"/>
  <c r="AE63" i="12" s="1"/>
  <c r="AC59" i="12"/>
  <c r="AE59" i="12" s="1"/>
  <c r="AC62" i="12"/>
  <c r="AE62" i="12" s="1"/>
  <c r="AC58" i="12"/>
  <c r="AE58" i="12" s="1"/>
  <c r="AC61" i="12"/>
  <c r="AE61" i="12" s="1"/>
  <c r="AC57" i="12"/>
  <c r="AC60" i="12"/>
  <c r="AE60" i="12" s="1"/>
  <c r="AD10" i="12"/>
  <c r="AF10" i="12" s="1"/>
  <c r="AD9" i="12"/>
  <c r="AF9" i="12" s="1"/>
  <c r="AD8" i="12"/>
  <c r="AF8" i="12" s="1"/>
  <c r="AD7" i="12"/>
  <c r="AF7" i="12" s="1"/>
  <c r="AD6" i="12"/>
  <c r="AF6" i="12" s="1"/>
  <c r="AD5" i="12"/>
  <c r="AF5" i="12" s="1"/>
  <c r="AD4" i="12"/>
  <c r="AF4" i="12" s="1"/>
  <c r="AD12" i="12"/>
  <c r="AD13" i="12"/>
  <c r="AF13" i="12" s="1"/>
  <c r="AD14" i="12"/>
  <c r="AF14" i="12" s="1"/>
  <c r="AD15" i="12"/>
  <c r="AF15" i="12" s="1"/>
  <c r="AD16" i="12"/>
  <c r="AF16" i="12" s="1"/>
  <c r="AD17" i="12"/>
  <c r="AF17" i="12" s="1"/>
  <c r="T58" i="12"/>
  <c r="V58" i="12" s="1"/>
  <c r="T57" i="12"/>
  <c r="V57" i="12" s="1"/>
  <c r="F13" i="12"/>
  <c r="F12" i="12"/>
  <c r="F17" i="12"/>
  <c r="F15" i="12"/>
  <c r="I62" i="12"/>
  <c r="I59" i="12"/>
  <c r="N57" i="12"/>
  <c r="N61" i="12"/>
  <c r="N58" i="12"/>
  <c r="P58" i="12" s="1"/>
  <c r="T62" i="12"/>
  <c r="V62" i="12" s="1"/>
  <c r="F14" i="12"/>
  <c r="F18" i="12"/>
  <c r="F16" i="12"/>
  <c r="Q12" i="12"/>
  <c r="Q13" i="12"/>
  <c r="T22" i="12"/>
  <c r="V22" i="12" s="1"/>
  <c r="S19" i="12"/>
  <c r="T59" i="12"/>
  <c r="V59" i="12" s="1"/>
  <c r="T63" i="12"/>
  <c r="V63" i="12" s="1"/>
  <c r="T60" i="12"/>
  <c r="V60" i="12" s="1"/>
  <c r="I39" i="12"/>
  <c r="K39" i="12" s="1"/>
  <c r="I40" i="12"/>
  <c r="K40" i="12" s="1"/>
  <c r="I60" i="12"/>
  <c r="I37" i="12"/>
  <c r="K37" i="12" s="1"/>
  <c r="I41" i="12"/>
  <c r="K41" i="12" s="1"/>
  <c r="I57" i="12"/>
  <c r="I61" i="12"/>
  <c r="I36" i="12"/>
  <c r="K36" i="12" s="1"/>
  <c r="I38" i="12"/>
  <c r="K38" i="12" s="1"/>
  <c r="I58" i="12"/>
  <c r="P57" i="12"/>
  <c r="P59" i="12"/>
  <c r="K35" i="12"/>
  <c r="H54" i="12"/>
  <c r="J54" i="12" s="1"/>
  <c r="K42" i="12"/>
  <c r="H56" i="12"/>
  <c r="H35" i="12"/>
  <c r="M56" i="12"/>
  <c r="F61" i="11"/>
  <c r="F18" i="11"/>
  <c r="F28" i="11" s="1"/>
  <c r="F66" i="11"/>
  <c r="M40" i="3" s="1"/>
  <c r="M42" i="3" s="1"/>
  <c r="O42" i="3" s="1"/>
  <c r="G11" i="12" a="1"/>
  <c r="G11" i="12" s="1"/>
  <c r="Q44" i="12"/>
  <c r="Q25" i="12"/>
  <c r="Q16" i="12"/>
  <c r="Q71" i="12"/>
  <c r="Q7" i="12"/>
  <c r="Q47" i="12"/>
  <c r="Q24" i="12"/>
  <c r="Q15" i="12"/>
  <c r="Q6" i="12"/>
  <c r="Q21" i="12"/>
  <c r="Q39" i="12"/>
  <c r="Q20" i="12"/>
  <c r="Q10" i="12"/>
  <c r="Q53" i="12"/>
  <c r="Q34" i="12"/>
  <c r="E74" i="12"/>
  <c r="Q70" i="12"/>
  <c r="Q38" i="12"/>
  <c r="Q73" i="12"/>
  <c r="Q68" i="12"/>
  <c r="Q55" i="12"/>
  <c r="Q51" i="12"/>
  <c r="Q46" i="12"/>
  <c r="Q41" i="12"/>
  <c r="Q37" i="12"/>
  <c r="Q32" i="12"/>
  <c r="Q28" i="12"/>
  <c r="Q23" i="12"/>
  <c r="Q18" i="12"/>
  <c r="Q14" i="12"/>
  <c r="Q9" i="12"/>
  <c r="Q5" i="12"/>
  <c r="Q66" i="12"/>
  <c r="Q49" i="12"/>
  <c r="Q30" i="12"/>
  <c r="Q65" i="12"/>
  <c r="Q52" i="12"/>
  <c r="Q42" i="12"/>
  <c r="Q33" i="12"/>
  <c r="Q29" i="12"/>
  <c r="Q54" i="12"/>
  <c r="Q40" i="12"/>
  <c r="Q26" i="12"/>
  <c r="Q17" i="12"/>
  <c r="Q8" i="12"/>
  <c r="F63" i="11"/>
  <c r="M11" i="3" s="1"/>
  <c r="M16" i="3" s="1"/>
  <c r="O16" i="3" s="1"/>
  <c r="F67" i="11"/>
  <c r="M45" i="3" s="1"/>
  <c r="F64" i="11"/>
  <c r="M19" i="3" s="1"/>
  <c r="F62" i="11"/>
  <c r="M3" i="3" s="1"/>
  <c r="M8" i="3" s="1"/>
  <c r="O8" i="3" s="1"/>
  <c r="F65" i="11"/>
  <c r="M24" i="3" s="1"/>
  <c r="W48" i="12"/>
  <c r="X48" i="12" s="1"/>
  <c r="R11" i="12"/>
  <c r="W69" i="12"/>
  <c r="W19" i="12"/>
  <c r="R64" i="12"/>
  <c r="R43" i="12"/>
  <c r="S43" i="12" s="1"/>
  <c r="R27" i="12"/>
  <c r="S27" i="12" s="1"/>
  <c r="W35" i="12"/>
  <c r="X35" i="12" s="1"/>
  <c r="X42" i="12" s="1"/>
  <c r="Z42" i="12" s="1"/>
  <c r="R69" i="12"/>
  <c r="R35" i="12"/>
  <c r="W64" i="12"/>
  <c r="F23" i="11"/>
  <c r="R48" i="12"/>
  <c r="W11" i="12"/>
  <c r="W43" i="12"/>
  <c r="Y44" i="12" s="1"/>
  <c r="AA44" i="12" s="1"/>
  <c r="F35" i="11"/>
  <c r="L48" i="12" s="1"/>
  <c r="M48" i="12" s="1"/>
  <c r="F36" i="11"/>
  <c r="L64" i="12" s="1"/>
  <c r="F30" i="11"/>
  <c r="L11" i="12" s="1"/>
  <c r="F33" i="11"/>
  <c r="L35" i="12" s="1"/>
  <c r="F37" i="11"/>
  <c r="L69" i="12" s="1"/>
  <c r="N69" i="12" s="1"/>
  <c r="F31" i="11"/>
  <c r="L19" i="12" s="1"/>
  <c r="F34" i="11"/>
  <c r="L43" i="12" s="1"/>
  <c r="M43" i="12" s="1"/>
  <c r="F32" i="11"/>
  <c r="L27" i="12" s="1"/>
  <c r="F55" i="11"/>
  <c r="F56" i="11" s="1"/>
  <c r="M32" i="3" s="1"/>
  <c r="H23" i="11"/>
  <c r="I58" i="11" s="1"/>
  <c r="H13" i="14" s="1"/>
  <c r="J28" i="11"/>
  <c r="W27" i="12" s="1"/>
  <c r="X27" i="12" s="1"/>
  <c r="X33" i="12" s="1"/>
  <c r="Z33" i="12" s="1"/>
  <c r="J23" i="11"/>
  <c r="H52" i="11"/>
  <c r="R23" i="11"/>
  <c r="S23" i="11" s="1"/>
  <c r="I56" i="11"/>
  <c r="D21" i="11"/>
  <c r="D23" i="11"/>
  <c r="D18" i="11"/>
  <c r="F21" i="11"/>
  <c r="AS56" i="12" l="1"/>
  <c r="AS63" i="12" s="1"/>
  <c r="AU63" i="12" s="1"/>
  <c r="AK11" i="12"/>
  <c r="I3" i="12"/>
  <c r="H3" i="12"/>
  <c r="I48" i="12"/>
  <c r="I53" i="12" s="1"/>
  <c r="K53" i="12" s="1"/>
  <c r="M17" i="3"/>
  <c r="O17" i="3" s="1"/>
  <c r="D66" i="11"/>
  <c r="H40" i="3" s="1"/>
  <c r="D63" i="11"/>
  <c r="D62" i="11"/>
  <c r="H3" i="3" s="1"/>
  <c r="D65" i="11"/>
  <c r="H24" i="3" s="1"/>
  <c r="H29" i="3" s="1"/>
  <c r="J29" i="3" s="1"/>
  <c r="D64" i="11"/>
  <c r="H19" i="3" s="1"/>
  <c r="D58" i="11"/>
  <c r="E58" i="11" s="1"/>
  <c r="F13" i="14" s="1"/>
  <c r="D53" i="11"/>
  <c r="P28" i="11"/>
  <c r="P35" i="11" s="1"/>
  <c r="AM48" i="12" s="1"/>
  <c r="Q54" i="11"/>
  <c r="X41" i="12"/>
  <c r="Z41" i="12" s="1"/>
  <c r="AB3" i="12"/>
  <c r="M10" i="3"/>
  <c r="O10" i="3" s="1"/>
  <c r="K8" i="11"/>
  <c r="H49" i="12"/>
  <c r="J49" i="12" s="1"/>
  <c r="Y45" i="12"/>
  <c r="AA45" i="12" s="1"/>
  <c r="X39" i="12"/>
  <c r="Z39" i="12" s="1"/>
  <c r="I49" i="12"/>
  <c r="Y46" i="12"/>
  <c r="AA46" i="12" s="1"/>
  <c r="AS60" i="12"/>
  <c r="AU60" i="12" s="1"/>
  <c r="AS62" i="12"/>
  <c r="AU62" i="12" s="1"/>
  <c r="H34" i="12"/>
  <c r="J34" i="12" s="1"/>
  <c r="H28" i="12"/>
  <c r="J28" i="12" s="1"/>
  <c r="H53" i="12"/>
  <c r="J53" i="12" s="1"/>
  <c r="H55" i="12"/>
  <c r="J55" i="12" s="1"/>
  <c r="I52" i="12"/>
  <c r="K52" i="12" s="1"/>
  <c r="X38" i="12"/>
  <c r="Z38" i="12" s="1"/>
  <c r="Y47" i="12"/>
  <c r="AA47" i="12" s="1"/>
  <c r="I27" i="12"/>
  <c r="X43" i="12"/>
  <c r="X45" i="12" s="1"/>
  <c r="Z45" i="12" s="1"/>
  <c r="H51" i="12"/>
  <c r="J51" i="12" s="1"/>
  <c r="H50" i="12"/>
  <c r="J50" i="12" s="1"/>
  <c r="I50" i="12"/>
  <c r="K50" i="12" s="1"/>
  <c r="X37" i="12"/>
  <c r="Z37" i="12" s="1"/>
  <c r="Y41" i="12"/>
  <c r="AA41" i="12" s="1"/>
  <c r="T73" i="12"/>
  <c r="V73" i="12" s="1"/>
  <c r="W2" i="12"/>
  <c r="I4" i="12"/>
  <c r="I6" i="12"/>
  <c r="I10" i="12"/>
  <c r="Y13" i="12"/>
  <c r="AA13" i="12" s="1"/>
  <c r="X11" i="12"/>
  <c r="X16" i="12" s="1"/>
  <c r="Z16" i="12" s="1"/>
  <c r="T49" i="12"/>
  <c r="V49" i="12" s="1"/>
  <c r="T16" i="12"/>
  <c r="V16" i="12" s="1"/>
  <c r="S11" i="12"/>
  <c r="S13" i="12" s="1"/>
  <c r="G12" i="3"/>
  <c r="H11" i="3"/>
  <c r="I7" i="12"/>
  <c r="T33" i="12"/>
  <c r="V33" i="12" s="1"/>
  <c r="X30" i="12"/>
  <c r="Z30" i="12" s="1"/>
  <c r="H43" i="12"/>
  <c r="I43" i="12"/>
  <c r="H72" i="12"/>
  <c r="J72" i="12" s="1"/>
  <c r="H71" i="12"/>
  <c r="J71" i="12" s="1"/>
  <c r="H70" i="12"/>
  <c r="J70" i="12" s="1"/>
  <c r="X59" i="12"/>
  <c r="Z59" i="12" s="1"/>
  <c r="M38" i="3"/>
  <c r="O38" i="3" s="1"/>
  <c r="M34" i="3"/>
  <c r="O34" i="3" s="1"/>
  <c r="M37" i="3"/>
  <c r="O37" i="3" s="1"/>
  <c r="M33" i="3"/>
  <c r="O33" i="3" s="1"/>
  <c r="M39" i="3"/>
  <c r="O39" i="3" s="1"/>
  <c r="M36" i="3"/>
  <c r="O36" i="3" s="1"/>
  <c r="M35" i="3"/>
  <c r="O35" i="3" s="1"/>
  <c r="Y66" i="12"/>
  <c r="AA66" i="12" s="1"/>
  <c r="X64" i="12"/>
  <c r="X66" i="12" s="1"/>
  <c r="Z66" i="12" s="1"/>
  <c r="X19" i="12"/>
  <c r="Y25" i="12"/>
  <c r="AA25" i="12" s="1"/>
  <c r="M4" i="3"/>
  <c r="O4" i="3" s="1"/>
  <c r="M9" i="3"/>
  <c r="O9" i="3" s="1"/>
  <c r="M5" i="3"/>
  <c r="O5" i="3" s="1"/>
  <c r="M7" i="3"/>
  <c r="O7" i="3" s="1"/>
  <c r="M6" i="3"/>
  <c r="O6" i="3" s="1"/>
  <c r="M50" i="3"/>
  <c r="H20" i="3"/>
  <c r="H23" i="3"/>
  <c r="J23" i="3" s="1"/>
  <c r="H22" i="3"/>
  <c r="J22" i="3" s="1"/>
  <c r="H21" i="3"/>
  <c r="J21" i="3" s="1"/>
  <c r="H73" i="12"/>
  <c r="J73" i="12" s="1"/>
  <c r="I9" i="12"/>
  <c r="T21" i="12"/>
  <c r="V21" i="12" s="1"/>
  <c r="I69" i="12"/>
  <c r="K69" i="12" s="1"/>
  <c r="Y54" i="12"/>
  <c r="AA54" i="12" s="1"/>
  <c r="V56" i="12"/>
  <c r="X32" i="12"/>
  <c r="Z32" i="12" s="1"/>
  <c r="X28" i="12"/>
  <c r="Z28" i="12" s="1"/>
  <c r="X31" i="12"/>
  <c r="Z31" i="12" s="1"/>
  <c r="M47" i="3"/>
  <c r="O47" i="3" s="1"/>
  <c r="M46" i="3"/>
  <c r="O46" i="3" s="1"/>
  <c r="M49" i="3"/>
  <c r="O49" i="3" s="1"/>
  <c r="M48" i="3"/>
  <c r="O48" i="3" s="1"/>
  <c r="T18" i="12"/>
  <c r="V18" i="12" s="1"/>
  <c r="X34" i="12"/>
  <c r="Z34" i="12" s="1"/>
  <c r="G33" i="3"/>
  <c r="J33" i="3"/>
  <c r="J32" i="3" s="1"/>
  <c r="O53" i="11"/>
  <c r="AG3" i="12"/>
  <c r="L2" i="12"/>
  <c r="N3" i="12" s="1"/>
  <c r="N5" i="12" s="1"/>
  <c r="P5" i="12" s="1"/>
  <c r="R2" i="12"/>
  <c r="M23" i="3"/>
  <c r="O23" i="3" s="1"/>
  <c r="M22" i="3"/>
  <c r="O22" i="3" s="1"/>
  <c r="M21" i="3"/>
  <c r="O21" i="3" s="1"/>
  <c r="T24" i="12"/>
  <c r="V24" i="12" s="1"/>
  <c r="T44" i="12"/>
  <c r="V44" i="12" s="1"/>
  <c r="X29" i="12"/>
  <c r="Z29" i="12" s="1"/>
  <c r="H30" i="12"/>
  <c r="J30" i="12" s="1"/>
  <c r="H29" i="12"/>
  <c r="J29" i="12" s="1"/>
  <c r="H32" i="12"/>
  <c r="J32" i="12" s="1"/>
  <c r="Y34" i="12"/>
  <c r="AA34" i="12" s="1"/>
  <c r="Y40" i="12"/>
  <c r="AA40" i="12" s="1"/>
  <c r="R38" i="11"/>
  <c r="M12" i="14"/>
  <c r="P11" i="3"/>
  <c r="H64" i="12"/>
  <c r="I64" i="12"/>
  <c r="R40" i="3"/>
  <c r="X69" i="12"/>
  <c r="M31" i="3"/>
  <c r="O31" i="3" s="1"/>
  <c r="M29" i="3"/>
  <c r="O29" i="3" s="1"/>
  <c r="M27" i="3"/>
  <c r="O27" i="3" s="1"/>
  <c r="M25" i="3"/>
  <c r="O25" i="3" s="1"/>
  <c r="M26" i="3"/>
  <c r="O26" i="3" s="1"/>
  <c r="M28" i="3"/>
  <c r="O28" i="3" s="1"/>
  <c r="M30" i="3"/>
  <c r="O30" i="3" s="1"/>
  <c r="H43" i="3"/>
  <c r="J43" i="3" s="1"/>
  <c r="H41" i="3"/>
  <c r="H44" i="3"/>
  <c r="J44" i="3" s="1"/>
  <c r="H42" i="3"/>
  <c r="J42" i="3" s="1"/>
  <c r="M18" i="3"/>
  <c r="O18" i="3" s="1"/>
  <c r="M14" i="3"/>
  <c r="O14" i="3" s="1"/>
  <c r="M15" i="3"/>
  <c r="O15" i="3" s="1"/>
  <c r="M13" i="3"/>
  <c r="O13" i="3" s="1"/>
  <c r="M12" i="3"/>
  <c r="O12" i="3" s="1"/>
  <c r="M44" i="3"/>
  <c r="O44" i="3" s="1"/>
  <c r="M41" i="3"/>
  <c r="O41" i="3" s="1"/>
  <c r="X40" i="12"/>
  <c r="Z40" i="12" s="1"/>
  <c r="X36" i="12"/>
  <c r="Z36" i="12" s="1"/>
  <c r="M43" i="3"/>
  <c r="O43" i="3" s="1"/>
  <c r="H48" i="3"/>
  <c r="J48" i="3" s="1"/>
  <c r="H46" i="3"/>
  <c r="H47" i="3"/>
  <c r="J47" i="3" s="1"/>
  <c r="H49" i="3"/>
  <c r="J49" i="3" s="1"/>
  <c r="AQ32" i="3"/>
  <c r="AR32" i="3"/>
  <c r="AN56" i="12"/>
  <c r="P32" i="3"/>
  <c r="P3" i="3"/>
  <c r="K38" i="3"/>
  <c r="K37" i="3"/>
  <c r="K36" i="3"/>
  <c r="K35" i="3"/>
  <c r="K34" i="3"/>
  <c r="K33" i="3"/>
  <c r="K30" i="3"/>
  <c r="AT57" i="12"/>
  <c r="AT56" i="12" s="1"/>
  <c r="AQ57" i="12"/>
  <c r="AF12" i="12"/>
  <c r="AF11" i="12" s="1"/>
  <c r="AF3" i="12"/>
  <c r="AB57" i="12"/>
  <c r="AE57" i="12"/>
  <c r="AE56" i="12" s="1"/>
  <c r="H19" i="12"/>
  <c r="H24" i="12" s="1"/>
  <c r="I19" i="12"/>
  <c r="K19" i="12" s="1"/>
  <c r="S34" i="12"/>
  <c r="U34" i="12" s="1"/>
  <c r="S30" i="12"/>
  <c r="U30" i="12" s="1"/>
  <c r="S32" i="12"/>
  <c r="U32" i="12" s="1"/>
  <c r="S28" i="12"/>
  <c r="U28" i="12" s="1"/>
  <c r="S33" i="12"/>
  <c r="U33" i="12" s="1"/>
  <c r="S29" i="12"/>
  <c r="U29" i="12" s="1"/>
  <c r="S31" i="12"/>
  <c r="U31" i="12" s="1"/>
  <c r="I72" i="12"/>
  <c r="K72" i="12" s="1"/>
  <c r="M63" i="12"/>
  <c r="O63" i="12" s="1"/>
  <c r="M61" i="12"/>
  <c r="O61" i="12" s="1"/>
  <c r="M59" i="12"/>
  <c r="O59" i="12" s="1"/>
  <c r="M57" i="12"/>
  <c r="M62" i="12"/>
  <c r="O62" i="12" s="1"/>
  <c r="M58" i="12"/>
  <c r="O58" i="12" s="1"/>
  <c r="M60" i="12"/>
  <c r="O60" i="12" s="1"/>
  <c r="H31" i="12"/>
  <c r="J31" i="12" s="1"/>
  <c r="H33" i="12"/>
  <c r="J33" i="12" s="1"/>
  <c r="I8" i="12"/>
  <c r="I73" i="12"/>
  <c r="K73" i="12" s="1"/>
  <c r="I5" i="12"/>
  <c r="I32" i="12"/>
  <c r="K32" i="12" s="1"/>
  <c r="T25" i="12"/>
  <c r="V25" i="12" s="1"/>
  <c r="S47" i="12"/>
  <c r="U47" i="12" s="1"/>
  <c r="S45" i="12"/>
  <c r="U45" i="12" s="1"/>
  <c r="S44" i="12"/>
  <c r="U44" i="12" s="1"/>
  <c r="S46" i="12"/>
  <c r="U46" i="12" s="1"/>
  <c r="S26" i="12"/>
  <c r="U26" i="12" s="1"/>
  <c r="S22" i="12"/>
  <c r="U22" i="12" s="1"/>
  <c r="S24" i="12"/>
  <c r="U24" i="12" s="1"/>
  <c r="S20" i="12"/>
  <c r="U20" i="12" s="1"/>
  <c r="S25" i="12"/>
  <c r="U25" i="12" s="1"/>
  <c r="S23" i="12"/>
  <c r="U23" i="12" s="1"/>
  <c r="S21" i="12"/>
  <c r="U21" i="12" s="1"/>
  <c r="I54" i="12"/>
  <c r="K54" i="12" s="1"/>
  <c r="I55" i="12"/>
  <c r="K55" i="12" s="1"/>
  <c r="I51" i="12"/>
  <c r="K51" i="12" s="1"/>
  <c r="X55" i="12"/>
  <c r="Z55" i="12" s="1"/>
  <c r="X54" i="12"/>
  <c r="Z54" i="12" s="1"/>
  <c r="X53" i="12"/>
  <c r="Z53" i="12" s="1"/>
  <c r="X52" i="12"/>
  <c r="Z52" i="12" s="1"/>
  <c r="X51" i="12"/>
  <c r="Z51" i="12" s="1"/>
  <c r="X50" i="12"/>
  <c r="Z50" i="12" s="1"/>
  <c r="X49" i="12"/>
  <c r="Z49" i="12" s="1"/>
  <c r="H11" i="12"/>
  <c r="H17" i="12" s="1"/>
  <c r="J17" i="12" s="1"/>
  <c r="I11" i="12"/>
  <c r="K11" i="12" s="1"/>
  <c r="S69" i="12"/>
  <c r="S73" i="12" s="1"/>
  <c r="U73" i="12" s="1"/>
  <c r="Y68" i="12"/>
  <c r="AA68" i="12" s="1"/>
  <c r="Y53" i="12"/>
  <c r="AA53" i="12" s="1"/>
  <c r="M51" i="12"/>
  <c r="O51" i="12" s="1"/>
  <c r="M54" i="12"/>
  <c r="O54" i="12" s="1"/>
  <c r="M50" i="12"/>
  <c r="O50" i="12" s="1"/>
  <c r="M53" i="12"/>
  <c r="O53" i="12" s="1"/>
  <c r="M52" i="12"/>
  <c r="O52" i="12" s="1"/>
  <c r="M49" i="12"/>
  <c r="M55" i="12"/>
  <c r="O55" i="12" s="1"/>
  <c r="N64" i="12"/>
  <c r="N71" i="12"/>
  <c r="P71" i="12" s="1"/>
  <c r="N70" i="12"/>
  <c r="P70" i="12" s="1"/>
  <c r="N73" i="12"/>
  <c r="N72" i="12"/>
  <c r="A17" i="12"/>
  <c r="S64" i="12"/>
  <c r="S35" i="12"/>
  <c r="S48" i="12"/>
  <c r="S55" i="12" s="1"/>
  <c r="U55" i="12" s="1"/>
  <c r="T26" i="12"/>
  <c r="V26" i="12" s="1"/>
  <c r="T23" i="12"/>
  <c r="V23" i="12" s="1"/>
  <c r="T20" i="12"/>
  <c r="V20" i="12" s="1"/>
  <c r="T34" i="12"/>
  <c r="V34" i="12" s="1"/>
  <c r="T29" i="12"/>
  <c r="V29" i="12" s="1"/>
  <c r="T32" i="12"/>
  <c r="V32" i="12" s="1"/>
  <c r="S63" i="12"/>
  <c r="U63" i="12" s="1"/>
  <c r="S62" i="12"/>
  <c r="U62" i="12" s="1"/>
  <c r="S61" i="12"/>
  <c r="U61" i="12" s="1"/>
  <c r="S60" i="12"/>
  <c r="U60" i="12" s="1"/>
  <c r="S59" i="12"/>
  <c r="U59" i="12" s="1"/>
  <c r="S58" i="12"/>
  <c r="U58" i="12" s="1"/>
  <c r="S57" i="12"/>
  <c r="U57" i="12" s="1"/>
  <c r="P60" i="12"/>
  <c r="M46" i="12"/>
  <c r="M45" i="12"/>
  <c r="M47" i="12"/>
  <c r="M44" i="12"/>
  <c r="K48" i="12"/>
  <c r="H61" i="12"/>
  <c r="J61" i="12" s="1"/>
  <c r="H57" i="12"/>
  <c r="J57" i="12" s="1"/>
  <c r="H60" i="12"/>
  <c r="J60" i="12" s="1"/>
  <c r="H63" i="12"/>
  <c r="J63" i="12" s="1"/>
  <c r="H59" i="12"/>
  <c r="J59" i="12" s="1"/>
  <c r="H58" i="12"/>
  <c r="J58" i="12" s="1"/>
  <c r="H62" i="12"/>
  <c r="J62" i="12" s="1"/>
  <c r="H41" i="12"/>
  <c r="J41" i="12" s="1"/>
  <c r="H37" i="12"/>
  <c r="J37" i="12" s="1"/>
  <c r="H40" i="12"/>
  <c r="J40" i="12" s="1"/>
  <c r="H36" i="12"/>
  <c r="J36" i="12" s="1"/>
  <c r="H39" i="12"/>
  <c r="J39" i="12" s="1"/>
  <c r="H42" i="12"/>
  <c r="J42" i="12" s="1"/>
  <c r="H38" i="12"/>
  <c r="J38" i="12" s="1"/>
  <c r="K60" i="12"/>
  <c r="K63" i="12"/>
  <c r="K59" i="12"/>
  <c r="K56" i="12"/>
  <c r="K62" i="12"/>
  <c r="K58" i="12"/>
  <c r="K61" i="12"/>
  <c r="K57" i="12"/>
  <c r="K49" i="12"/>
  <c r="N27" i="12"/>
  <c r="M27" i="12"/>
  <c r="N35" i="12"/>
  <c r="M35" i="12"/>
  <c r="N48" i="12"/>
  <c r="N11" i="12"/>
  <c r="M11" i="12"/>
  <c r="M19" i="12"/>
  <c r="N19" i="12"/>
  <c r="N43" i="12"/>
  <c r="M64" i="12"/>
  <c r="M69" i="12"/>
  <c r="E75" i="12"/>
  <c r="Q74" i="12"/>
  <c r="J71" i="11"/>
  <c r="X19" i="3" s="1"/>
  <c r="J72" i="11"/>
  <c r="J74" i="11"/>
  <c r="X45" i="3" s="1"/>
  <c r="J70" i="11"/>
  <c r="X11" i="3" s="1"/>
  <c r="J73" i="11"/>
  <c r="X40" i="3" s="1"/>
  <c r="J69" i="11"/>
  <c r="X3" i="3" s="1"/>
  <c r="R3" i="3"/>
  <c r="H74" i="11"/>
  <c r="S45" i="3" s="1"/>
  <c r="S11" i="3"/>
  <c r="H73" i="11"/>
  <c r="S40" i="3" s="1"/>
  <c r="S3" i="3"/>
  <c r="S24" i="3"/>
  <c r="S19" i="3"/>
  <c r="M53" i="11"/>
  <c r="F58" i="11"/>
  <c r="G58" i="11" s="1"/>
  <c r="G13" i="14" s="1"/>
  <c r="H58" i="11"/>
  <c r="H56" i="11"/>
  <c r="R32" i="3" s="1"/>
  <c r="J54" i="11"/>
  <c r="Q53" i="11"/>
  <c r="P57" i="11"/>
  <c r="AM32" i="3" s="1"/>
  <c r="S54" i="11"/>
  <c r="J58" i="11"/>
  <c r="K58" i="11"/>
  <c r="I13" i="14" s="1"/>
  <c r="K56" i="11"/>
  <c r="K53" i="11"/>
  <c r="J53" i="11"/>
  <c r="X32" i="3"/>
  <c r="Q58" i="11"/>
  <c r="L13" i="14" s="1"/>
  <c r="P58" i="11"/>
  <c r="S58" i="11"/>
  <c r="M13" i="14" s="1"/>
  <c r="R58" i="11"/>
  <c r="H57" i="11"/>
  <c r="S32" i="3" s="1"/>
  <c r="AS59" i="12" l="1"/>
  <c r="AU59" i="12" s="1"/>
  <c r="AS57" i="12"/>
  <c r="AU57" i="12" s="1"/>
  <c r="AS58" i="12"/>
  <c r="AU58" i="12" s="1"/>
  <c r="AS61" i="12"/>
  <c r="AU61" i="12" s="1"/>
  <c r="S12" i="12"/>
  <c r="U12" i="12" s="1"/>
  <c r="T14" i="12"/>
  <c r="V14" i="12" s="1"/>
  <c r="T51" i="12"/>
  <c r="V51" i="12" s="1"/>
  <c r="T12" i="12"/>
  <c r="V12" i="12" s="1"/>
  <c r="N4" i="12"/>
  <c r="P4" i="12" s="1"/>
  <c r="Y36" i="12"/>
  <c r="AA36" i="12" s="1"/>
  <c r="J69" i="12"/>
  <c r="J56" i="11"/>
  <c r="J55" i="11" s="1"/>
  <c r="K55" i="11" s="1"/>
  <c r="P38" i="11"/>
  <c r="Y33" i="12"/>
  <c r="AA33" i="12" s="1"/>
  <c r="T52" i="12"/>
  <c r="V52" i="12" s="1"/>
  <c r="T31" i="12"/>
  <c r="V31" i="12" s="1"/>
  <c r="O24" i="3"/>
  <c r="Y51" i="12"/>
  <c r="AA51" i="12" s="1"/>
  <c r="X67" i="12"/>
  <c r="Z67" i="12" s="1"/>
  <c r="X12" i="12"/>
  <c r="Z12" i="12" s="1"/>
  <c r="Y38" i="12"/>
  <c r="AA38" i="12" s="1"/>
  <c r="O40" i="3"/>
  <c r="P54" i="11"/>
  <c r="P74" i="11" s="1"/>
  <c r="AM45" i="3" s="1"/>
  <c r="R19" i="3"/>
  <c r="R23" i="3" s="1"/>
  <c r="T23" i="3" s="1"/>
  <c r="P29" i="11"/>
  <c r="AM3" i="12" s="1"/>
  <c r="P34" i="11"/>
  <c r="AM43" i="12" s="1"/>
  <c r="AM45" i="12" s="1"/>
  <c r="AO45" i="12" s="1"/>
  <c r="X18" i="12"/>
  <c r="Z18" i="12" s="1"/>
  <c r="X17" i="12"/>
  <c r="Z17" i="12" s="1"/>
  <c r="X68" i="12"/>
  <c r="Z68" i="12" s="1"/>
  <c r="X13" i="12"/>
  <c r="Z13" i="12" s="1"/>
  <c r="X46" i="12"/>
  <c r="Z46" i="12" s="1"/>
  <c r="X15" i="12"/>
  <c r="Z15" i="12" s="1"/>
  <c r="X65" i="12"/>
  <c r="Z65" i="12" s="1"/>
  <c r="X14" i="12"/>
  <c r="Z14" i="12" s="1"/>
  <c r="X44" i="12"/>
  <c r="Z44" i="12" s="1"/>
  <c r="H26" i="3"/>
  <c r="J26" i="3" s="1"/>
  <c r="H13" i="3"/>
  <c r="H12" i="3"/>
  <c r="H30" i="3"/>
  <c r="J30" i="3" s="1"/>
  <c r="H31" i="3"/>
  <c r="J31" i="3" s="1"/>
  <c r="H27" i="3"/>
  <c r="J27" i="3" s="1"/>
  <c r="H28" i="3"/>
  <c r="J28" i="3" s="1"/>
  <c r="H25" i="3"/>
  <c r="J25" i="3" s="1"/>
  <c r="P36" i="11"/>
  <c r="AM64" i="12" s="1"/>
  <c r="P33" i="11"/>
  <c r="AM35" i="12" s="1"/>
  <c r="P30" i="11"/>
  <c r="AM11" i="12" s="1"/>
  <c r="AM27" i="12"/>
  <c r="P37" i="11"/>
  <c r="AM69" i="12" s="1"/>
  <c r="P31" i="11"/>
  <c r="AM19" i="12" s="1"/>
  <c r="X57" i="12"/>
  <c r="X63" i="12"/>
  <c r="Z63" i="12" s="1"/>
  <c r="P72" i="11"/>
  <c r="AM24" i="3" s="1"/>
  <c r="AM25" i="3" s="1"/>
  <c r="AO25" i="3" s="1"/>
  <c r="P71" i="11"/>
  <c r="AM19" i="3" s="1"/>
  <c r="AM23" i="3" s="1"/>
  <c r="AO23" i="3" s="1"/>
  <c r="H20" i="12"/>
  <c r="J20" i="12" s="1"/>
  <c r="T50" i="12"/>
  <c r="V50" i="12" s="1"/>
  <c r="T53" i="12"/>
  <c r="V53" i="12" s="1"/>
  <c r="S17" i="12"/>
  <c r="U17" i="12" s="1"/>
  <c r="Y52" i="12"/>
  <c r="AA52" i="12" s="1"/>
  <c r="Y67" i="12"/>
  <c r="AA67" i="12" s="1"/>
  <c r="X62" i="12"/>
  <c r="Z62" i="12" s="1"/>
  <c r="O45" i="3"/>
  <c r="AA43" i="12"/>
  <c r="AM8" i="12"/>
  <c r="AO8" i="12" s="1"/>
  <c r="AM6" i="12"/>
  <c r="AO6" i="12" s="1"/>
  <c r="AM9" i="12"/>
  <c r="AO9" i="12" s="1"/>
  <c r="AM10" i="12"/>
  <c r="AO10" i="12" s="1"/>
  <c r="AM5" i="12"/>
  <c r="AO5" i="12" s="1"/>
  <c r="AM7" i="12"/>
  <c r="AO7" i="12" s="1"/>
  <c r="AM4" i="12"/>
  <c r="J48" i="12"/>
  <c r="AM55" i="12"/>
  <c r="AO55" i="12" s="1"/>
  <c r="AM51" i="12"/>
  <c r="AO51" i="12" s="1"/>
  <c r="AM52" i="12"/>
  <c r="AO52" i="12" s="1"/>
  <c r="AM49" i="12"/>
  <c r="AM53" i="12"/>
  <c r="AO53" i="12" s="1"/>
  <c r="AM50" i="12"/>
  <c r="AO50" i="12" s="1"/>
  <c r="AM54" i="12"/>
  <c r="AO54" i="12" s="1"/>
  <c r="H21" i="12"/>
  <c r="J21" i="12" s="1"/>
  <c r="X58" i="12"/>
  <c r="Z58" i="12" s="1"/>
  <c r="R24" i="3"/>
  <c r="R28" i="3" s="1"/>
  <c r="T28" i="3" s="1"/>
  <c r="P70" i="11"/>
  <c r="AM11" i="3" s="1"/>
  <c r="AM16" i="3" s="1"/>
  <c r="AO16" i="3" s="1"/>
  <c r="T55" i="12"/>
  <c r="V55" i="12" s="1"/>
  <c r="Y49" i="12"/>
  <c r="AA49" i="12" s="1"/>
  <c r="Y55" i="12"/>
  <c r="AA55" i="12" s="1"/>
  <c r="S14" i="12"/>
  <c r="U14" i="12" s="1"/>
  <c r="X60" i="12"/>
  <c r="Z60" i="12" s="1"/>
  <c r="X61" i="12"/>
  <c r="Z61" i="12" s="1"/>
  <c r="O32" i="3"/>
  <c r="AU56" i="12"/>
  <c r="H12" i="12"/>
  <c r="J12" i="12" s="1"/>
  <c r="Y18" i="12"/>
  <c r="AA18" i="12" s="1"/>
  <c r="Y65" i="12"/>
  <c r="AA65" i="12" s="1"/>
  <c r="Y28" i="12"/>
  <c r="AA28" i="12" s="1"/>
  <c r="H16" i="12"/>
  <c r="J16" i="12" s="1"/>
  <c r="U13" i="12"/>
  <c r="X47" i="12"/>
  <c r="Z47" i="12" s="1"/>
  <c r="I34" i="12"/>
  <c r="K34" i="12" s="1"/>
  <c r="I33" i="12"/>
  <c r="K33" i="12" s="1"/>
  <c r="I28" i="12"/>
  <c r="K28" i="12" s="1"/>
  <c r="I30" i="12"/>
  <c r="K30" i="12" s="1"/>
  <c r="I29" i="12"/>
  <c r="K29" i="12" s="1"/>
  <c r="I31" i="12"/>
  <c r="K31" i="12" s="1"/>
  <c r="K27" i="12"/>
  <c r="T54" i="12"/>
  <c r="V54" i="12" s="1"/>
  <c r="T30" i="12"/>
  <c r="V30" i="12" s="1"/>
  <c r="S18" i="12"/>
  <c r="U18" i="12" s="1"/>
  <c r="Y50" i="12"/>
  <c r="AA50" i="12" s="1"/>
  <c r="S16" i="12"/>
  <c r="U16" i="12" s="1"/>
  <c r="S15" i="12"/>
  <c r="U15" i="12" s="1"/>
  <c r="Y32" i="12"/>
  <c r="AA32" i="12" s="1"/>
  <c r="Y42" i="12"/>
  <c r="AA42" i="12" s="1"/>
  <c r="J27" i="12"/>
  <c r="Y37" i="12"/>
  <c r="AA37" i="12" s="1"/>
  <c r="Y39" i="12"/>
  <c r="AA39" i="12" s="1"/>
  <c r="Y29" i="12"/>
  <c r="AA29" i="12" s="1"/>
  <c r="Y31" i="12"/>
  <c r="AA31" i="12" s="1"/>
  <c r="R45" i="3"/>
  <c r="R48" i="3" s="1"/>
  <c r="T48" i="3" s="1"/>
  <c r="R11" i="3"/>
  <c r="R14" i="3" s="1"/>
  <c r="T14" i="3" s="1"/>
  <c r="X36" i="3"/>
  <c r="Z36" i="3" s="1"/>
  <c r="X39" i="3"/>
  <c r="Z39" i="3" s="1"/>
  <c r="X33" i="3"/>
  <c r="Z33" i="3" s="1"/>
  <c r="X35" i="3"/>
  <c r="Z35" i="3" s="1"/>
  <c r="X34" i="3"/>
  <c r="Z34" i="3" s="1"/>
  <c r="X38" i="3"/>
  <c r="Z38" i="3" s="1"/>
  <c r="X37" i="3"/>
  <c r="Z37" i="3" s="1"/>
  <c r="S20" i="3"/>
  <c r="U20" i="3" s="1"/>
  <c r="S14" i="3"/>
  <c r="U14" i="3" s="1"/>
  <c r="S18" i="3"/>
  <c r="U18" i="3" s="1"/>
  <c r="S15" i="3"/>
  <c r="U15" i="3" s="1"/>
  <c r="S12" i="3"/>
  <c r="U12" i="3" s="1"/>
  <c r="S16" i="3"/>
  <c r="U16" i="3" s="1"/>
  <c r="S13" i="3"/>
  <c r="U13" i="3" s="1"/>
  <c r="S17" i="3"/>
  <c r="U17" i="3" s="1"/>
  <c r="G46" i="3"/>
  <c r="J46" i="3"/>
  <c r="G41" i="3"/>
  <c r="J41" i="3"/>
  <c r="J40" i="3" s="1"/>
  <c r="P40" i="11"/>
  <c r="P39" i="11"/>
  <c r="AN3" i="12" s="1"/>
  <c r="P42" i="11"/>
  <c r="AN27" i="12" s="1"/>
  <c r="P43" i="11"/>
  <c r="AN35" i="12" s="1"/>
  <c r="P41" i="11"/>
  <c r="AN19" i="12" s="1"/>
  <c r="P46" i="11"/>
  <c r="AN64" i="12" s="1"/>
  <c r="P47" i="11"/>
  <c r="AN69" i="12" s="1"/>
  <c r="P45" i="11"/>
  <c r="AN48" i="12" s="1"/>
  <c r="P44" i="11"/>
  <c r="AN43" i="12" s="1"/>
  <c r="I67" i="12"/>
  <c r="K67" i="12" s="1"/>
  <c r="K64" i="12"/>
  <c r="I65" i="12"/>
  <c r="K65" i="12" s="1"/>
  <c r="I68" i="12"/>
  <c r="K68" i="12" s="1"/>
  <c r="I66" i="12"/>
  <c r="K66" i="12" s="1"/>
  <c r="G20" i="3"/>
  <c r="J20" i="3"/>
  <c r="J19" i="3" s="1"/>
  <c r="Y22" i="12"/>
  <c r="AA22" i="12" s="1"/>
  <c r="Y20" i="12"/>
  <c r="AA20" i="12" s="1"/>
  <c r="Y26" i="12"/>
  <c r="AA26" i="12" s="1"/>
  <c r="Y60" i="12"/>
  <c r="AA60" i="12" s="1"/>
  <c r="Y63" i="12"/>
  <c r="AA63" i="12" s="1"/>
  <c r="Y59" i="12"/>
  <c r="AA59" i="12" s="1"/>
  <c r="Y62" i="12"/>
  <c r="AA62" i="12" s="1"/>
  <c r="Y61" i="12"/>
  <c r="AA61" i="12" s="1"/>
  <c r="Y58" i="12"/>
  <c r="AA58" i="12" s="1"/>
  <c r="Y57" i="12"/>
  <c r="AA57" i="12" s="1"/>
  <c r="I46" i="12"/>
  <c r="K46" i="12" s="1"/>
  <c r="I45" i="12"/>
  <c r="K45" i="12" s="1"/>
  <c r="I47" i="12"/>
  <c r="K47" i="12" s="1"/>
  <c r="I44" i="12"/>
  <c r="K44" i="12" s="1"/>
  <c r="K43" i="12"/>
  <c r="H17" i="3"/>
  <c r="J17" i="3" s="1"/>
  <c r="H16" i="3"/>
  <c r="J16" i="3" s="1"/>
  <c r="H15" i="3"/>
  <c r="J15" i="3" s="1"/>
  <c r="H18" i="3"/>
  <c r="J18" i="3" s="1"/>
  <c r="J12" i="3"/>
  <c r="J13" i="3"/>
  <c r="H14" i="3"/>
  <c r="J14" i="3" s="1"/>
  <c r="S28" i="3"/>
  <c r="U28" i="3" s="1"/>
  <c r="S29" i="3"/>
  <c r="U29" i="3" s="1"/>
  <c r="S25" i="3"/>
  <c r="U25" i="3" s="1"/>
  <c r="S27" i="3"/>
  <c r="U27" i="3" s="1"/>
  <c r="S31" i="3"/>
  <c r="U31" i="3" s="1"/>
  <c r="S26" i="3"/>
  <c r="U26" i="3" s="1"/>
  <c r="S30" i="3"/>
  <c r="U30" i="3" s="1"/>
  <c r="X22" i="3"/>
  <c r="Z22" i="3" s="1"/>
  <c r="X21" i="3"/>
  <c r="Z21" i="3" s="1"/>
  <c r="X20" i="3"/>
  <c r="Z20" i="3" s="1"/>
  <c r="X23" i="3"/>
  <c r="Z23" i="3" s="1"/>
  <c r="N6" i="12"/>
  <c r="P6" i="12" s="1"/>
  <c r="Y12" i="12"/>
  <c r="Y17" i="12"/>
  <c r="AA17" i="12" s="1"/>
  <c r="Y16" i="12"/>
  <c r="AA16" i="12" s="1"/>
  <c r="I70" i="12"/>
  <c r="K70" i="12" s="1"/>
  <c r="Y24" i="12"/>
  <c r="AA24" i="12" s="1"/>
  <c r="Y72" i="12"/>
  <c r="AA72" i="12" s="1"/>
  <c r="Y71" i="12"/>
  <c r="AA71" i="12" s="1"/>
  <c r="Y73" i="12"/>
  <c r="AA73" i="12" s="1"/>
  <c r="Y70" i="12"/>
  <c r="AA70" i="12" s="1"/>
  <c r="H65" i="12"/>
  <c r="J65" i="12" s="1"/>
  <c r="H66" i="12"/>
  <c r="J66" i="12" s="1"/>
  <c r="H68" i="12"/>
  <c r="J68" i="12" s="1"/>
  <c r="H67" i="12"/>
  <c r="J67" i="12" s="1"/>
  <c r="S3" i="12"/>
  <c r="S74" i="12" s="1"/>
  <c r="X26" i="12"/>
  <c r="Z26" i="12" s="1"/>
  <c r="X22" i="12"/>
  <c r="Z22" i="12" s="1"/>
  <c r="X23" i="12"/>
  <c r="Z23" i="12" s="1"/>
  <c r="X20" i="12"/>
  <c r="X21" i="12"/>
  <c r="Z21" i="12" s="1"/>
  <c r="X24" i="12"/>
  <c r="Z24" i="12" s="1"/>
  <c r="X25" i="12"/>
  <c r="Z25" i="12" s="1"/>
  <c r="H46" i="12"/>
  <c r="J46" i="12" s="1"/>
  <c r="H45" i="12"/>
  <c r="J45" i="12" s="1"/>
  <c r="H44" i="12"/>
  <c r="J44" i="12" s="1"/>
  <c r="H47" i="12"/>
  <c r="J47" i="12" s="1"/>
  <c r="R39" i="3"/>
  <c r="T39" i="3" s="1"/>
  <c r="R36" i="3"/>
  <c r="T36" i="3" s="1"/>
  <c r="R33" i="3"/>
  <c r="T33" i="3" s="1"/>
  <c r="R37" i="3"/>
  <c r="T37" i="3" s="1"/>
  <c r="R34" i="3"/>
  <c r="T34" i="3" s="1"/>
  <c r="R38" i="3"/>
  <c r="T38" i="3" s="1"/>
  <c r="R35" i="3"/>
  <c r="T35" i="3" s="1"/>
  <c r="S50" i="3"/>
  <c r="S4" i="3"/>
  <c r="U4" i="3" s="1"/>
  <c r="S5" i="3"/>
  <c r="U5" i="3" s="1"/>
  <c r="S7" i="3"/>
  <c r="U7" i="3" s="1"/>
  <c r="S8" i="3"/>
  <c r="U8" i="3" s="1"/>
  <c r="S9" i="3"/>
  <c r="U9" i="3" s="1"/>
  <c r="S10" i="3"/>
  <c r="U10" i="3" s="1"/>
  <c r="S6" i="3"/>
  <c r="U6" i="3" s="1"/>
  <c r="R20" i="3"/>
  <c r="T20" i="3" s="1"/>
  <c r="R21" i="3"/>
  <c r="T21" i="3" s="1"/>
  <c r="R10" i="3"/>
  <c r="T10" i="3" s="1"/>
  <c r="R4" i="3"/>
  <c r="T4" i="3" s="1"/>
  <c r="R8" i="3"/>
  <c r="T8" i="3" s="1"/>
  <c r="R5" i="3"/>
  <c r="T5" i="3" s="1"/>
  <c r="R9" i="3"/>
  <c r="T9" i="3" s="1"/>
  <c r="R6" i="3"/>
  <c r="T6" i="3" s="1"/>
  <c r="R7" i="3"/>
  <c r="T7" i="3" s="1"/>
  <c r="X18" i="3"/>
  <c r="Z18" i="3" s="1"/>
  <c r="X16" i="3"/>
  <c r="Z16" i="3" s="1"/>
  <c r="X15" i="3"/>
  <c r="Z15" i="3" s="1"/>
  <c r="X12" i="3"/>
  <c r="Z12" i="3" s="1"/>
  <c r="X13" i="3"/>
  <c r="Z13" i="3" s="1"/>
  <c r="X17" i="3"/>
  <c r="Z17" i="3" s="1"/>
  <c r="X14" i="3"/>
  <c r="Z14" i="3" s="1"/>
  <c r="N8" i="12"/>
  <c r="P8" i="12" s="1"/>
  <c r="N7" i="12"/>
  <c r="P7" i="12" s="1"/>
  <c r="H26" i="12"/>
  <c r="J26" i="12" s="1"/>
  <c r="H25" i="12"/>
  <c r="J25" i="12" s="1"/>
  <c r="H14" i="12"/>
  <c r="J14" i="12" s="1"/>
  <c r="H13" i="12"/>
  <c r="J13" i="12" s="1"/>
  <c r="S53" i="12"/>
  <c r="U53" i="12" s="1"/>
  <c r="T45" i="12"/>
  <c r="V45" i="12" s="1"/>
  <c r="V19" i="12"/>
  <c r="T46" i="12"/>
  <c r="V46" i="12" s="1"/>
  <c r="T70" i="12"/>
  <c r="V70" i="12" s="1"/>
  <c r="W28" i="12"/>
  <c r="Y15" i="12"/>
  <c r="AA15" i="12" s="1"/>
  <c r="T71" i="12"/>
  <c r="V71" i="12" s="1"/>
  <c r="Y14" i="12"/>
  <c r="AA14" i="12" s="1"/>
  <c r="T28" i="12"/>
  <c r="V28" i="12" s="1"/>
  <c r="Y30" i="12"/>
  <c r="AA30" i="12" s="1"/>
  <c r="Y21" i="12"/>
  <c r="AA21" i="12" s="1"/>
  <c r="J45" i="3"/>
  <c r="O11" i="3"/>
  <c r="X72" i="12"/>
  <c r="Z72" i="12" s="1"/>
  <c r="X71" i="12"/>
  <c r="Z71" i="12" s="1"/>
  <c r="X70" i="12"/>
  <c r="X73" i="12"/>
  <c r="Z73" i="12" s="1"/>
  <c r="Z27" i="12"/>
  <c r="H9" i="3"/>
  <c r="J9" i="3" s="1"/>
  <c r="H5" i="3"/>
  <c r="J5" i="3" s="1"/>
  <c r="H8" i="3"/>
  <c r="J8" i="3" s="1"/>
  <c r="H4" i="3"/>
  <c r="H7" i="3"/>
  <c r="J7" i="3" s="1"/>
  <c r="H6" i="3"/>
  <c r="J6" i="3" s="1"/>
  <c r="H10" i="3"/>
  <c r="J10" i="3" s="1"/>
  <c r="H50" i="3"/>
  <c r="X3" i="12"/>
  <c r="R26" i="3"/>
  <c r="T26" i="3" s="1"/>
  <c r="S47" i="3"/>
  <c r="U47" i="3" s="1"/>
  <c r="S48" i="3"/>
  <c r="U48" i="3" s="1"/>
  <c r="S46" i="3"/>
  <c r="U46" i="3" s="1"/>
  <c r="S49" i="3"/>
  <c r="U49" i="3" s="1"/>
  <c r="X42" i="3"/>
  <c r="Z42" i="3" s="1"/>
  <c r="X44" i="3"/>
  <c r="Z44" i="3" s="1"/>
  <c r="X43" i="3"/>
  <c r="Z43" i="3" s="1"/>
  <c r="X41" i="3"/>
  <c r="Z41" i="3" s="1"/>
  <c r="T47" i="12"/>
  <c r="V47" i="12" s="1"/>
  <c r="S44" i="3"/>
  <c r="U44" i="3" s="1"/>
  <c r="S43" i="3"/>
  <c r="U43" i="3" s="1"/>
  <c r="S42" i="3"/>
  <c r="U42" i="3" s="1"/>
  <c r="S41" i="3"/>
  <c r="U41" i="3" s="1"/>
  <c r="R41" i="3"/>
  <c r="T41" i="3" s="1"/>
  <c r="R44" i="3"/>
  <c r="T44" i="3" s="1"/>
  <c r="R42" i="3"/>
  <c r="T42" i="3" s="1"/>
  <c r="R43" i="3"/>
  <c r="T43" i="3" s="1"/>
  <c r="X46" i="3"/>
  <c r="Z46" i="3" s="1"/>
  <c r="X48" i="3"/>
  <c r="Z48" i="3" s="1"/>
  <c r="X49" i="3"/>
  <c r="Z49" i="3" s="1"/>
  <c r="X47" i="3"/>
  <c r="Z47" i="3" s="1"/>
  <c r="M3" i="12"/>
  <c r="M10" i="12" s="1"/>
  <c r="N10" i="12"/>
  <c r="N9" i="12"/>
  <c r="P9" i="12" s="1"/>
  <c r="H23" i="12"/>
  <c r="J23" i="12" s="1"/>
  <c r="H18" i="12"/>
  <c r="J18" i="12" s="1"/>
  <c r="W36" i="12"/>
  <c r="I71" i="12"/>
  <c r="K71" i="12" s="1"/>
  <c r="T72" i="12"/>
  <c r="V72" i="12" s="1"/>
  <c r="Y23" i="12"/>
  <c r="AA23" i="12" s="1"/>
  <c r="R45" i="11"/>
  <c r="AS48" i="12" s="1"/>
  <c r="R41" i="11"/>
  <c r="AS19" i="12" s="1"/>
  <c r="R43" i="11"/>
  <c r="AS35" i="12" s="1"/>
  <c r="R47" i="11"/>
  <c r="AS69" i="12" s="1"/>
  <c r="R42" i="11"/>
  <c r="AS27" i="12" s="1"/>
  <c r="R46" i="11"/>
  <c r="AS64" i="12" s="1"/>
  <c r="R40" i="11"/>
  <c r="AS11" i="12" s="1"/>
  <c r="R44" i="11"/>
  <c r="AS43" i="12" s="1"/>
  <c r="R39" i="11"/>
  <c r="AS3" i="12" s="1"/>
  <c r="R48" i="11"/>
  <c r="O3" i="3"/>
  <c r="T15" i="12"/>
  <c r="V15" i="12" s="1"/>
  <c r="T13" i="12"/>
  <c r="V13" i="12" s="1"/>
  <c r="T17" i="12"/>
  <c r="V17" i="12" s="1"/>
  <c r="S39" i="3"/>
  <c r="U39" i="3" s="1"/>
  <c r="S34" i="3"/>
  <c r="U34" i="3" s="1"/>
  <c r="S35" i="3"/>
  <c r="U35" i="3" s="1"/>
  <c r="S36" i="3"/>
  <c r="U36" i="3" s="1"/>
  <c r="S37" i="3"/>
  <c r="U37" i="3" s="1"/>
  <c r="S38" i="3"/>
  <c r="U38" i="3" s="1"/>
  <c r="S33" i="3"/>
  <c r="U33" i="3" s="1"/>
  <c r="X10" i="3"/>
  <c r="Z10" i="3" s="1"/>
  <c r="X4" i="3"/>
  <c r="Z4" i="3" s="1"/>
  <c r="X8" i="3"/>
  <c r="Z8" i="3" s="1"/>
  <c r="X5" i="3"/>
  <c r="Z5" i="3" s="1"/>
  <c r="X9" i="3"/>
  <c r="Z9" i="3" s="1"/>
  <c r="X6" i="3"/>
  <c r="Z6" i="3" s="1"/>
  <c r="X50" i="3"/>
  <c r="X7" i="3"/>
  <c r="Z7" i="3" s="1"/>
  <c r="X27" i="3"/>
  <c r="Z27" i="3" s="1"/>
  <c r="X30" i="3"/>
  <c r="Z30" i="3" s="1"/>
  <c r="X29" i="3"/>
  <c r="Z29" i="3" s="1"/>
  <c r="X31" i="3"/>
  <c r="Z31" i="3" s="1"/>
  <c r="X25" i="3"/>
  <c r="Z25" i="3" s="1"/>
  <c r="X26" i="3"/>
  <c r="Z26" i="3" s="1"/>
  <c r="X28" i="3"/>
  <c r="Z28" i="3" s="1"/>
  <c r="AR34" i="3"/>
  <c r="AT34" i="3" s="1"/>
  <c r="AR37" i="3"/>
  <c r="AT37" i="3" s="1"/>
  <c r="AR38" i="3"/>
  <c r="AT38" i="3" s="1"/>
  <c r="AR39" i="3"/>
  <c r="AT39" i="3" s="1"/>
  <c r="AR33" i="3"/>
  <c r="AT33" i="3" s="1"/>
  <c r="AR35" i="3"/>
  <c r="AT35" i="3" s="1"/>
  <c r="AR36" i="3"/>
  <c r="AT36" i="3" s="1"/>
  <c r="AQ39" i="3"/>
  <c r="AS39" i="3" s="1"/>
  <c r="AQ35" i="3"/>
  <c r="AS35" i="3" s="1"/>
  <c r="AQ34" i="3"/>
  <c r="AS34" i="3" s="1"/>
  <c r="AQ36" i="3"/>
  <c r="AS36" i="3" s="1"/>
  <c r="AQ33" i="3"/>
  <c r="AS33" i="3" s="1"/>
  <c r="AQ37" i="3"/>
  <c r="AS37" i="3" s="1"/>
  <c r="AQ38" i="3"/>
  <c r="AS38" i="3" s="1"/>
  <c r="AM56" i="12"/>
  <c r="AL32" i="3"/>
  <c r="AM39" i="3"/>
  <c r="AO39" i="3" s="1"/>
  <c r="AM34" i="3"/>
  <c r="AO34" i="3" s="1"/>
  <c r="AM38" i="3"/>
  <c r="AO38" i="3" s="1"/>
  <c r="AM35" i="3"/>
  <c r="AO35" i="3" s="1"/>
  <c r="AM36" i="3"/>
  <c r="AO36" i="3" s="1"/>
  <c r="AM33" i="3"/>
  <c r="AO33" i="3" s="1"/>
  <c r="AM37" i="3"/>
  <c r="AO37" i="3" s="1"/>
  <c r="AN61" i="12"/>
  <c r="AP61" i="12" s="1"/>
  <c r="AN57" i="12"/>
  <c r="AP57" i="12" s="1"/>
  <c r="AN60" i="12"/>
  <c r="AP60" i="12" s="1"/>
  <c r="AN63" i="12"/>
  <c r="AP63" i="12" s="1"/>
  <c r="AN59" i="12"/>
  <c r="AP59" i="12" s="1"/>
  <c r="AN62" i="12"/>
  <c r="AP62" i="12" s="1"/>
  <c r="AN58" i="12"/>
  <c r="AP58" i="12" s="1"/>
  <c r="P50" i="3"/>
  <c r="S70" i="12"/>
  <c r="U70" i="12" s="1"/>
  <c r="S71" i="12"/>
  <c r="U71" i="12" s="1"/>
  <c r="S52" i="12"/>
  <c r="U52" i="12" s="1"/>
  <c r="S51" i="12"/>
  <c r="U51" i="12" s="1"/>
  <c r="S54" i="12"/>
  <c r="U54" i="12" s="1"/>
  <c r="R20" i="12"/>
  <c r="M72" i="12"/>
  <c r="O72" i="12" s="1"/>
  <c r="M70" i="12"/>
  <c r="M71" i="12"/>
  <c r="O71" i="12" s="1"/>
  <c r="M73" i="12"/>
  <c r="O73" i="12" s="1"/>
  <c r="M65" i="12"/>
  <c r="M68" i="12"/>
  <c r="O68" i="12" s="1"/>
  <c r="M66" i="12"/>
  <c r="O66" i="12" s="1"/>
  <c r="M67" i="12"/>
  <c r="O67" i="12" s="1"/>
  <c r="N67" i="12"/>
  <c r="P67" i="12" s="1"/>
  <c r="N66" i="12"/>
  <c r="P66" i="12" s="1"/>
  <c r="N65" i="12"/>
  <c r="P65" i="12" s="1"/>
  <c r="N68" i="12"/>
  <c r="P68" i="12" s="1"/>
  <c r="J35" i="12"/>
  <c r="O46" i="12"/>
  <c r="S72" i="12"/>
  <c r="U72" i="12" s="1"/>
  <c r="O57" i="12"/>
  <c r="L57" i="12"/>
  <c r="O47" i="12"/>
  <c r="O45" i="12"/>
  <c r="I13" i="12"/>
  <c r="K13" i="12" s="1"/>
  <c r="I15" i="12"/>
  <c r="K15" i="12" s="1"/>
  <c r="I17" i="12"/>
  <c r="K17" i="12" s="1"/>
  <c r="I12" i="12"/>
  <c r="I74" i="12" s="1"/>
  <c r="I16" i="12"/>
  <c r="K16" i="12" s="1"/>
  <c r="I18" i="12"/>
  <c r="K18" i="12" s="1"/>
  <c r="N53" i="12"/>
  <c r="N49" i="12"/>
  <c r="P49" i="12" s="1"/>
  <c r="N52" i="12"/>
  <c r="N55" i="12"/>
  <c r="N54" i="12"/>
  <c r="N51" i="12"/>
  <c r="P51" i="12" s="1"/>
  <c r="N50" i="12"/>
  <c r="P50" i="12" s="1"/>
  <c r="N32" i="12"/>
  <c r="P32" i="12" s="1"/>
  <c r="N33" i="12"/>
  <c r="P33" i="12" s="1"/>
  <c r="N34" i="12"/>
  <c r="P34" i="12" s="1"/>
  <c r="J56" i="12"/>
  <c r="H22" i="12"/>
  <c r="J22" i="12" s="1"/>
  <c r="O44" i="12"/>
  <c r="H15" i="12"/>
  <c r="J15" i="12" s="1"/>
  <c r="S50" i="12"/>
  <c r="U50" i="12" s="1"/>
  <c r="S49" i="12"/>
  <c r="I14" i="12"/>
  <c r="K14" i="12" s="1"/>
  <c r="R28" i="12"/>
  <c r="P10" i="12"/>
  <c r="S42" i="12"/>
  <c r="U42" i="12" s="1"/>
  <c r="S38" i="12"/>
  <c r="U38" i="12" s="1"/>
  <c r="S40" i="12"/>
  <c r="U40" i="12" s="1"/>
  <c r="S36" i="12"/>
  <c r="U36" i="12" s="1"/>
  <c r="S41" i="12"/>
  <c r="U41" i="12" s="1"/>
  <c r="S39" i="12"/>
  <c r="U39" i="12" s="1"/>
  <c r="S37" i="12"/>
  <c r="U37" i="12" s="1"/>
  <c r="O49" i="12"/>
  <c r="L49" i="12"/>
  <c r="W49" i="12"/>
  <c r="Z48" i="12"/>
  <c r="I26" i="12"/>
  <c r="K26" i="12" s="1"/>
  <c r="I20" i="12"/>
  <c r="K20" i="12" s="1"/>
  <c r="I24" i="12"/>
  <c r="K24" i="12" s="1"/>
  <c r="I21" i="12"/>
  <c r="K21" i="12" s="1"/>
  <c r="I22" i="12"/>
  <c r="K22" i="12" s="1"/>
  <c r="I23" i="12"/>
  <c r="K23" i="12" s="1"/>
  <c r="I25" i="12"/>
  <c r="K25" i="12" s="1"/>
  <c r="S66" i="12"/>
  <c r="U66" i="12" s="1"/>
  <c r="S65" i="12"/>
  <c r="U65" i="12" s="1"/>
  <c r="S67" i="12"/>
  <c r="U67" i="12" s="1"/>
  <c r="S68" i="12"/>
  <c r="U68" i="12" s="1"/>
  <c r="T42" i="12"/>
  <c r="V42" i="12" s="1"/>
  <c r="T39" i="12"/>
  <c r="V39" i="12" s="1"/>
  <c r="T40" i="12"/>
  <c r="V40" i="12" s="1"/>
  <c r="T36" i="12"/>
  <c r="V36" i="12" s="1"/>
  <c r="T37" i="12"/>
  <c r="V37" i="12" s="1"/>
  <c r="T38" i="12"/>
  <c r="V38" i="12" s="1"/>
  <c r="T41" i="12"/>
  <c r="V41" i="12" s="1"/>
  <c r="T66" i="12"/>
  <c r="V66" i="12" s="1"/>
  <c r="T67" i="12"/>
  <c r="V67" i="12" s="1"/>
  <c r="T65" i="12"/>
  <c r="V65" i="12" s="1"/>
  <c r="T68" i="12"/>
  <c r="V68" i="12" s="1"/>
  <c r="U56" i="12"/>
  <c r="R57" i="12"/>
  <c r="P72" i="12"/>
  <c r="P73" i="12"/>
  <c r="P61" i="12"/>
  <c r="M25" i="12"/>
  <c r="M23" i="12"/>
  <c r="M21" i="12"/>
  <c r="M26" i="12"/>
  <c r="M24" i="12"/>
  <c r="M22" i="12"/>
  <c r="M20" i="12"/>
  <c r="M41" i="12"/>
  <c r="M37" i="12"/>
  <c r="M42" i="12"/>
  <c r="M40" i="12"/>
  <c r="M38" i="12"/>
  <c r="M39" i="12"/>
  <c r="M36" i="12"/>
  <c r="H9" i="12"/>
  <c r="J9" i="12" s="1"/>
  <c r="H5" i="12"/>
  <c r="J5" i="12" s="1"/>
  <c r="H74" i="12"/>
  <c r="H8" i="12"/>
  <c r="J8" i="12" s="1"/>
  <c r="H4" i="12"/>
  <c r="J4" i="12" s="1"/>
  <c r="H7" i="12"/>
  <c r="J7" i="12" s="1"/>
  <c r="H10" i="12"/>
  <c r="J10" i="12" s="1"/>
  <c r="H6" i="12"/>
  <c r="J6" i="12" s="1"/>
  <c r="N26" i="12"/>
  <c r="N24" i="12"/>
  <c r="N22" i="12"/>
  <c r="N25" i="12"/>
  <c r="N23" i="12"/>
  <c r="N21" i="12"/>
  <c r="N20" i="12"/>
  <c r="N30" i="12"/>
  <c r="N31" i="12"/>
  <c r="N29" i="12"/>
  <c r="N28" i="12"/>
  <c r="N47" i="12"/>
  <c r="N46" i="12"/>
  <c r="N45" i="12"/>
  <c r="N44" i="12"/>
  <c r="M18" i="12"/>
  <c r="M16" i="12"/>
  <c r="M14" i="12"/>
  <c r="M17" i="12"/>
  <c r="M15" i="12"/>
  <c r="M13" i="12"/>
  <c r="M12" i="12"/>
  <c r="N42" i="12"/>
  <c r="N40" i="12"/>
  <c r="N38" i="12"/>
  <c r="N41" i="12"/>
  <c r="N39" i="12"/>
  <c r="N37" i="12"/>
  <c r="N36" i="12"/>
  <c r="K5" i="12"/>
  <c r="K4" i="12"/>
  <c r="K6" i="12"/>
  <c r="N18" i="12"/>
  <c r="N17" i="12"/>
  <c r="N15" i="12"/>
  <c r="N13" i="12"/>
  <c r="N12" i="12"/>
  <c r="N16" i="12"/>
  <c r="N14" i="12"/>
  <c r="M33" i="12"/>
  <c r="M31" i="12"/>
  <c r="M34" i="12"/>
  <c r="M32" i="12"/>
  <c r="M30" i="12"/>
  <c r="M29" i="12"/>
  <c r="M28" i="12"/>
  <c r="P19" i="12"/>
  <c r="K10" i="12"/>
  <c r="K8" i="12"/>
  <c r="K9" i="12"/>
  <c r="K7" i="12"/>
  <c r="J24" i="12"/>
  <c r="A39" i="12"/>
  <c r="A16" i="12"/>
  <c r="A31" i="12"/>
  <c r="A72" i="12"/>
  <c r="A47" i="12"/>
  <c r="A7" i="12"/>
  <c r="A68" i="12"/>
  <c r="A52" i="12"/>
  <c r="A23" i="12"/>
  <c r="J66" i="11"/>
  <c r="W40" i="3" s="1"/>
  <c r="J67" i="11"/>
  <c r="W45" i="3" s="1"/>
  <c r="J62" i="11"/>
  <c r="W3" i="3" s="1"/>
  <c r="J65" i="11"/>
  <c r="W24" i="3" s="1"/>
  <c r="J63" i="11"/>
  <c r="W11" i="3" s="1"/>
  <c r="J64" i="11"/>
  <c r="W19" i="3" s="1"/>
  <c r="P53" i="11"/>
  <c r="P61" i="11" s="1"/>
  <c r="R22" i="3" l="1"/>
  <c r="T22" i="3" s="1"/>
  <c r="T19" i="3" s="1"/>
  <c r="R47" i="3"/>
  <c r="T47" i="3" s="1"/>
  <c r="R46" i="3"/>
  <c r="T46" i="3" s="1"/>
  <c r="V27" i="12"/>
  <c r="Z64" i="12"/>
  <c r="W12" i="12"/>
  <c r="W32" i="3"/>
  <c r="AM17" i="3"/>
  <c r="AO17" i="3" s="1"/>
  <c r="AM15" i="3"/>
  <c r="AO15" i="3" s="1"/>
  <c r="AM22" i="3"/>
  <c r="AO22" i="3" s="1"/>
  <c r="AM13" i="3"/>
  <c r="AO13" i="3" s="1"/>
  <c r="AM21" i="3"/>
  <c r="AO21" i="3" s="1"/>
  <c r="AM18" i="3"/>
  <c r="AO18" i="3" s="1"/>
  <c r="AM12" i="3"/>
  <c r="AO12" i="3" s="1"/>
  <c r="AM20" i="3"/>
  <c r="AO20" i="3" s="1"/>
  <c r="AO19" i="3" s="1"/>
  <c r="AM30" i="3"/>
  <c r="AO30" i="3" s="1"/>
  <c r="AM14" i="3"/>
  <c r="AO14" i="3" s="1"/>
  <c r="AM28" i="3"/>
  <c r="AO28" i="3" s="1"/>
  <c r="W65" i="12"/>
  <c r="R27" i="3"/>
  <c r="T27" i="3" s="1"/>
  <c r="R50" i="3"/>
  <c r="R52" i="3" s="1"/>
  <c r="AA48" i="12"/>
  <c r="W44" i="12"/>
  <c r="R12" i="3"/>
  <c r="T12" i="3" s="1"/>
  <c r="AM46" i="12"/>
  <c r="AO46" i="12" s="1"/>
  <c r="AM46" i="3"/>
  <c r="AO46" i="3" s="1"/>
  <c r="AM47" i="3"/>
  <c r="AO47" i="3" s="1"/>
  <c r="AM48" i="3"/>
  <c r="AO48" i="3" s="1"/>
  <c r="AM49" i="3"/>
  <c r="AO49" i="3" s="1"/>
  <c r="AM44" i="12"/>
  <c r="AO44" i="12" s="1"/>
  <c r="AM47" i="12"/>
  <c r="AO47" i="12" s="1"/>
  <c r="P73" i="11"/>
  <c r="AM40" i="3" s="1"/>
  <c r="P69" i="11"/>
  <c r="AM3" i="3" s="1"/>
  <c r="AS16" i="12"/>
  <c r="AU16" i="12" s="1"/>
  <c r="AS15" i="12"/>
  <c r="AU15" i="12" s="1"/>
  <c r="AS18" i="12"/>
  <c r="AU18" i="12" s="1"/>
  <c r="AS14" i="12"/>
  <c r="AU14" i="12" s="1"/>
  <c r="AS13" i="12"/>
  <c r="AU13" i="12" s="1"/>
  <c r="AS12" i="12"/>
  <c r="AU12" i="12" s="1"/>
  <c r="AS17" i="12"/>
  <c r="AU17" i="12" s="1"/>
  <c r="AA64" i="12"/>
  <c r="R15" i="3"/>
  <c r="T15" i="3" s="1"/>
  <c r="R18" i="3"/>
  <c r="T18" i="3" s="1"/>
  <c r="R29" i="3"/>
  <c r="T29" i="3" s="1"/>
  <c r="R31" i="3"/>
  <c r="T31" i="3" s="1"/>
  <c r="R13" i="3"/>
  <c r="T13" i="3" s="1"/>
  <c r="R17" i="3"/>
  <c r="T17" i="3" s="1"/>
  <c r="T11" i="3" s="1"/>
  <c r="R25" i="3"/>
  <c r="T25" i="3" s="1"/>
  <c r="R16" i="3"/>
  <c r="T16" i="3" s="1"/>
  <c r="R30" i="3"/>
  <c r="T30" i="3" s="1"/>
  <c r="T24" i="3" s="1"/>
  <c r="V48" i="12"/>
  <c r="M5" i="12"/>
  <c r="O5" i="12" s="1"/>
  <c r="J24" i="3"/>
  <c r="G25" i="3"/>
  <c r="AM13" i="12"/>
  <c r="AO13" i="12" s="1"/>
  <c r="AM15" i="12"/>
  <c r="AO15" i="12" s="1"/>
  <c r="AM18" i="12"/>
  <c r="AO18" i="12" s="1"/>
  <c r="AM17" i="12"/>
  <c r="AO17" i="12" s="1"/>
  <c r="AM14" i="12"/>
  <c r="AO14" i="12" s="1"/>
  <c r="AM12" i="12"/>
  <c r="AM16" i="12"/>
  <c r="AO16" i="12" s="1"/>
  <c r="AM26" i="3"/>
  <c r="AO26" i="3" s="1"/>
  <c r="AM31" i="3"/>
  <c r="AO31" i="3" s="1"/>
  <c r="AM24" i="12"/>
  <c r="AO24" i="12" s="1"/>
  <c r="AM23" i="12"/>
  <c r="AO23" i="12" s="1"/>
  <c r="AM21" i="12"/>
  <c r="AO21" i="12" s="1"/>
  <c r="AM25" i="12"/>
  <c r="AO25" i="12" s="1"/>
  <c r="AM26" i="12"/>
  <c r="AO26" i="12" s="1"/>
  <c r="AM20" i="12"/>
  <c r="AM22" i="12"/>
  <c r="AO22" i="12" s="1"/>
  <c r="AM42" i="12"/>
  <c r="AO42" i="12" s="1"/>
  <c r="AM40" i="12"/>
  <c r="AO40" i="12" s="1"/>
  <c r="AM41" i="12"/>
  <c r="AO41" i="12" s="1"/>
  <c r="AM39" i="12"/>
  <c r="AO39" i="12" s="1"/>
  <c r="AM37" i="12"/>
  <c r="AO37" i="12" s="1"/>
  <c r="AM36" i="12"/>
  <c r="AM38" i="12"/>
  <c r="AO38" i="12" s="1"/>
  <c r="AM29" i="3"/>
  <c r="AO29" i="3" s="1"/>
  <c r="AM73" i="12"/>
  <c r="AO73" i="12" s="1"/>
  <c r="AM72" i="12"/>
  <c r="AO72" i="12" s="1"/>
  <c r="AM71" i="12"/>
  <c r="AO71" i="12" s="1"/>
  <c r="AM70" i="12"/>
  <c r="AM67" i="12"/>
  <c r="AO67" i="12" s="1"/>
  <c r="AM65" i="12"/>
  <c r="AM68" i="12"/>
  <c r="AO68" i="12" s="1"/>
  <c r="AM66" i="12"/>
  <c r="AO66" i="12" s="1"/>
  <c r="AM27" i="3"/>
  <c r="AO27" i="3" s="1"/>
  <c r="AM34" i="12"/>
  <c r="AO34" i="12" s="1"/>
  <c r="AM28" i="12"/>
  <c r="AM31" i="12"/>
  <c r="AO31" i="12" s="1"/>
  <c r="AM33" i="12"/>
  <c r="AO33" i="12" s="1"/>
  <c r="AM29" i="12"/>
  <c r="AO29" i="12" s="1"/>
  <c r="AM30" i="12"/>
  <c r="AO30" i="12" s="1"/>
  <c r="AM32" i="12"/>
  <c r="AO32" i="12" s="1"/>
  <c r="W57" i="12"/>
  <c r="Z57" i="12"/>
  <c r="Z56" i="12" s="1"/>
  <c r="AA56" i="12"/>
  <c r="AN74" i="12"/>
  <c r="AN75" i="12" s="1"/>
  <c r="AA35" i="12"/>
  <c r="AA27" i="12"/>
  <c r="AO4" i="12"/>
  <c r="AO3" i="12" s="1"/>
  <c r="AL4" i="12"/>
  <c r="AL5" i="12"/>
  <c r="AL49" i="12"/>
  <c r="AO49" i="12"/>
  <c r="AO48" i="12" s="1"/>
  <c r="M7" i="12"/>
  <c r="O7" i="12" s="1"/>
  <c r="M6" i="12"/>
  <c r="O6" i="12" s="1"/>
  <c r="M9" i="12"/>
  <c r="O9" i="12" s="1"/>
  <c r="M8" i="12"/>
  <c r="O8" i="12" s="1"/>
  <c r="M74" i="12"/>
  <c r="K12" i="12"/>
  <c r="M4" i="12"/>
  <c r="O4" i="12" s="1"/>
  <c r="J43" i="12"/>
  <c r="V43" i="12"/>
  <c r="J3" i="12"/>
  <c r="R12" i="12"/>
  <c r="P69" i="12"/>
  <c r="J64" i="12"/>
  <c r="R49" i="3"/>
  <c r="T49" i="3" s="1"/>
  <c r="W18" i="3"/>
  <c r="Y18" i="3" s="1"/>
  <c r="W14" i="3"/>
  <c r="Y14" i="3" s="1"/>
  <c r="W15" i="3"/>
  <c r="Y15" i="3" s="1"/>
  <c r="W12" i="3"/>
  <c r="Y12" i="3" s="1"/>
  <c r="W16" i="3"/>
  <c r="Y16" i="3" s="1"/>
  <c r="W13" i="3"/>
  <c r="Y13" i="3" s="1"/>
  <c r="W17" i="3"/>
  <c r="Y17" i="3" s="1"/>
  <c r="W44" i="3"/>
  <c r="Y44" i="3" s="1"/>
  <c r="W42" i="3"/>
  <c r="Y42" i="3" s="1"/>
  <c r="W43" i="3"/>
  <c r="Y43" i="3" s="1"/>
  <c r="W41" i="3"/>
  <c r="Y41" i="3" s="1"/>
  <c r="AS73" i="12"/>
  <c r="AU73" i="12" s="1"/>
  <c r="AS72" i="12"/>
  <c r="AU72" i="12" s="1"/>
  <c r="AS70" i="12"/>
  <c r="AU70" i="12" s="1"/>
  <c r="AS71" i="12"/>
  <c r="AU71" i="12" s="1"/>
  <c r="Y4" i="12"/>
  <c r="Y10" i="12"/>
  <c r="AA10" i="12" s="1"/>
  <c r="Y5" i="12"/>
  <c r="Y8" i="12"/>
  <c r="AA8" i="12" s="1"/>
  <c r="Y9" i="12"/>
  <c r="AA9" i="12" s="1"/>
  <c r="Y7" i="12"/>
  <c r="AA7" i="12" s="1"/>
  <c r="Y6" i="12"/>
  <c r="AA6" i="12" s="1"/>
  <c r="T32" i="3"/>
  <c r="AA19" i="12"/>
  <c r="W31" i="3"/>
  <c r="Y31" i="3" s="1"/>
  <c r="W26" i="3"/>
  <c r="Y26" i="3" s="1"/>
  <c r="W30" i="3"/>
  <c r="Y30" i="3" s="1"/>
  <c r="W27" i="3"/>
  <c r="Y27" i="3" s="1"/>
  <c r="W28" i="3"/>
  <c r="Y28" i="3" s="1"/>
  <c r="W25" i="3"/>
  <c r="Y25" i="3" s="1"/>
  <c r="W29" i="3"/>
  <c r="Y29" i="3" s="1"/>
  <c r="Z3" i="3"/>
  <c r="AS39" i="12"/>
  <c r="AU39" i="12" s="1"/>
  <c r="AS36" i="12"/>
  <c r="AU36" i="12" s="1"/>
  <c r="AS37" i="12"/>
  <c r="AU37" i="12" s="1"/>
  <c r="AS38" i="12"/>
  <c r="AU38" i="12" s="1"/>
  <c r="AS41" i="12"/>
  <c r="AU41" i="12" s="1"/>
  <c r="AS42" i="12"/>
  <c r="AU42" i="12" s="1"/>
  <c r="AS40" i="12"/>
  <c r="AU40" i="12" s="1"/>
  <c r="Z45" i="3"/>
  <c r="T40" i="3"/>
  <c r="U40" i="3"/>
  <c r="Z40" i="3"/>
  <c r="X10" i="12"/>
  <c r="Z10" i="12" s="1"/>
  <c r="X6" i="12"/>
  <c r="Z6" i="12" s="1"/>
  <c r="X9" i="12"/>
  <c r="Z9" i="12" s="1"/>
  <c r="X5" i="12"/>
  <c r="Z5" i="12" s="1"/>
  <c r="X7" i="12"/>
  <c r="Z7" i="12" s="1"/>
  <c r="X4" i="12"/>
  <c r="X8" i="12"/>
  <c r="Z8" i="12" s="1"/>
  <c r="X74" i="12"/>
  <c r="Z11" i="3"/>
  <c r="S8" i="12"/>
  <c r="U8" i="12" s="1"/>
  <c r="S10" i="12"/>
  <c r="U10" i="12" s="1"/>
  <c r="S4" i="12"/>
  <c r="S5" i="12"/>
  <c r="U5" i="12" s="1"/>
  <c r="S6" i="12"/>
  <c r="U6" i="12" s="1"/>
  <c r="S9" i="12"/>
  <c r="U9" i="12" s="1"/>
  <c r="S7" i="12"/>
  <c r="U7" i="12" s="1"/>
  <c r="AA69" i="12"/>
  <c r="Z19" i="3"/>
  <c r="J11" i="3"/>
  <c r="AN55" i="12"/>
  <c r="AP55" i="12" s="1"/>
  <c r="AN52" i="12"/>
  <c r="AP52" i="12" s="1"/>
  <c r="AN50" i="12"/>
  <c r="AP50" i="12" s="1"/>
  <c r="AN51" i="12"/>
  <c r="AP51" i="12" s="1"/>
  <c r="AN49" i="12"/>
  <c r="AP49" i="12" s="1"/>
  <c r="AN53" i="12"/>
  <c r="AP53" i="12" s="1"/>
  <c r="AN54" i="12"/>
  <c r="AP54" i="12" s="1"/>
  <c r="AN36" i="12"/>
  <c r="AP36" i="12" s="1"/>
  <c r="AN37" i="12"/>
  <c r="AP37" i="12" s="1"/>
  <c r="AN40" i="12"/>
  <c r="AP40" i="12" s="1"/>
  <c r="AN41" i="12"/>
  <c r="AP41" i="12" s="1"/>
  <c r="AN38" i="12"/>
  <c r="AP38" i="12" s="1"/>
  <c r="AN39" i="12"/>
  <c r="AP39" i="12" s="1"/>
  <c r="AN42" i="12"/>
  <c r="AP42" i="12" s="1"/>
  <c r="W50" i="3"/>
  <c r="W52" i="3" s="1"/>
  <c r="W6" i="3"/>
  <c r="Y6" i="3" s="1"/>
  <c r="W10" i="3"/>
  <c r="Y10" i="3" s="1"/>
  <c r="W7" i="3"/>
  <c r="Y7" i="3" s="1"/>
  <c r="W4" i="3"/>
  <c r="Y4" i="3" s="1"/>
  <c r="W8" i="3"/>
  <c r="Y8" i="3" s="1"/>
  <c r="W5" i="3"/>
  <c r="Y5" i="3" s="1"/>
  <c r="W9" i="3"/>
  <c r="Y9" i="3" s="1"/>
  <c r="P64" i="12"/>
  <c r="Z24" i="3"/>
  <c r="AS68" i="12"/>
  <c r="AU68" i="12" s="1"/>
  <c r="AS65" i="12"/>
  <c r="AU65" i="12" s="1"/>
  <c r="AS67" i="12"/>
  <c r="AU67" i="12" s="1"/>
  <c r="AS66" i="12"/>
  <c r="AU66" i="12" s="1"/>
  <c r="AS24" i="12"/>
  <c r="AU24" i="12" s="1"/>
  <c r="AS25" i="12"/>
  <c r="AU25" i="12" s="1"/>
  <c r="AS20" i="12"/>
  <c r="AU20" i="12" s="1"/>
  <c r="AS22" i="12"/>
  <c r="AU22" i="12" s="1"/>
  <c r="AS23" i="12"/>
  <c r="AU23" i="12" s="1"/>
  <c r="AS21" i="12"/>
  <c r="AU21" i="12" s="1"/>
  <c r="AS26" i="12"/>
  <c r="AU26" i="12" s="1"/>
  <c r="U45" i="3"/>
  <c r="G4" i="3"/>
  <c r="J4" i="3"/>
  <c r="J3" i="3" s="1"/>
  <c r="J50" i="3" s="1"/>
  <c r="B8" i="13" s="1"/>
  <c r="V69" i="12"/>
  <c r="T3" i="3"/>
  <c r="U3" i="3"/>
  <c r="U24" i="3"/>
  <c r="AN73" i="12"/>
  <c r="AP73" i="12" s="1"/>
  <c r="AN70" i="12"/>
  <c r="AP70" i="12" s="1"/>
  <c r="AN71" i="12"/>
  <c r="AP71" i="12" s="1"/>
  <c r="AN72" i="12"/>
  <c r="AP72" i="12" s="1"/>
  <c r="AN33" i="12"/>
  <c r="AP33" i="12" s="1"/>
  <c r="AN28" i="12"/>
  <c r="AP28" i="12" s="1"/>
  <c r="AN29" i="12"/>
  <c r="AP29" i="12" s="1"/>
  <c r="AN30" i="12"/>
  <c r="AP30" i="12" s="1"/>
  <c r="AN31" i="12"/>
  <c r="AP31" i="12" s="1"/>
  <c r="AN34" i="12"/>
  <c r="AP34" i="12" s="1"/>
  <c r="AN32" i="12"/>
  <c r="AP32" i="12" s="1"/>
  <c r="AS47" i="12"/>
  <c r="AU47" i="12" s="1"/>
  <c r="AS44" i="12"/>
  <c r="AU44" i="12" s="1"/>
  <c r="AS45" i="12"/>
  <c r="AU45" i="12" s="1"/>
  <c r="AS46" i="12"/>
  <c r="AU46" i="12" s="1"/>
  <c r="T10" i="12"/>
  <c r="V10" i="12" s="1"/>
  <c r="T4" i="12"/>
  <c r="V4" i="12" s="1"/>
  <c r="T8" i="12"/>
  <c r="V8" i="12" s="1"/>
  <c r="T5" i="12"/>
  <c r="V5" i="12" s="1"/>
  <c r="T9" i="12"/>
  <c r="V9" i="12" s="1"/>
  <c r="T6" i="12"/>
  <c r="V6" i="12" s="1"/>
  <c r="T7" i="12"/>
  <c r="V7" i="12" s="1"/>
  <c r="Y74" i="12"/>
  <c r="AA12" i="12"/>
  <c r="AA11" i="12" s="1"/>
  <c r="AN47" i="12"/>
  <c r="AP47" i="12" s="1"/>
  <c r="AN45" i="12"/>
  <c r="AP45" i="12" s="1"/>
  <c r="AN46" i="12"/>
  <c r="AP46" i="12" s="1"/>
  <c r="AN44" i="12"/>
  <c r="AP44" i="12" s="1"/>
  <c r="R49" i="12"/>
  <c r="V35" i="12"/>
  <c r="W23" i="3"/>
  <c r="Y23" i="3" s="1"/>
  <c r="W21" i="3"/>
  <c r="Y21" i="3" s="1"/>
  <c r="W22" i="3"/>
  <c r="Y22" i="3" s="1"/>
  <c r="W47" i="3"/>
  <c r="Y47" i="3" s="1"/>
  <c r="W46" i="3"/>
  <c r="Y46" i="3" s="1"/>
  <c r="W48" i="3"/>
  <c r="Y48" i="3" s="1"/>
  <c r="W49" i="3"/>
  <c r="Y49" i="3" s="1"/>
  <c r="V64" i="12"/>
  <c r="U49" i="12"/>
  <c r="U48" i="12" s="1"/>
  <c r="U32" i="3"/>
  <c r="AS4" i="12"/>
  <c r="AU4" i="12" s="1"/>
  <c r="AS8" i="12"/>
  <c r="AU8" i="12" s="1"/>
  <c r="AS74" i="12"/>
  <c r="AS5" i="12"/>
  <c r="AU5" i="12" s="1"/>
  <c r="AS9" i="12"/>
  <c r="AU9" i="12" s="1"/>
  <c r="AS6" i="12"/>
  <c r="AU6" i="12" s="1"/>
  <c r="AS7" i="12"/>
  <c r="AU7" i="12" s="1"/>
  <c r="AS10" i="12"/>
  <c r="AU10" i="12" s="1"/>
  <c r="AS34" i="12"/>
  <c r="AU34" i="12" s="1"/>
  <c r="AS29" i="12"/>
  <c r="AU29" i="12" s="1"/>
  <c r="AS33" i="12"/>
  <c r="AU33" i="12" s="1"/>
  <c r="AS30" i="12"/>
  <c r="AU30" i="12" s="1"/>
  <c r="AS31" i="12"/>
  <c r="AU31" i="12" s="1"/>
  <c r="AS32" i="12"/>
  <c r="AU32" i="12" s="1"/>
  <c r="AS28" i="12"/>
  <c r="AU28" i="12" s="1"/>
  <c r="AS54" i="12"/>
  <c r="AU54" i="12" s="1"/>
  <c r="AS51" i="12"/>
  <c r="AU51" i="12" s="1"/>
  <c r="AS52" i="12"/>
  <c r="AU52" i="12" s="1"/>
  <c r="AS53" i="12"/>
  <c r="AU53" i="12" s="1"/>
  <c r="AS49" i="12"/>
  <c r="AU49" i="12" s="1"/>
  <c r="AS55" i="12"/>
  <c r="AU55" i="12" s="1"/>
  <c r="AS50" i="12"/>
  <c r="AU50" i="12" s="1"/>
  <c r="W70" i="12"/>
  <c r="Z70" i="12"/>
  <c r="Z69" i="12" s="1"/>
  <c r="Z20" i="12"/>
  <c r="W20" i="12"/>
  <c r="AN68" i="12"/>
  <c r="AP68" i="12" s="1"/>
  <c r="AN65" i="12"/>
  <c r="AP65" i="12" s="1"/>
  <c r="AN66" i="12"/>
  <c r="AP66" i="12" s="1"/>
  <c r="AN67" i="12"/>
  <c r="AP67" i="12" s="1"/>
  <c r="AN4" i="12"/>
  <c r="AP4" i="12" s="1"/>
  <c r="AN6" i="12"/>
  <c r="AP6" i="12" s="1"/>
  <c r="AN10" i="12"/>
  <c r="AP10" i="12" s="1"/>
  <c r="AN7" i="12"/>
  <c r="AP7" i="12" s="1"/>
  <c r="AN8" i="12"/>
  <c r="AP8" i="12" s="1"/>
  <c r="AN9" i="12"/>
  <c r="AP9" i="12" s="1"/>
  <c r="AN5" i="12"/>
  <c r="AP5" i="12" s="1"/>
  <c r="U11" i="3"/>
  <c r="W20" i="3"/>
  <c r="Y20" i="3" s="1"/>
  <c r="U19" i="3"/>
  <c r="AN26" i="12"/>
  <c r="AP26" i="12" s="1"/>
  <c r="AN23" i="12"/>
  <c r="AP23" i="12" s="1"/>
  <c r="AN21" i="12"/>
  <c r="AP21" i="12" s="1"/>
  <c r="AN22" i="12"/>
  <c r="AP22" i="12" s="1"/>
  <c r="AN20" i="12"/>
  <c r="AP20" i="12" s="1"/>
  <c r="AN24" i="12"/>
  <c r="AP24" i="12" s="1"/>
  <c r="AN25" i="12"/>
  <c r="AP25" i="12" s="1"/>
  <c r="Z32" i="3"/>
  <c r="AT32" i="3"/>
  <c r="AS32" i="3"/>
  <c r="AO32" i="3"/>
  <c r="AP56" i="12"/>
  <c r="AL39" i="3"/>
  <c r="AN39" i="3" s="1"/>
  <c r="AL34" i="3"/>
  <c r="AN34" i="3" s="1"/>
  <c r="AL38" i="3"/>
  <c r="AN38" i="3" s="1"/>
  <c r="AL35" i="3"/>
  <c r="AN35" i="3" s="1"/>
  <c r="AL36" i="3"/>
  <c r="AN36" i="3" s="1"/>
  <c r="AL33" i="3"/>
  <c r="AL37" i="3"/>
  <c r="AN37" i="3" s="1"/>
  <c r="AM63" i="12"/>
  <c r="AO63" i="12" s="1"/>
  <c r="AM57" i="12"/>
  <c r="AM61" i="12"/>
  <c r="AO61" i="12" s="1"/>
  <c r="AM58" i="12"/>
  <c r="AO58" i="12" s="1"/>
  <c r="AM62" i="12"/>
  <c r="AO62" i="12" s="1"/>
  <c r="AM59" i="12"/>
  <c r="AO59" i="12" s="1"/>
  <c r="AM74" i="12"/>
  <c r="AM60" i="12"/>
  <c r="AO60" i="12" s="1"/>
  <c r="O43" i="12"/>
  <c r="U69" i="12"/>
  <c r="O28" i="12"/>
  <c r="Z11" i="12"/>
  <c r="P31" i="12"/>
  <c r="O22" i="12"/>
  <c r="P36" i="12"/>
  <c r="P46" i="12"/>
  <c r="O10" i="12"/>
  <c r="P20" i="12"/>
  <c r="P22" i="12"/>
  <c r="O39" i="12"/>
  <c r="O24" i="12"/>
  <c r="Z43" i="12"/>
  <c r="O30" i="12"/>
  <c r="U27" i="12"/>
  <c r="O33" i="12"/>
  <c r="P37" i="12"/>
  <c r="P40" i="12"/>
  <c r="P47" i="12"/>
  <c r="P28" i="12"/>
  <c r="P30" i="12"/>
  <c r="P21" i="12"/>
  <c r="P24" i="12"/>
  <c r="O38" i="12"/>
  <c r="O41" i="12"/>
  <c r="O26" i="12"/>
  <c r="R70" i="12"/>
  <c r="U43" i="12"/>
  <c r="P45" i="12"/>
  <c r="P25" i="12"/>
  <c r="O36" i="12"/>
  <c r="O23" i="12"/>
  <c r="P3" i="12"/>
  <c r="O29" i="12"/>
  <c r="O31" i="12"/>
  <c r="P38" i="12"/>
  <c r="O37" i="12"/>
  <c r="O25" i="12"/>
  <c r="R36" i="12"/>
  <c r="L65" i="12"/>
  <c r="O65" i="12"/>
  <c r="O64" i="12" s="1"/>
  <c r="O32" i="12"/>
  <c r="P39" i="12"/>
  <c r="P42" i="12"/>
  <c r="P44" i="12"/>
  <c r="P29" i="12"/>
  <c r="P23" i="12"/>
  <c r="P26" i="12"/>
  <c r="O40" i="12"/>
  <c r="O20" i="12"/>
  <c r="U19" i="12"/>
  <c r="O21" i="12"/>
  <c r="P41" i="12"/>
  <c r="O70" i="12"/>
  <c r="O69" i="12" s="1"/>
  <c r="L70" i="12"/>
  <c r="O34" i="12"/>
  <c r="O42" i="12"/>
  <c r="P16" i="12"/>
  <c r="P17" i="12"/>
  <c r="O14" i="12"/>
  <c r="P18" i="12"/>
  <c r="O13" i="12"/>
  <c r="O16" i="12"/>
  <c r="P13" i="12"/>
  <c r="O15" i="12"/>
  <c r="O18" i="12"/>
  <c r="P14" i="12"/>
  <c r="P15" i="12"/>
  <c r="O17" i="12"/>
  <c r="O12" i="12"/>
  <c r="L12" i="12"/>
  <c r="P12" i="12"/>
  <c r="N74" i="12"/>
  <c r="R65" i="12"/>
  <c r="U64" i="12"/>
  <c r="P52" i="12"/>
  <c r="P63" i="12"/>
  <c r="P62" i="12"/>
  <c r="O56" i="12"/>
  <c r="J11" i="12"/>
  <c r="K3" i="12"/>
  <c r="K74" i="12" s="1"/>
  <c r="O48" i="12"/>
  <c r="J19" i="12"/>
  <c r="P66" i="11"/>
  <c r="AL40" i="3" s="1"/>
  <c r="P62" i="11"/>
  <c r="AL3" i="3" s="1"/>
  <c r="P63" i="11"/>
  <c r="AL11" i="3" s="1"/>
  <c r="P65" i="11"/>
  <c r="AL24" i="3" s="1"/>
  <c r="P67" i="11"/>
  <c r="AL45" i="3" s="1"/>
  <c r="P64" i="11"/>
  <c r="AL19" i="3" s="1"/>
  <c r="T45" i="3" l="1"/>
  <c r="AO43" i="12"/>
  <c r="V3" i="12"/>
  <c r="AL44" i="12"/>
  <c r="W37" i="3"/>
  <c r="Y37" i="3" s="1"/>
  <c r="W38" i="3"/>
  <c r="Y38" i="3" s="1"/>
  <c r="W39" i="3"/>
  <c r="Y39" i="3" s="1"/>
  <c r="W33" i="3"/>
  <c r="Y33" i="3" s="1"/>
  <c r="Y32" i="3" s="1"/>
  <c r="W35" i="3"/>
  <c r="Y35" i="3" s="1"/>
  <c r="W36" i="3"/>
  <c r="Y36" i="3" s="1"/>
  <c r="W34" i="3"/>
  <c r="Y34" i="3" s="1"/>
  <c r="AO11" i="3"/>
  <c r="P56" i="12"/>
  <c r="AO45" i="3"/>
  <c r="AM8" i="3"/>
  <c r="AO8" i="3" s="1"/>
  <c r="AM7" i="3"/>
  <c r="AO7" i="3" s="1"/>
  <c r="AM4" i="3"/>
  <c r="AO4" i="3" s="1"/>
  <c r="AM5" i="3"/>
  <c r="AO5" i="3" s="1"/>
  <c r="AM6" i="3"/>
  <c r="AO6" i="3" s="1"/>
  <c r="AM10" i="3"/>
  <c r="AO10" i="3" s="1"/>
  <c r="AM9" i="3"/>
  <c r="AO9" i="3" s="1"/>
  <c r="AM44" i="3"/>
  <c r="AO44" i="3" s="1"/>
  <c r="AM42" i="3"/>
  <c r="AO42" i="3" s="1"/>
  <c r="AM43" i="3"/>
  <c r="AO43" i="3" s="1"/>
  <c r="AM41" i="3"/>
  <c r="AO41" i="3" s="1"/>
  <c r="AM50" i="3"/>
  <c r="AU11" i="12"/>
  <c r="AO24" i="3"/>
  <c r="O19" i="12"/>
  <c r="AO28" i="12"/>
  <c r="AO27" i="12" s="1"/>
  <c r="AL28" i="12"/>
  <c r="AO65" i="12"/>
  <c r="AO64" i="12" s="1"/>
  <c r="AL65" i="12"/>
  <c r="AO20" i="12"/>
  <c r="AO19" i="12" s="1"/>
  <c r="AL20" i="12"/>
  <c r="AO36" i="12"/>
  <c r="AO35" i="12" s="1"/>
  <c r="AL36" i="12"/>
  <c r="AO12" i="12"/>
  <c r="AO11" i="12" s="1"/>
  <c r="AL12" i="12"/>
  <c r="AO70" i="12"/>
  <c r="AO69" i="12" s="1"/>
  <c r="AL70" i="12"/>
  <c r="O3" i="12"/>
  <c r="Y19" i="3"/>
  <c r="AU48" i="12"/>
  <c r="AL23" i="3"/>
  <c r="AN23" i="3" s="1"/>
  <c r="AL20" i="3"/>
  <c r="AL21" i="3"/>
  <c r="AN21" i="3" s="1"/>
  <c r="AL22" i="3"/>
  <c r="AN22" i="3" s="1"/>
  <c r="AL49" i="3"/>
  <c r="AN49" i="3" s="1"/>
  <c r="AL46" i="3"/>
  <c r="AL47" i="3"/>
  <c r="AN47" i="3" s="1"/>
  <c r="AL48" i="3"/>
  <c r="AN48" i="3" s="1"/>
  <c r="P35" i="12"/>
  <c r="AU27" i="12"/>
  <c r="AS75" i="12"/>
  <c r="U4" i="12"/>
  <c r="U3" i="12" s="1"/>
  <c r="R4" i="12"/>
  <c r="R5" i="12"/>
  <c r="AL31" i="3"/>
  <c r="AN31" i="3" s="1"/>
  <c r="AL26" i="3"/>
  <c r="AN26" i="3" s="1"/>
  <c r="AL30" i="3"/>
  <c r="AN30" i="3" s="1"/>
  <c r="AL27" i="3"/>
  <c r="AN27" i="3" s="1"/>
  <c r="AL28" i="3"/>
  <c r="AN28" i="3" s="1"/>
  <c r="AL29" i="3"/>
  <c r="AN29" i="3" s="1"/>
  <c r="AL25" i="3"/>
  <c r="P27" i="12"/>
  <c r="AP19" i="12"/>
  <c r="AP64" i="12"/>
  <c r="AP43" i="12"/>
  <c r="AU35" i="12"/>
  <c r="AU69" i="12"/>
  <c r="AL4" i="3"/>
  <c r="AL7" i="3"/>
  <c r="AN7" i="3" s="1"/>
  <c r="AL6" i="3"/>
  <c r="AN6" i="3" s="1"/>
  <c r="AL5" i="3"/>
  <c r="AN5" i="3" s="1"/>
  <c r="AL8" i="3"/>
  <c r="AN8" i="3" s="1"/>
  <c r="AL9" i="3"/>
  <c r="AN9" i="3" s="1"/>
  <c r="AL10" i="3"/>
  <c r="AN10" i="3" s="1"/>
  <c r="AL44" i="3"/>
  <c r="AN44" i="3" s="1"/>
  <c r="AL41" i="3"/>
  <c r="AL42" i="3"/>
  <c r="AN42" i="3" s="1"/>
  <c r="AL43" i="3"/>
  <c r="AN43" i="3" s="1"/>
  <c r="AL18" i="3"/>
  <c r="AN18" i="3" s="1"/>
  <c r="AL14" i="3"/>
  <c r="AN14" i="3" s="1"/>
  <c r="AL15" i="3"/>
  <c r="AN15" i="3" s="1"/>
  <c r="AL12" i="3"/>
  <c r="AL16" i="3"/>
  <c r="AN16" i="3" s="1"/>
  <c r="AL13" i="3"/>
  <c r="AN13" i="3" s="1"/>
  <c r="AL17" i="3"/>
  <c r="AN17" i="3" s="1"/>
  <c r="P43" i="12"/>
  <c r="O27" i="12"/>
  <c r="AU3" i="12"/>
  <c r="U50" i="3"/>
  <c r="D9" i="13" s="1"/>
  <c r="AU19" i="12"/>
  <c r="AP48" i="12"/>
  <c r="Z4" i="12"/>
  <c r="Z3" i="12" s="1"/>
  <c r="W5" i="12"/>
  <c r="W4" i="12"/>
  <c r="Y24" i="3"/>
  <c r="Y11" i="3"/>
  <c r="AL50" i="3"/>
  <c r="AP3" i="12"/>
  <c r="Y45" i="3"/>
  <c r="AU43" i="12"/>
  <c r="AP27" i="12"/>
  <c r="AP69" i="12"/>
  <c r="T50" i="3"/>
  <c r="AU64" i="12"/>
  <c r="Y3" i="3"/>
  <c r="AP35" i="12"/>
  <c r="Z50" i="3"/>
  <c r="E9" i="13" s="1"/>
  <c r="E14" i="13" s="1"/>
  <c r="Y40" i="3"/>
  <c r="AM75" i="12"/>
  <c r="AM76" i="12"/>
  <c r="AN33" i="3"/>
  <c r="AN32" i="3" s="1"/>
  <c r="AK33" i="3"/>
  <c r="AO57" i="12"/>
  <c r="AO56" i="12" s="1"/>
  <c r="AL57" i="12"/>
  <c r="V11" i="12"/>
  <c r="O35" i="12"/>
  <c r="Z35" i="12"/>
  <c r="Z19" i="12"/>
  <c r="O11" i="12"/>
  <c r="AA74" i="12"/>
  <c r="U35" i="12"/>
  <c r="J74" i="12"/>
  <c r="P11" i="12"/>
  <c r="U11" i="12"/>
  <c r="P53" i="12"/>
  <c r="P54" i="12"/>
  <c r="C7" i="10"/>
  <c r="C6" i="10"/>
  <c r="AO74" i="12" l="1"/>
  <c r="H4" i="13" s="1"/>
  <c r="AL52" i="3"/>
  <c r="AO40" i="3"/>
  <c r="AO3" i="3"/>
  <c r="H9" i="13" s="1"/>
  <c r="E18" i="13"/>
  <c r="I17" i="14"/>
  <c r="D18" i="13"/>
  <c r="H17" i="14"/>
  <c r="S5" i="13"/>
  <c r="S9" i="13" s="1"/>
  <c r="E16" i="14"/>
  <c r="B17" i="13"/>
  <c r="B19" i="13" s="1"/>
  <c r="B22" i="13" s="1"/>
  <c r="Y50" i="3"/>
  <c r="E8" i="13" s="1"/>
  <c r="AP74" i="12"/>
  <c r="H5" i="13" s="1"/>
  <c r="AN12" i="3"/>
  <c r="AN11" i="3" s="1"/>
  <c r="AK12" i="3"/>
  <c r="AU74" i="12"/>
  <c r="I5" i="13" s="1"/>
  <c r="AN46" i="3"/>
  <c r="AN45" i="3" s="1"/>
  <c r="AK46" i="3"/>
  <c r="U74" i="12"/>
  <c r="D4" i="13" s="1"/>
  <c r="AK20" i="3"/>
  <c r="AN20" i="3"/>
  <c r="AN19" i="3" s="1"/>
  <c r="AN41" i="3"/>
  <c r="AN40" i="3" s="1"/>
  <c r="AK41" i="3"/>
  <c r="AK4" i="3"/>
  <c r="AN4" i="3"/>
  <c r="AN3" i="3" s="1"/>
  <c r="AN25" i="3"/>
  <c r="AN24" i="3" s="1"/>
  <c r="AK25" i="3"/>
  <c r="Z74" i="12"/>
  <c r="E4" i="13" s="1"/>
  <c r="V74" i="12"/>
  <c r="O74" i="12"/>
  <c r="C4" i="13" s="1"/>
  <c r="P55" i="12"/>
  <c r="P48" i="12" s="1"/>
  <c r="P74" i="12" s="1"/>
  <c r="V4" i="7"/>
  <c r="V3" i="7"/>
  <c r="AB41" i="8"/>
  <c r="AB52" i="8" s="1"/>
  <c r="C52" i="8"/>
  <c r="G52" i="8"/>
  <c r="D52" i="8"/>
  <c r="G26" i="8"/>
  <c r="G37" i="8"/>
  <c r="G36" i="8"/>
  <c r="G35" i="8"/>
  <c r="G34" i="8"/>
  <c r="G33" i="8"/>
  <c r="G32" i="8"/>
  <c r="G31" i="8"/>
  <c r="G30" i="8"/>
  <c r="G29" i="8"/>
  <c r="G28" i="8"/>
  <c r="F26" i="8"/>
  <c r="F36" i="8"/>
  <c r="F37" i="8"/>
  <c r="C49" i="8"/>
  <c r="E49" i="8"/>
  <c r="F49" i="8"/>
  <c r="G49" i="8"/>
  <c r="H49" i="8"/>
  <c r="I49" i="8"/>
  <c r="N49" i="8"/>
  <c r="O49" i="8"/>
  <c r="P49" i="8"/>
  <c r="Q49" i="8"/>
  <c r="R49" i="8"/>
  <c r="S49" i="8"/>
  <c r="T49" i="8"/>
  <c r="U49" i="8"/>
  <c r="V49" i="8"/>
  <c r="D49" i="8"/>
  <c r="D48" i="8"/>
  <c r="G47" i="8"/>
  <c r="G46" i="8"/>
  <c r="G45" i="8"/>
  <c r="G44" i="8"/>
  <c r="G55" i="8" s="1"/>
  <c r="G43" i="8"/>
  <c r="G42" i="8"/>
  <c r="G53" i="8" s="1"/>
  <c r="F47" i="8"/>
  <c r="F46" i="8"/>
  <c r="F45" i="8"/>
  <c r="F56" i="8" s="1"/>
  <c r="F44" i="8"/>
  <c r="F43" i="8"/>
  <c r="F42" i="8"/>
  <c r="F53" i="8" s="1"/>
  <c r="E47" i="8"/>
  <c r="E46" i="8"/>
  <c r="E45" i="8"/>
  <c r="E56" i="8" s="1"/>
  <c r="E44" i="8"/>
  <c r="E55" i="8" s="1"/>
  <c r="E43" i="8"/>
  <c r="E42" i="8"/>
  <c r="E53" i="8" s="1"/>
  <c r="D42" i="8"/>
  <c r="D41" i="8"/>
  <c r="Z42" i="8"/>
  <c r="Z49" i="8" s="1"/>
  <c r="W47" i="8"/>
  <c r="W46" i="8"/>
  <c r="W45" i="8"/>
  <c r="W44" i="8"/>
  <c r="W43" i="8"/>
  <c r="W41" i="8"/>
  <c r="T47" i="8"/>
  <c r="T46" i="8"/>
  <c r="T45" i="8"/>
  <c r="T44" i="8"/>
  <c r="T43" i="8"/>
  <c r="T42" i="8"/>
  <c r="T41" i="8"/>
  <c r="Q47" i="8"/>
  <c r="Q46" i="8"/>
  <c r="Q45" i="8"/>
  <c r="Q44" i="8"/>
  <c r="Q43" i="8"/>
  <c r="Q42" i="8"/>
  <c r="Q41" i="8"/>
  <c r="N47" i="8"/>
  <c r="N46" i="8"/>
  <c r="N45" i="8"/>
  <c r="N44" i="8"/>
  <c r="P44" i="8" s="1"/>
  <c r="P55" i="8" s="1"/>
  <c r="N43" i="8"/>
  <c r="N42" i="8"/>
  <c r="N41" i="8"/>
  <c r="J47" i="8"/>
  <c r="J48" i="8"/>
  <c r="J46" i="8"/>
  <c r="J45" i="8"/>
  <c r="J44" i="8"/>
  <c r="J43" i="8"/>
  <c r="J42" i="8"/>
  <c r="K42" i="8" s="1"/>
  <c r="K53" i="8" s="1"/>
  <c r="J41" i="8"/>
  <c r="L41" i="8" s="1"/>
  <c r="L52" i="8" s="1"/>
  <c r="E41" i="8"/>
  <c r="C41" i="8"/>
  <c r="F41" i="8"/>
  <c r="G48" i="8"/>
  <c r="G58" i="8" s="1"/>
  <c r="G56" i="8"/>
  <c r="G41" i="8"/>
  <c r="E58" i="8"/>
  <c r="E57" i="8"/>
  <c r="E54" i="8"/>
  <c r="E48" i="8"/>
  <c r="D47" i="8"/>
  <c r="D46" i="8"/>
  <c r="D45" i="8"/>
  <c r="D44" i="8"/>
  <c r="D43" i="8"/>
  <c r="D59" i="8"/>
  <c r="H58" i="8"/>
  <c r="H57" i="8"/>
  <c r="H56" i="8"/>
  <c r="H55" i="8"/>
  <c r="H54" i="8"/>
  <c r="H53" i="8"/>
  <c r="H52" i="8"/>
  <c r="AA47" i="8"/>
  <c r="AA58" i="8" s="1"/>
  <c r="Z47" i="8"/>
  <c r="U47" i="8"/>
  <c r="U58" i="8" s="1"/>
  <c r="P47" i="8"/>
  <c r="P58" i="8" s="1"/>
  <c r="C47" i="8"/>
  <c r="C58" i="8" s="1"/>
  <c r="D58" i="8"/>
  <c r="AB46" i="8"/>
  <c r="AB57" i="8" s="1"/>
  <c r="AA46" i="8"/>
  <c r="AA57" i="8" s="1"/>
  <c r="Z46" i="8"/>
  <c r="V46" i="8"/>
  <c r="V57" i="8" s="1"/>
  <c r="P46" i="8"/>
  <c r="P57" i="8" s="1"/>
  <c r="K46" i="8"/>
  <c r="K57" i="8" s="1"/>
  <c r="F57" i="8"/>
  <c r="D57" i="8"/>
  <c r="AB45" i="8"/>
  <c r="AB56" i="8" s="1"/>
  <c r="AA45" i="8"/>
  <c r="AA56" i="8" s="1"/>
  <c r="Z45" i="8"/>
  <c r="V45" i="8"/>
  <c r="V56" i="8" s="1"/>
  <c r="P45" i="8"/>
  <c r="P56" i="8" s="1"/>
  <c r="O45" i="8"/>
  <c r="O56" i="8" s="1"/>
  <c r="L45" i="8"/>
  <c r="K45" i="8"/>
  <c r="K56" i="8" s="1"/>
  <c r="D56" i="8"/>
  <c r="AB44" i="8"/>
  <c r="AB55" i="8" s="1"/>
  <c r="Z44" i="8"/>
  <c r="AA44" i="8" s="1"/>
  <c r="AA55" i="8" s="1"/>
  <c r="L44" i="8"/>
  <c r="L55" i="8" s="1"/>
  <c r="D55" i="8"/>
  <c r="AA43" i="8"/>
  <c r="AA54" i="8" s="1"/>
  <c r="Z54" i="8" s="1"/>
  <c r="Z43" i="8"/>
  <c r="AB43" i="8" s="1"/>
  <c r="AB54" i="8" s="1"/>
  <c r="V43" i="8"/>
  <c r="V54" i="8" s="1"/>
  <c r="O43" i="8"/>
  <c r="O54" i="8" s="1"/>
  <c r="P43" i="8"/>
  <c r="P54" i="8" s="1"/>
  <c r="L43" i="8"/>
  <c r="F54" i="8"/>
  <c r="D54" i="8"/>
  <c r="C43" i="8"/>
  <c r="C54" i="8" s="1"/>
  <c r="W42" i="8"/>
  <c r="U42" i="8"/>
  <c r="U53" i="8" s="1"/>
  <c r="P42" i="8"/>
  <c r="P53" i="8" s="1"/>
  <c r="D53" i="8"/>
  <c r="P41" i="8"/>
  <c r="P52" i="8" s="1"/>
  <c r="AB40" i="8"/>
  <c r="AA40" i="8" s="1"/>
  <c r="X40" i="8"/>
  <c r="U40" i="8"/>
  <c r="R40" i="8"/>
  <c r="O40" i="8"/>
  <c r="L40" i="8"/>
  <c r="K40" i="8"/>
  <c r="H34" i="8"/>
  <c r="H33" i="8"/>
  <c r="H32" i="8"/>
  <c r="H31" i="8"/>
  <c r="H30" i="8"/>
  <c r="H29" i="8"/>
  <c r="H28" i="8"/>
  <c r="D24" i="8"/>
  <c r="D17" i="8"/>
  <c r="AB16" i="8"/>
  <c r="AA16" i="8" s="1"/>
  <c r="X16" i="8"/>
  <c r="U16" i="8"/>
  <c r="R16" i="8"/>
  <c r="O16" i="8"/>
  <c r="L16" i="8"/>
  <c r="K16" i="8"/>
  <c r="Y12" i="8"/>
  <c r="X11" i="8"/>
  <c r="X12" i="8" s="1"/>
  <c r="Y10" i="8"/>
  <c r="M10" i="8"/>
  <c r="L10" i="8"/>
  <c r="K10" i="8"/>
  <c r="J10" i="8"/>
  <c r="I10" i="8"/>
  <c r="H10" i="8"/>
  <c r="G10" i="8"/>
  <c r="F10" i="8"/>
  <c r="E10" i="8"/>
  <c r="D10" i="8"/>
  <c r="AP9" i="8"/>
  <c r="AN11" i="8" s="1"/>
  <c r="AO9" i="8"/>
  <c r="AM11" i="8" s="1"/>
  <c r="R9" i="8"/>
  <c r="Q9" i="8"/>
  <c r="M9" i="8"/>
  <c r="L9" i="8"/>
  <c r="K9" i="8"/>
  <c r="J9" i="8"/>
  <c r="I9" i="8"/>
  <c r="H9" i="8"/>
  <c r="G9" i="8"/>
  <c r="F9" i="8"/>
  <c r="E9" i="8"/>
  <c r="D9" i="8"/>
  <c r="S8" i="8"/>
  <c r="M8" i="8"/>
  <c r="L8" i="8"/>
  <c r="K8" i="8"/>
  <c r="J8" i="8"/>
  <c r="I8" i="8"/>
  <c r="H8" i="8"/>
  <c r="G8" i="8"/>
  <c r="F8" i="8"/>
  <c r="E8" i="8"/>
  <c r="D8" i="8"/>
  <c r="AO7" i="8"/>
  <c r="AQ9" i="8" s="1"/>
  <c r="AO11" i="8" s="1"/>
  <c r="AN7" i="8"/>
  <c r="AM7" i="8"/>
  <c r="X7" i="8"/>
  <c r="Y7" i="8" s="1"/>
  <c r="H24" i="8" s="1"/>
  <c r="H35" i="8" s="1"/>
  <c r="M7" i="8"/>
  <c r="L7" i="8"/>
  <c r="K7" i="8"/>
  <c r="J7" i="8"/>
  <c r="I7" i="8"/>
  <c r="H7" i="8"/>
  <c r="G7" i="8"/>
  <c r="F7" i="8"/>
  <c r="E7" i="8"/>
  <c r="D7" i="8"/>
  <c r="M6" i="8"/>
  <c r="L6" i="8"/>
  <c r="K6" i="8"/>
  <c r="J6" i="8"/>
  <c r="I6" i="8"/>
  <c r="H6" i="8"/>
  <c r="G6" i="8"/>
  <c r="F6" i="8"/>
  <c r="E6" i="8"/>
  <c r="D6" i="8"/>
  <c r="D19" i="8" s="1"/>
  <c r="D30" i="8" s="1"/>
  <c r="T5" i="8"/>
  <c r="M5" i="8"/>
  <c r="L5" i="8"/>
  <c r="K5" i="8"/>
  <c r="J5" i="8"/>
  <c r="I5" i="8"/>
  <c r="H5" i="8"/>
  <c r="G5" i="8"/>
  <c r="F5" i="8"/>
  <c r="E5" i="8"/>
  <c r="D5" i="8"/>
  <c r="S4" i="8"/>
  <c r="T4" i="8" s="1"/>
  <c r="C28" i="7"/>
  <c r="R9" i="7"/>
  <c r="L16" i="7"/>
  <c r="H14" i="13" l="1"/>
  <c r="H18" i="13" s="1"/>
  <c r="E13" i="13"/>
  <c r="E17" i="13" s="1"/>
  <c r="E19" i="13" s="1"/>
  <c r="E20" i="13" s="1"/>
  <c r="D17" i="13"/>
  <c r="D19" i="13" s="1"/>
  <c r="D20" i="13" s="1"/>
  <c r="G18" i="14"/>
  <c r="S7" i="13"/>
  <c r="S3" i="13"/>
  <c r="S6" i="13"/>
  <c r="S4" i="13"/>
  <c r="S8" i="13"/>
  <c r="H8" i="13"/>
  <c r="H13" i="13" s="1"/>
  <c r="W49" i="8"/>
  <c r="J49" i="8"/>
  <c r="M47" i="8"/>
  <c r="AC47" i="8"/>
  <c r="N54" i="8"/>
  <c r="O44" i="8"/>
  <c r="O55" i="8" s="1"/>
  <c r="P59" i="8"/>
  <c r="K41" i="8"/>
  <c r="K52" i="8" s="1"/>
  <c r="G57" i="8"/>
  <c r="G54" i="8"/>
  <c r="V42" i="8"/>
  <c r="V53" i="8" s="1"/>
  <c r="O47" i="8"/>
  <c r="O58" i="8" s="1"/>
  <c r="N58" i="8" s="1"/>
  <c r="L54" i="8"/>
  <c r="O41" i="8"/>
  <c r="O52" i="8" s="1"/>
  <c r="N52" i="8" s="1"/>
  <c r="U43" i="8"/>
  <c r="U54" i="8" s="1"/>
  <c r="T54" i="8" s="1"/>
  <c r="N55" i="8"/>
  <c r="Z56" i="8"/>
  <c r="O46" i="8"/>
  <c r="O57" i="8" s="1"/>
  <c r="N57" i="8" s="1"/>
  <c r="V47" i="8"/>
  <c r="V58" i="8" s="1"/>
  <c r="T58" i="8" s="1"/>
  <c r="N56" i="8"/>
  <c r="L56" i="8"/>
  <c r="J56" i="8" s="1"/>
  <c r="F55" i="8"/>
  <c r="C44" i="8"/>
  <c r="I59" i="8" a="1"/>
  <c r="I59" i="8" s="1"/>
  <c r="Y42" i="8"/>
  <c r="X42" i="8"/>
  <c r="AC43" i="8"/>
  <c r="AC54" i="8"/>
  <c r="J52" i="8"/>
  <c r="V41" i="8"/>
  <c r="V52" i="8" s="1"/>
  <c r="U41" i="8"/>
  <c r="U52" i="8" s="1"/>
  <c r="AC42" i="8"/>
  <c r="AC49" i="8" s="1"/>
  <c r="AB42" i="8"/>
  <c r="M43" i="8"/>
  <c r="M44" i="8"/>
  <c r="L42" i="8"/>
  <c r="O42" i="8"/>
  <c r="O53" i="8" s="1"/>
  <c r="N53" i="8" s="1"/>
  <c r="T53" i="8"/>
  <c r="AA42" i="8"/>
  <c r="U44" i="8"/>
  <c r="U55" i="8" s="1"/>
  <c r="V44" i="8"/>
  <c r="V55" i="8" s="1"/>
  <c r="Z55" i="8"/>
  <c r="Z57" i="8"/>
  <c r="Z58" i="8"/>
  <c r="AC58" i="8" s="1"/>
  <c r="C45" i="8"/>
  <c r="U45" i="8"/>
  <c r="U56" i="8" s="1"/>
  <c r="T56" i="8" s="1"/>
  <c r="L46" i="8"/>
  <c r="L57" i="8" s="1"/>
  <c r="J57" i="8" s="1"/>
  <c r="K47" i="8"/>
  <c r="K58" i="8" s="1"/>
  <c r="K43" i="8"/>
  <c r="K54" i="8" s="1"/>
  <c r="K59" i="8" s="1"/>
  <c r="C42" i="8"/>
  <c r="C53" i="8" s="1"/>
  <c r="K44" i="8"/>
  <c r="K55" i="8" s="1"/>
  <c r="J55" i="8" s="1"/>
  <c r="C46" i="8"/>
  <c r="M46" i="8"/>
  <c r="U46" i="8"/>
  <c r="U57" i="8" s="1"/>
  <c r="T57" i="8" s="1"/>
  <c r="L47" i="8"/>
  <c r="L58" i="8" s="1"/>
  <c r="AB47" i="8"/>
  <c r="AB58" i="8" s="1"/>
  <c r="I48" i="8" a="1"/>
  <c r="I48" i="8" s="1"/>
  <c r="F58" i="8"/>
  <c r="D22" i="8"/>
  <c r="D33" i="8" s="1"/>
  <c r="E24" i="8"/>
  <c r="D21" i="8"/>
  <c r="D32" i="8" s="1"/>
  <c r="D35" i="8"/>
  <c r="D23" i="8"/>
  <c r="D34" i="8" s="1"/>
  <c r="D18" i="8"/>
  <c r="D29" i="8" s="1"/>
  <c r="D20" i="8"/>
  <c r="D31" i="8" s="1"/>
  <c r="Y11" i="8"/>
  <c r="D28" i="8"/>
  <c r="I35" i="8" s="1" a="1"/>
  <c r="I35" i="8" s="1"/>
  <c r="L17" i="14" l="1"/>
  <c r="L18" i="14" s="1"/>
  <c r="H18" i="14"/>
  <c r="H17" i="13"/>
  <c r="H19" i="13" s="1"/>
  <c r="H20" i="13" s="1"/>
  <c r="K49" i="8"/>
  <c r="AB53" i="8"/>
  <c r="AB49" i="8"/>
  <c r="X53" i="8"/>
  <c r="AA53" i="8"/>
  <c r="AA49" i="8"/>
  <c r="L53" i="8"/>
  <c r="J53" i="8" s="1"/>
  <c r="M53" i="8" s="1"/>
  <c r="L49" i="8"/>
  <c r="Y53" i="8"/>
  <c r="V59" i="8"/>
  <c r="L59" i="8"/>
  <c r="N59" i="8"/>
  <c r="Z53" i="8"/>
  <c r="AC53" i="8" s="1"/>
  <c r="O59" i="8"/>
  <c r="J54" i="8"/>
  <c r="M54" i="8" s="1"/>
  <c r="E59" i="8"/>
  <c r="F48" i="8"/>
  <c r="E52" i="8"/>
  <c r="AC46" i="8"/>
  <c r="C57" i="8"/>
  <c r="M57" i="8" s="1"/>
  <c r="J58" i="8"/>
  <c r="M58" i="8" s="1"/>
  <c r="C56" i="8"/>
  <c r="AC45" i="8"/>
  <c r="M45" i="8"/>
  <c r="T55" i="8"/>
  <c r="M42" i="8"/>
  <c r="U59" i="8"/>
  <c r="T52" i="8"/>
  <c r="AC44" i="8"/>
  <c r="C55" i="8"/>
  <c r="M55" i="8" s="1"/>
  <c r="F24" i="8"/>
  <c r="E21" i="8"/>
  <c r="E32" i="8" s="1"/>
  <c r="E35" i="8"/>
  <c r="E20" i="8"/>
  <c r="E31" i="8" s="1"/>
  <c r="E22" i="8"/>
  <c r="E33" i="8" s="1"/>
  <c r="E17" i="8"/>
  <c r="E28" i="8" s="1"/>
  <c r="E19" i="8"/>
  <c r="E30" i="8" s="1"/>
  <c r="E23" i="8"/>
  <c r="E34" i="8" s="1"/>
  <c r="E18" i="8"/>
  <c r="E29" i="8" s="1"/>
  <c r="I24" i="8" a="1"/>
  <c r="I24" i="8" s="1"/>
  <c r="W53" i="8" l="1"/>
  <c r="M49" i="8"/>
  <c r="T59" i="8"/>
  <c r="J59" i="8"/>
  <c r="AC55" i="8"/>
  <c r="M56" i="8"/>
  <c r="AC56" i="8"/>
  <c r="AC57" i="8"/>
  <c r="F59" i="8"/>
  <c r="C48" i="8"/>
  <c r="C59" i="8" s="1"/>
  <c r="F35" i="8"/>
  <c r="F20" i="8"/>
  <c r="F23" i="8"/>
  <c r="C24" i="8"/>
  <c r="C35" i="8" s="1"/>
  <c r="F21" i="8"/>
  <c r="F19" i="8"/>
  <c r="G24" i="8"/>
  <c r="F18" i="8"/>
  <c r="F17" i="8"/>
  <c r="F22" i="8"/>
  <c r="M59" i="8" l="1"/>
  <c r="G59" i="8"/>
  <c r="F52" i="8"/>
  <c r="F29" i="8"/>
  <c r="C18" i="8"/>
  <c r="C29" i="8" s="1"/>
  <c r="G23" i="8"/>
  <c r="G22" i="8"/>
  <c r="J24" i="8"/>
  <c r="G20" i="8"/>
  <c r="G19" i="8"/>
  <c r="G18" i="8"/>
  <c r="G17" i="8"/>
  <c r="G21" i="8"/>
  <c r="F31" i="8"/>
  <c r="C20" i="8"/>
  <c r="C31" i="8" s="1"/>
  <c r="C23" i="8"/>
  <c r="C34" i="8" s="1"/>
  <c r="F34" i="8"/>
  <c r="F33" i="8"/>
  <c r="C22" i="8"/>
  <c r="C33" i="8" s="1"/>
  <c r="C19" i="8"/>
  <c r="C30" i="8" s="1"/>
  <c r="F30" i="8"/>
  <c r="F28" i="8"/>
  <c r="C17" i="8"/>
  <c r="C28" i="8" s="1"/>
  <c r="F32" i="8"/>
  <c r="C21" i="8"/>
  <c r="C32" i="8" s="1"/>
  <c r="M41" i="8" l="1"/>
  <c r="N48" i="8"/>
  <c r="Q48" i="8" s="1"/>
  <c r="T48" i="8" s="1"/>
  <c r="W48" i="8" s="1"/>
  <c r="Z48" i="8" s="1"/>
  <c r="M48" i="8"/>
  <c r="J22" i="8"/>
  <c r="N24" i="8"/>
  <c r="J21" i="8"/>
  <c r="J18" i="8"/>
  <c r="J17" i="8"/>
  <c r="J23" i="8"/>
  <c r="M24" i="8"/>
  <c r="J20" i="8"/>
  <c r="J19" i="8"/>
  <c r="M52" i="8" l="1"/>
  <c r="L20" i="8"/>
  <c r="L31" i="8" s="1"/>
  <c r="K20" i="8"/>
  <c r="K31" i="8" s="1"/>
  <c r="M20" i="8"/>
  <c r="M23" i="8"/>
  <c r="L23" i="8"/>
  <c r="L34" i="8" s="1"/>
  <c r="K23" i="8"/>
  <c r="K34" i="8" s="1"/>
  <c r="Q24" i="8"/>
  <c r="N22" i="8"/>
  <c r="N21" i="8"/>
  <c r="N23" i="8"/>
  <c r="N18" i="8"/>
  <c r="N20" i="8"/>
  <c r="N17" i="8"/>
  <c r="N19" i="8"/>
  <c r="L18" i="8"/>
  <c r="L29" i="8" s="1"/>
  <c r="M18" i="8"/>
  <c r="K18" i="8"/>
  <c r="K29" i="8" s="1"/>
  <c r="K21" i="8"/>
  <c r="K32" i="8" s="1"/>
  <c r="M21" i="8"/>
  <c r="L21" i="8"/>
  <c r="L32" i="8" s="1"/>
  <c r="M19" i="8"/>
  <c r="K19" i="8"/>
  <c r="K30" i="8" s="1"/>
  <c r="L19" i="8"/>
  <c r="L30" i="8" s="1"/>
  <c r="K17" i="8"/>
  <c r="K28" i="8" s="1"/>
  <c r="L17" i="8"/>
  <c r="L28" i="8" s="1"/>
  <c r="M17" i="8"/>
  <c r="M22" i="8"/>
  <c r="K22" i="8"/>
  <c r="K33" i="8" s="1"/>
  <c r="L22" i="8"/>
  <c r="L33" i="8" s="1"/>
  <c r="J31" i="8" l="1"/>
  <c r="Y41" i="8"/>
  <c r="Y52" i="8" s="1"/>
  <c r="X41" i="8"/>
  <c r="X52" i="8" s="1"/>
  <c r="X44" i="8"/>
  <c r="X55" i="8" s="1"/>
  <c r="Y44" i="8"/>
  <c r="Y55" i="8" s="1"/>
  <c r="J33" i="8"/>
  <c r="X45" i="8"/>
  <c r="X56" i="8" s="1"/>
  <c r="Y45" i="8"/>
  <c r="Y56" i="8" s="1"/>
  <c r="M31" i="8"/>
  <c r="Y46" i="8"/>
  <c r="Y57" i="8" s="1"/>
  <c r="X46" i="8"/>
  <c r="X57" i="8" s="1"/>
  <c r="Y47" i="8"/>
  <c r="Y58" i="8" s="1"/>
  <c r="X47" i="8"/>
  <c r="X58" i="8" s="1"/>
  <c r="X43" i="8"/>
  <c r="Y43" i="8"/>
  <c r="K35" i="8"/>
  <c r="J28" i="8"/>
  <c r="O22" i="8"/>
  <c r="O33" i="8" s="1"/>
  <c r="P22" i="8"/>
  <c r="P33" i="8" s="1"/>
  <c r="L35" i="8"/>
  <c r="Q23" i="8"/>
  <c r="Q22" i="8"/>
  <c r="Q20" i="8"/>
  <c r="Q19" i="8"/>
  <c r="Q17" i="8"/>
  <c r="Q18" i="8"/>
  <c r="T24" i="8"/>
  <c r="Q21" i="8"/>
  <c r="J30" i="8"/>
  <c r="J32" i="8"/>
  <c r="P19" i="8"/>
  <c r="P30" i="8" s="1"/>
  <c r="O19" i="8"/>
  <c r="O30" i="8" s="1"/>
  <c r="P23" i="8"/>
  <c r="P34" i="8" s="1"/>
  <c r="O23" i="8"/>
  <c r="O34" i="8" s="1"/>
  <c r="J34" i="8"/>
  <c r="P20" i="8"/>
  <c r="P31" i="8" s="1"/>
  <c r="O20" i="8"/>
  <c r="O31" i="8" s="1"/>
  <c r="P18" i="8"/>
  <c r="P29" i="8" s="1"/>
  <c r="O18" i="8"/>
  <c r="O29" i="8" s="1"/>
  <c r="J29" i="8"/>
  <c r="O17" i="8"/>
  <c r="O28" i="8" s="1"/>
  <c r="P17" i="8"/>
  <c r="P28" i="8" s="1"/>
  <c r="O21" i="8"/>
  <c r="O32" i="8" s="1"/>
  <c r="P21" i="8"/>
  <c r="P32" i="8" s="1"/>
  <c r="N34" i="8" l="1"/>
  <c r="N29" i="8"/>
  <c r="Y54" i="8"/>
  <c r="Y49" i="8"/>
  <c r="X54" i="8"/>
  <c r="X59" i="8" s="1"/>
  <c r="X49" i="8"/>
  <c r="W57" i="8"/>
  <c r="M29" i="8"/>
  <c r="N32" i="8"/>
  <c r="M34" i="8"/>
  <c r="W55" i="8"/>
  <c r="M32" i="8"/>
  <c r="W56" i="8"/>
  <c r="W52" i="8"/>
  <c r="N31" i="8"/>
  <c r="M30" i="8"/>
  <c r="R41" i="8"/>
  <c r="R52" i="8" s="1"/>
  <c r="S41" i="8"/>
  <c r="S52" i="8" s="1"/>
  <c r="W58" i="8"/>
  <c r="S44" i="8"/>
  <c r="S55" i="8" s="1"/>
  <c r="R44" i="8"/>
  <c r="R55" i="8" s="1"/>
  <c r="M33" i="8"/>
  <c r="Y59" i="8"/>
  <c r="P35" i="8"/>
  <c r="R18" i="8"/>
  <c r="R29" i="8" s="1"/>
  <c r="S18" i="8"/>
  <c r="S29" i="8" s="1"/>
  <c r="R22" i="8"/>
  <c r="R33" i="8" s="1"/>
  <c r="S22" i="8"/>
  <c r="S33" i="8" s="1"/>
  <c r="O35" i="8"/>
  <c r="N28" i="8"/>
  <c r="S17" i="8"/>
  <c r="S28" i="8" s="1"/>
  <c r="R17" i="8"/>
  <c r="R28" i="8" s="1"/>
  <c r="S23" i="8"/>
  <c r="S34" i="8" s="1"/>
  <c r="R23" i="8"/>
  <c r="R34" i="8" s="1"/>
  <c r="M28" i="8"/>
  <c r="Z41" i="8" s="1"/>
  <c r="J35" i="8"/>
  <c r="M35" i="8" s="1"/>
  <c r="T20" i="8"/>
  <c r="T23" i="8"/>
  <c r="T19" i="8"/>
  <c r="W24" i="8"/>
  <c r="T22" i="8"/>
  <c r="T21" i="8"/>
  <c r="T18" i="8"/>
  <c r="T17" i="8"/>
  <c r="S20" i="8"/>
  <c r="S31" i="8" s="1"/>
  <c r="R20" i="8"/>
  <c r="R31" i="8" s="1"/>
  <c r="N33" i="8"/>
  <c r="N30" i="8"/>
  <c r="S21" i="8"/>
  <c r="S32" i="8" s="1"/>
  <c r="R21" i="8"/>
  <c r="R32" i="8" s="1"/>
  <c r="S19" i="8"/>
  <c r="S30" i="8" s="1"/>
  <c r="R19" i="8"/>
  <c r="R30" i="8" s="1"/>
  <c r="Q34" i="8" l="1"/>
  <c r="Q32" i="8"/>
  <c r="Q31" i="8"/>
  <c r="W54" i="8"/>
  <c r="W59" i="8"/>
  <c r="Q55" i="8"/>
  <c r="Q52" i="8"/>
  <c r="R45" i="8"/>
  <c r="R56" i="8" s="1"/>
  <c r="S45" i="8"/>
  <c r="S56" i="8" s="1"/>
  <c r="AB59" i="8"/>
  <c r="AA41" i="8"/>
  <c r="AA52" i="8" s="1"/>
  <c r="AC41" i="8"/>
  <c r="Q33" i="8"/>
  <c r="R43" i="8"/>
  <c r="R54" i="8" s="1"/>
  <c r="S43" i="8"/>
  <c r="S54" i="8" s="1"/>
  <c r="R46" i="8"/>
  <c r="R57" i="8" s="1"/>
  <c r="S46" i="8"/>
  <c r="S57" i="8" s="1"/>
  <c r="S42" i="8"/>
  <c r="S53" i="8" s="1"/>
  <c r="R42" i="8"/>
  <c r="R53" i="8" s="1"/>
  <c r="Q53" i="8" s="1"/>
  <c r="R47" i="8"/>
  <c r="R58" i="8" s="1"/>
  <c r="S47" i="8"/>
  <c r="S58" i="8" s="1"/>
  <c r="V18" i="8"/>
  <c r="V29" i="8" s="1"/>
  <c r="U18" i="8"/>
  <c r="U29" i="8" s="1"/>
  <c r="T29" i="8" s="1"/>
  <c r="V19" i="8"/>
  <c r="V30" i="8" s="1"/>
  <c r="U19" i="8"/>
  <c r="U30" i="8" s="1"/>
  <c r="U23" i="8"/>
  <c r="U34" i="8" s="1"/>
  <c r="V23" i="8"/>
  <c r="V34" i="8" s="1"/>
  <c r="N35" i="8"/>
  <c r="V22" i="8"/>
  <c r="V33" i="8" s="1"/>
  <c r="U22" i="8"/>
  <c r="U33" i="8" s="1"/>
  <c r="U20" i="8"/>
  <c r="U31" i="8" s="1"/>
  <c r="V20" i="8"/>
  <c r="V31" i="8" s="1"/>
  <c r="Q29" i="8"/>
  <c r="S35" i="8"/>
  <c r="V21" i="8"/>
  <c r="V32" i="8" s="1"/>
  <c r="U21" i="8"/>
  <c r="U32" i="8" s="1"/>
  <c r="Q30" i="8"/>
  <c r="U17" i="8"/>
  <c r="U28" i="8" s="1"/>
  <c r="V17" i="8"/>
  <c r="V28" i="8" s="1"/>
  <c r="W21" i="8"/>
  <c r="Z24" i="8"/>
  <c r="W20" i="8"/>
  <c r="W22" i="8"/>
  <c r="W17" i="8"/>
  <c r="W18" i="8"/>
  <c r="W23" i="8"/>
  <c r="W19" i="8"/>
  <c r="R35" i="8"/>
  <c r="Q28" i="8"/>
  <c r="T32" i="8" l="1"/>
  <c r="S59" i="8"/>
  <c r="Q58" i="8"/>
  <c r="Q57" i="8"/>
  <c r="Q56" i="8"/>
  <c r="Z52" i="8"/>
  <c r="AC52" i="8" s="1"/>
  <c r="AA59" i="8"/>
  <c r="R59" i="8"/>
  <c r="Q35" i="8"/>
  <c r="T30" i="8"/>
  <c r="Q54" i="8"/>
  <c r="Z22" i="8"/>
  <c r="Z21" i="8"/>
  <c r="Z18" i="8"/>
  <c r="Z19" i="8"/>
  <c r="Z17" i="8"/>
  <c r="Z23" i="8"/>
  <c r="Z20" i="8"/>
  <c r="X21" i="8"/>
  <c r="X32" i="8" s="1"/>
  <c r="Y21" i="8"/>
  <c r="Y32" i="8" s="1"/>
  <c r="X19" i="8"/>
  <c r="X30" i="8" s="1"/>
  <c r="Y19" i="8"/>
  <c r="Y30" i="8" s="1"/>
  <c r="Y22" i="8"/>
  <c r="Y33" i="8" s="1"/>
  <c r="X22" i="8"/>
  <c r="X33" i="8" s="1"/>
  <c r="T31" i="8"/>
  <c r="Y18" i="8"/>
  <c r="Y29" i="8" s="1"/>
  <c r="X18" i="8"/>
  <c r="X29" i="8" s="1"/>
  <c r="Y17" i="8"/>
  <c r="Y28" i="8" s="1"/>
  <c r="X17" i="8"/>
  <c r="X28" i="8" s="1"/>
  <c r="V35" i="8"/>
  <c r="Y23" i="8"/>
  <c r="Y34" i="8" s="1"/>
  <c r="X23" i="8"/>
  <c r="X34" i="8" s="1"/>
  <c r="X20" i="8"/>
  <c r="X31" i="8" s="1"/>
  <c r="Y20" i="8"/>
  <c r="Y31" i="8" s="1"/>
  <c r="U35" i="8"/>
  <c r="T28" i="8"/>
  <c r="T33" i="8"/>
  <c r="T34" i="8"/>
  <c r="W32" i="8" l="1"/>
  <c r="H48" i="8"/>
  <c r="H59" i="8" s="1"/>
  <c r="W29" i="8"/>
  <c r="Q59" i="8"/>
  <c r="Z59" i="8"/>
  <c r="AC59" i="8" s="1"/>
  <c r="AB20" i="8"/>
  <c r="AB31" i="8" s="1"/>
  <c r="AA20" i="8"/>
  <c r="AA31" i="8" s="1"/>
  <c r="AC20" i="8"/>
  <c r="W31" i="8"/>
  <c r="X35" i="8"/>
  <c r="W28" i="8"/>
  <c r="W30" i="8"/>
  <c r="AC23" i="8"/>
  <c r="AB23" i="8"/>
  <c r="AB34" i="8" s="1"/>
  <c r="AA23" i="8"/>
  <c r="AA34" i="8" s="1"/>
  <c r="Z34" i="8" s="1"/>
  <c r="AC34" i="8" s="1"/>
  <c r="AA21" i="8"/>
  <c r="AA32" i="8" s="1"/>
  <c r="AB21" i="8"/>
  <c r="AC21" i="8"/>
  <c r="AB19" i="8"/>
  <c r="AB30" i="8" s="1"/>
  <c r="AA19" i="8"/>
  <c r="AA30" i="8" s="1"/>
  <c r="AC19" i="8"/>
  <c r="AB18" i="8"/>
  <c r="AB29" i="8" s="1"/>
  <c r="AC18" i="8"/>
  <c r="AA18" i="8"/>
  <c r="AA29" i="8" s="1"/>
  <c r="T35" i="8"/>
  <c r="W34" i="8"/>
  <c r="Y35" i="8"/>
  <c r="W33" i="8"/>
  <c r="AA17" i="8"/>
  <c r="AA28" i="8" s="1"/>
  <c r="AC17" i="8"/>
  <c r="AB17" i="8"/>
  <c r="AC22" i="8"/>
  <c r="AA22" i="8"/>
  <c r="AA33" i="8" s="1"/>
  <c r="AB22" i="8"/>
  <c r="AB33" i="8" s="1"/>
  <c r="Z31" i="8" l="1"/>
  <c r="AC31" i="8" s="1"/>
  <c r="Z33" i="8"/>
  <c r="AC33" i="8" s="1"/>
  <c r="Z29" i="8"/>
  <c r="AC29" i="8" s="1"/>
  <c r="Z30" i="8"/>
  <c r="AC30" i="8" s="1"/>
  <c r="AA35" i="8"/>
  <c r="Y3" i="8"/>
  <c r="Y4" i="8" s="1"/>
  <c r="AB32" i="8"/>
  <c r="Z32" i="8" s="1"/>
  <c r="AC32" i="8" s="1"/>
  <c r="W35" i="8"/>
  <c r="X3" i="8"/>
  <c r="X4" i="8" s="1"/>
  <c r="AB28" i="8"/>
  <c r="AB35" i="8" l="1"/>
  <c r="Z28" i="8"/>
  <c r="AC28" i="8" l="1"/>
  <c r="AF28" i="8" s="1"/>
  <c r="AG28" i="8" s="1"/>
  <c r="AH28" i="8" s="1"/>
  <c r="Z35" i="8"/>
  <c r="AC35" i="8" s="1"/>
  <c r="E24" i="7" l="1"/>
  <c r="C24" i="7"/>
  <c r="C23" i="7"/>
  <c r="C22" i="7"/>
  <c r="C21" i="7"/>
  <c r="C20" i="7"/>
  <c r="C19" i="7"/>
  <c r="C18" i="7"/>
  <c r="C17" i="7"/>
  <c r="Y10" i="7"/>
  <c r="X7" i="7"/>
  <c r="Y7" i="7" s="1"/>
  <c r="H24" i="7" s="1"/>
  <c r="H35" i="7" s="1"/>
  <c r="D17" i="7"/>
  <c r="D24" i="7" s="1"/>
  <c r="AB16" i="7"/>
  <c r="AA16" i="7" s="1"/>
  <c r="X16" i="7"/>
  <c r="U16" i="7"/>
  <c r="R16" i="7"/>
  <c r="O16" i="7"/>
  <c r="K16" i="7"/>
  <c r="M10" i="7"/>
  <c r="L10" i="7"/>
  <c r="K10" i="7"/>
  <c r="J10" i="7"/>
  <c r="M9" i="7"/>
  <c r="L9" i="7"/>
  <c r="K9" i="7"/>
  <c r="J9" i="7"/>
  <c r="M8" i="7"/>
  <c r="L8" i="7"/>
  <c r="K8" i="7"/>
  <c r="J8" i="7"/>
  <c r="M7" i="7"/>
  <c r="L7" i="7"/>
  <c r="K7" i="7"/>
  <c r="J7" i="7"/>
  <c r="M6" i="7"/>
  <c r="L6" i="7"/>
  <c r="K6" i="7"/>
  <c r="J6" i="7"/>
  <c r="M5" i="7"/>
  <c r="L5" i="7"/>
  <c r="K5" i="7"/>
  <c r="J5" i="7"/>
  <c r="I10" i="7"/>
  <c r="H10" i="7"/>
  <c r="I9" i="7"/>
  <c r="H9" i="7"/>
  <c r="I8" i="7"/>
  <c r="H8" i="7"/>
  <c r="I7" i="7"/>
  <c r="H7" i="7"/>
  <c r="I6" i="7"/>
  <c r="H6" i="7"/>
  <c r="I5" i="7"/>
  <c r="H5" i="7"/>
  <c r="G10" i="7"/>
  <c r="G9" i="7"/>
  <c r="G8" i="7"/>
  <c r="G7" i="7"/>
  <c r="G6" i="7"/>
  <c r="G5" i="7"/>
  <c r="H34" i="7"/>
  <c r="H33" i="7"/>
  <c r="H32" i="7"/>
  <c r="H31" i="7"/>
  <c r="H30" i="7"/>
  <c r="H29" i="7"/>
  <c r="H28" i="7"/>
  <c r="X11" i="7"/>
  <c r="X12" i="7" s="1"/>
  <c r="Y12" i="7" s="1"/>
  <c r="F10" i="7"/>
  <c r="E10" i="7"/>
  <c r="D10" i="7"/>
  <c r="Q9" i="7"/>
  <c r="F9" i="7"/>
  <c r="E9" i="7"/>
  <c r="D9" i="7"/>
  <c r="S8" i="7"/>
  <c r="F8" i="7"/>
  <c r="E8" i="7"/>
  <c r="D8" i="7"/>
  <c r="AO7" i="7"/>
  <c r="AQ9" i="7" s="1"/>
  <c r="AO11" i="7" s="1"/>
  <c r="AN7" i="7"/>
  <c r="AP9" i="7" s="1"/>
  <c r="AN11" i="7" s="1"/>
  <c r="AM7" i="7"/>
  <c r="AO9" i="7" s="1"/>
  <c r="AM11" i="7" s="1"/>
  <c r="F7" i="7"/>
  <c r="E7" i="7"/>
  <c r="D7" i="7"/>
  <c r="F6" i="7"/>
  <c r="E6" i="7"/>
  <c r="D6" i="7"/>
  <c r="T5" i="7"/>
  <c r="F5" i="7"/>
  <c r="E5" i="7"/>
  <c r="D5" i="7"/>
  <c r="S4" i="7"/>
  <c r="T4" i="7" s="1"/>
  <c r="Y11" i="7" l="1"/>
  <c r="D22" i="7"/>
  <c r="D33" i="7" s="1"/>
  <c r="D19" i="7"/>
  <c r="C30" i="7" s="1"/>
  <c r="D23" i="7"/>
  <c r="D20" i="7"/>
  <c r="C31" i="7" s="1"/>
  <c r="D18" i="7"/>
  <c r="D21" i="7"/>
  <c r="D32" i="7" s="1"/>
  <c r="F24" i="7"/>
  <c r="G24" i="7" s="1"/>
  <c r="E18" i="7"/>
  <c r="E17" i="7"/>
  <c r="D35" i="7"/>
  <c r="D28" i="7"/>
  <c r="C29" i="7"/>
  <c r="C35" i="7"/>
  <c r="J24" i="7" l="1"/>
  <c r="G23" i="7"/>
  <c r="G19" i="7"/>
  <c r="G22" i="7"/>
  <c r="G18" i="7"/>
  <c r="G17" i="7"/>
  <c r="G21" i="7"/>
  <c r="G20" i="7"/>
  <c r="C33" i="7"/>
  <c r="F17" i="7"/>
  <c r="F28" i="7" s="1"/>
  <c r="D29" i="7"/>
  <c r="E23" i="7"/>
  <c r="E34" i="7" s="1"/>
  <c r="E28" i="7"/>
  <c r="D31" i="7"/>
  <c r="E19" i="7"/>
  <c r="E30" i="7" s="1"/>
  <c r="E21" i="7"/>
  <c r="E32" i="7" s="1"/>
  <c r="E35" i="7"/>
  <c r="C32" i="7"/>
  <c r="D30" i="7"/>
  <c r="E29" i="7"/>
  <c r="E22" i="7"/>
  <c r="E33" i="7" s="1"/>
  <c r="E20" i="7"/>
  <c r="E31" i="7" s="1"/>
  <c r="D34" i="7"/>
  <c r="C34" i="7"/>
  <c r="F21" i="7"/>
  <c r="F32" i="7" s="1"/>
  <c r="F35" i="7"/>
  <c r="F22" i="7"/>
  <c r="F33" i="7" s="1"/>
  <c r="F19" i="7"/>
  <c r="F30" i="7" s="1"/>
  <c r="F23" i="7"/>
  <c r="F34" i="7" s="1"/>
  <c r="F20" i="7"/>
  <c r="F31" i="7" s="1"/>
  <c r="F18" i="7"/>
  <c r="F29" i="7" s="1"/>
  <c r="I24" i="7" a="1"/>
  <c r="I24" i="7" s="1"/>
  <c r="I35" i="7" l="1" a="1"/>
  <c r="I35" i="7" s="1"/>
  <c r="J22" i="7"/>
  <c r="L22" i="7" s="1"/>
  <c r="J18" i="7"/>
  <c r="N24" i="7"/>
  <c r="J17" i="7"/>
  <c r="L17" i="7" s="1"/>
  <c r="J21" i="7"/>
  <c r="L21" i="7" s="1"/>
  <c r="J23" i="7"/>
  <c r="L23" i="7" s="1"/>
  <c r="J20" i="7"/>
  <c r="L20" i="7" s="1"/>
  <c r="J19" i="7"/>
  <c r="L19" i="7" s="1"/>
  <c r="L30" i="7" s="1"/>
  <c r="G34" i="7"/>
  <c r="G33" i="7"/>
  <c r="G29" i="7"/>
  <c r="G31" i="7"/>
  <c r="G28" i="7"/>
  <c r="G35" i="7"/>
  <c r="G32" i="7"/>
  <c r="G30" i="7"/>
  <c r="L18" i="7" l="1"/>
  <c r="L29" i="7" s="1"/>
  <c r="M18" i="7"/>
  <c r="N17" i="7"/>
  <c r="Q24" i="7"/>
  <c r="M24" i="7"/>
  <c r="T24" i="7" l="1"/>
  <c r="Q17" i="7"/>
  <c r="N23" i="7"/>
  <c r="P23" i="7" s="1"/>
  <c r="N19" i="7"/>
  <c r="P19" i="7" s="1"/>
  <c r="N22" i="7"/>
  <c r="P22" i="7" s="1"/>
  <c r="N18" i="7"/>
  <c r="P18" i="7" s="1"/>
  <c r="P29" i="7" s="1"/>
  <c r="N21" i="7"/>
  <c r="P21" i="7" s="1"/>
  <c r="P17" i="7"/>
  <c r="P28" i="7" s="1"/>
  <c r="N20" i="7"/>
  <c r="P20" i="7" s="1"/>
  <c r="L34" i="7"/>
  <c r="L33" i="7"/>
  <c r="L32" i="7"/>
  <c r="L31" i="7"/>
  <c r="M19" i="7"/>
  <c r="K19" i="7"/>
  <c r="K30" i="7" s="1"/>
  <c r="M20" i="7"/>
  <c r="K20" i="7"/>
  <c r="K31" i="7" s="1"/>
  <c r="K21" i="7"/>
  <c r="K32" i="7" s="1"/>
  <c r="M21" i="7"/>
  <c r="M23" i="7"/>
  <c r="K23" i="7"/>
  <c r="K34" i="7" s="1"/>
  <c r="K18" i="7"/>
  <c r="K29" i="7" s="1"/>
  <c r="K22" i="7"/>
  <c r="K33" i="7" s="1"/>
  <c r="M22" i="7"/>
  <c r="O20" i="7"/>
  <c r="O21" i="7"/>
  <c r="O22" i="7"/>
  <c r="M17" i="7"/>
  <c r="K17" i="7"/>
  <c r="K28" i="7" s="1"/>
  <c r="O23" i="7" l="1"/>
  <c r="O19" i="7"/>
  <c r="T17" i="7"/>
  <c r="W24" i="7"/>
  <c r="O17" i="7"/>
  <c r="O28" i="7" s="1"/>
  <c r="O18" i="7"/>
  <c r="O29" i="7" s="1"/>
  <c r="Q22" i="7"/>
  <c r="Q18" i="7"/>
  <c r="Q21" i="7"/>
  <c r="R17" i="7"/>
  <c r="Q20" i="7"/>
  <c r="Q23" i="7"/>
  <c r="Q19" i="7"/>
  <c r="L35" i="7"/>
  <c r="O32" i="7"/>
  <c r="O31" i="7"/>
  <c r="O34" i="7"/>
  <c r="J29" i="7"/>
  <c r="M29" i="7" s="1"/>
  <c r="P34" i="7"/>
  <c r="P32" i="7"/>
  <c r="J32" i="7"/>
  <c r="M32" i="7" s="1"/>
  <c r="O30" i="7"/>
  <c r="P33" i="7"/>
  <c r="J33" i="7"/>
  <c r="M33" i="7" s="1"/>
  <c r="J30" i="7"/>
  <c r="M30" i="7" s="1"/>
  <c r="P30" i="7"/>
  <c r="L28" i="7"/>
  <c r="J28" i="7" s="1"/>
  <c r="M28" i="7" s="1"/>
  <c r="J34" i="7"/>
  <c r="M34" i="7" s="1"/>
  <c r="K35" i="7"/>
  <c r="O33" i="7"/>
  <c r="P31" i="7"/>
  <c r="J31" i="7"/>
  <c r="M31" i="7" s="1"/>
  <c r="Z24" i="7" l="1"/>
  <c r="W17" i="7"/>
  <c r="T21" i="7"/>
  <c r="T18" i="7"/>
  <c r="T20" i="7"/>
  <c r="T22" i="7"/>
  <c r="T19" i="7"/>
  <c r="T23" i="7"/>
  <c r="S17" i="7"/>
  <c r="S28" i="7" s="1"/>
  <c r="R19" i="7"/>
  <c r="R30" i="7" s="1"/>
  <c r="S19" i="7"/>
  <c r="S30" i="7" s="1"/>
  <c r="R22" i="7"/>
  <c r="R33" i="7" s="1"/>
  <c r="S22" i="7"/>
  <c r="S33" i="7" s="1"/>
  <c r="R21" i="7"/>
  <c r="R32" i="7" s="1"/>
  <c r="S21" i="7"/>
  <c r="S32" i="7" s="1"/>
  <c r="R20" i="7"/>
  <c r="R31" i="7" s="1"/>
  <c r="S20" i="7"/>
  <c r="S31" i="7" s="1"/>
  <c r="R23" i="7"/>
  <c r="R34" i="7" s="1"/>
  <c r="S23" i="7"/>
  <c r="S34" i="7" s="1"/>
  <c r="R18" i="7"/>
  <c r="R29" i="7" s="1"/>
  <c r="S18" i="7"/>
  <c r="S29" i="7" s="1"/>
  <c r="N33" i="7"/>
  <c r="N31" i="7"/>
  <c r="P35" i="7"/>
  <c r="O35" i="7"/>
  <c r="N28" i="7"/>
  <c r="J35" i="7"/>
  <c r="M35" i="7" s="1"/>
  <c r="N29" i="7"/>
  <c r="N30" i="7"/>
  <c r="N34" i="7"/>
  <c r="R28" i="7"/>
  <c r="N32" i="7"/>
  <c r="Z17" i="7" l="1"/>
  <c r="Z18" i="7"/>
  <c r="AC18" i="7" s="1"/>
  <c r="Q33" i="7"/>
  <c r="Q31" i="7"/>
  <c r="S35" i="7"/>
  <c r="Q32" i="7"/>
  <c r="Q34" i="7"/>
  <c r="N35" i="7"/>
  <c r="R35" i="7"/>
  <c r="Q28" i="7"/>
  <c r="Q29" i="7"/>
  <c r="Q30" i="7"/>
  <c r="Q35" i="7" l="1"/>
  <c r="H22" i="6" l="1"/>
  <c r="AB26" i="6"/>
  <c r="R7" i="6"/>
  <c r="AB14" i="6"/>
  <c r="C15" i="6"/>
  <c r="H32" i="6"/>
  <c r="H31" i="6"/>
  <c r="H30" i="6"/>
  <c r="H29" i="6"/>
  <c r="H28" i="6"/>
  <c r="H27" i="6"/>
  <c r="H26" i="6"/>
  <c r="M8" i="6"/>
  <c r="K9" i="6"/>
  <c r="L9" i="6"/>
  <c r="M4" i="6"/>
  <c r="N4" i="6" s="1"/>
  <c r="N5" i="6"/>
  <c r="E26" i="6"/>
  <c r="E5" i="6"/>
  <c r="E6" i="6"/>
  <c r="E7" i="6"/>
  <c r="E8" i="6"/>
  <c r="E9" i="6"/>
  <c r="E10" i="6"/>
  <c r="D22" i="6"/>
  <c r="E22" i="6" s="1"/>
  <c r="D10" i="6"/>
  <c r="D9" i="6"/>
  <c r="D8" i="6"/>
  <c r="D7" i="6"/>
  <c r="D6" i="6"/>
  <c r="D5" i="6"/>
  <c r="D16" i="6" l="1"/>
  <c r="C22" i="6"/>
  <c r="E21" i="6"/>
  <c r="E32" i="6" s="1"/>
  <c r="E17" i="6"/>
  <c r="E28" i="6" s="1"/>
  <c r="E33" i="6"/>
  <c r="F22" i="6"/>
  <c r="E20" i="6"/>
  <c r="E16" i="6"/>
  <c r="E18" i="6"/>
  <c r="E29" i="6" s="1"/>
  <c r="E19" i="6"/>
  <c r="E30" i="6" s="1"/>
  <c r="D17" i="6"/>
  <c r="C17" i="6" s="1"/>
  <c r="E31" i="6"/>
  <c r="D19" i="6"/>
  <c r="C19" i="6" s="1"/>
  <c r="D20" i="6"/>
  <c r="C20" i="6" s="1"/>
  <c r="D21" i="6"/>
  <c r="C21" i="6" s="1"/>
  <c r="E27" i="6"/>
  <c r="D18" i="6"/>
  <c r="C18" i="6" s="1"/>
  <c r="I22" i="6" l="1" a="1"/>
  <c r="I22" i="6" s="1"/>
  <c r="C16" i="6"/>
  <c r="G22" i="6"/>
  <c r="J22" i="6" s="1"/>
  <c r="F15" i="6"/>
  <c r="F26" i="6" s="1"/>
  <c r="G33" i="6"/>
  <c r="J15" i="6" l="1"/>
  <c r="K15" i="6" s="1"/>
  <c r="K26" i="6" s="1"/>
  <c r="N22" i="6"/>
  <c r="G15" i="6"/>
  <c r="G26" i="6" s="1"/>
  <c r="Q22" i="6" l="1"/>
  <c r="N15" i="6"/>
  <c r="O15" i="6" s="1"/>
  <c r="T22" i="6" l="1"/>
  <c r="Q15" i="6"/>
  <c r="R15" i="6" s="1"/>
  <c r="W22" i="6" l="1"/>
  <c r="T15" i="6"/>
  <c r="S15" i="6"/>
  <c r="S26" i="6" s="1"/>
  <c r="V15" i="6" l="1"/>
  <c r="V26" i="6" s="1"/>
  <c r="U15" i="6"/>
  <c r="U26" i="6" s="1"/>
  <c r="Z22" i="6"/>
  <c r="W15" i="6"/>
  <c r="Z15" i="6" l="1"/>
  <c r="Y15" i="6"/>
  <c r="Y26" i="6" s="1"/>
  <c r="X15" i="6"/>
  <c r="AA15" i="6" l="1"/>
  <c r="AA26" i="6" s="1"/>
  <c r="AC15" i="6"/>
  <c r="X26" i="6"/>
  <c r="AB15" i="6"/>
  <c r="R3" i="6" l="1"/>
  <c r="D26" i="6" l="1"/>
  <c r="O62" i="1"/>
  <c r="O59" i="1"/>
  <c r="O45" i="1"/>
  <c r="O41" i="1"/>
  <c r="O34" i="1"/>
  <c r="O27" i="1"/>
  <c r="O20" i="1"/>
  <c r="O14" i="1"/>
  <c r="C44" i="6"/>
  <c r="C26" i="6"/>
  <c r="E69" i="6"/>
  <c r="E67" i="6"/>
  <c r="E66" i="6"/>
  <c r="E65" i="6"/>
  <c r="E64" i="6"/>
  <c r="E63" i="6"/>
  <c r="C33" i="6"/>
  <c r="AB10" i="6"/>
  <c r="AF11" i="6" s="1"/>
  <c r="F10" i="6"/>
  <c r="F9" i="6"/>
  <c r="F8" i="6"/>
  <c r="AI7" i="6"/>
  <c r="AK9" i="6" s="1"/>
  <c r="AO11" i="6" s="1"/>
  <c r="AH7" i="6"/>
  <c r="AJ9" i="6" s="1"/>
  <c r="AN11" i="6" s="1"/>
  <c r="AG7" i="6"/>
  <c r="AI9" i="6" s="1"/>
  <c r="AM11" i="6" s="1"/>
  <c r="F7" i="6"/>
  <c r="F6" i="6"/>
  <c r="F5" i="6"/>
  <c r="A47" i="3"/>
  <c r="A43" i="3"/>
  <c r="E39" i="3"/>
  <c r="E38" i="3"/>
  <c r="E37" i="3"/>
  <c r="E36" i="3"/>
  <c r="E35" i="3"/>
  <c r="E34" i="3"/>
  <c r="E33" i="3"/>
  <c r="A27" i="3"/>
  <c r="A22" i="3"/>
  <c r="A14" i="3"/>
  <c r="A6" i="3"/>
  <c r="B7" i="2"/>
  <c r="C7" i="2"/>
  <c r="E51" i="1"/>
  <c r="E52" i="1"/>
  <c r="E53" i="1"/>
  <c r="E54" i="1"/>
  <c r="E55" i="1"/>
  <c r="E56" i="1"/>
  <c r="E50" i="3" l="1"/>
  <c r="F50" i="3" s="1"/>
  <c r="F18" i="3"/>
  <c r="F43" i="3"/>
  <c r="F49" i="3"/>
  <c r="F31" i="3"/>
  <c r="J20" i="6"/>
  <c r="N20" i="6"/>
  <c r="O20" i="6" s="1"/>
  <c r="S20" i="6" s="1"/>
  <c r="S31" i="6" s="1"/>
  <c r="Q20" i="6"/>
  <c r="R20" i="6" s="1"/>
  <c r="T20" i="6"/>
  <c r="U20" i="6" s="1"/>
  <c r="W20" i="6"/>
  <c r="X20" i="6" s="1"/>
  <c r="Z20" i="6"/>
  <c r="J16" i="6"/>
  <c r="N16" i="6"/>
  <c r="O16" i="6" s="1"/>
  <c r="S16" i="6" s="1"/>
  <c r="S27" i="6" s="1"/>
  <c r="Q16" i="6"/>
  <c r="R16" i="6" s="1"/>
  <c r="T16" i="6"/>
  <c r="U16" i="6" s="1"/>
  <c r="W16" i="6"/>
  <c r="X16" i="6" s="1"/>
  <c r="Z16" i="6"/>
  <c r="J17" i="6"/>
  <c r="N17" i="6"/>
  <c r="O17" i="6" s="1"/>
  <c r="Q17" i="6"/>
  <c r="R17" i="6" s="1"/>
  <c r="T17" i="6"/>
  <c r="U17" i="6" s="1"/>
  <c r="W17" i="6"/>
  <c r="X17" i="6" s="1"/>
  <c r="Z17" i="6"/>
  <c r="J21" i="6"/>
  <c r="N21" i="6"/>
  <c r="O21" i="6" s="1"/>
  <c r="S21" i="6" s="1"/>
  <c r="S32" i="6" s="1"/>
  <c r="Q21" i="6"/>
  <c r="R21" i="6" s="1"/>
  <c r="V21" i="6" s="1"/>
  <c r="V32" i="6" s="1"/>
  <c r="T21" i="6"/>
  <c r="U21" i="6" s="1"/>
  <c r="W21" i="6"/>
  <c r="X21" i="6" s="1"/>
  <c r="Z21" i="6"/>
  <c r="J18" i="6"/>
  <c r="N18" i="6"/>
  <c r="O18" i="6" s="1"/>
  <c r="Q18" i="6"/>
  <c r="R18" i="6" s="1"/>
  <c r="T18" i="6"/>
  <c r="U18" i="6" s="1"/>
  <c r="W18" i="6"/>
  <c r="X18" i="6" s="1"/>
  <c r="Z18" i="6"/>
  <c r="J19" i="6"/>
  <c r="N19" i="6"/>
  <c r="O19" i="6" s="1"/>
  <c r="Q19" i="6"/>
  <c r="R19" i="6" s="1"/>
  <c r="V19" i="6" s="1"/>
  <c r="V30" i="6" s="1"/>
  <c r="T19" i="6"/>
  <c r="U19" i="6" s="1"/>
  <c r="W19" i="6"/>
  <c r="X19" i="6" s="1"/>
  <c r="Z19" i="6"/>
  <c r="F16" i="6"/>
  <c r="G16" i="6"/>
  <c r="G20" i="6"/>
  <c r="G31" i="6" s="1"/>
  <c r="G18" i="6"/>
  <c r="G29" i="6" s="1"/>
  <c r="K18" i="6"/>
  <c r="G19" i="6"/>
  <c r="G30" i="6" s="1"/>
  <c r="G17" i="6"/>
  <c r="G21" i="6"/>
  <c r="G32" i="6" s="1"/>
  <c r="G28" i="6"/>
  <c r="H33" i="6"/>
  <c r="G27" i="6"/>
  <c r="D33" i="6"/>
  <c r="S7" i="6"/>
  <c r="F42" i="3"/>
  <c r="F44" i="3"/>
  <c r="F26" i="3"/>
  <c r="F13" i="3"/>
  <c r="F46" i="3"/>
  <c r="F15" i="3"/>
  <c r="F17" i="3"/>
  <c r="F28" i="3"/>
  <c r="F30" i="3"/>
  <c r="F48" i="3"/>
  <c r="F14" i="3"/>
  <c r="F16" i="3"/>
  <c r="F27" i="3"/>
  <c r="F29" i="3"/>
  <c r="K29" i="3" l="1"/>
  <c r="I7" i="3"/>
  <c r="K7" i="3" s="1"/>
  <c r="K15" i="3"/>
  <c r="K46" i="3"/>
  <c r="K44" i="3"/>
  <c r="I23" i="3"/>
  <c r="K23" i="3" s="1"/>
  <c r="K27" i="3"/>
  <c r="I5" i="3"/>
  <c r="K5" i="3" s="1"/>
  <c r="K28" i="3"/>
  <c r="I10" i="3"/>
  <c r="K10" i="3" s="1"/>
  <c r="K42" i="3"/>
  <c r="K31" i="3"/>
  <c r="K18" i="3"/>
  <c r="K16" i="3"/>
  <c r="I4" i="3"/>
  <c r="K4" i="3" s="1"/>
  <c r="K20" i="3"/>
  <c r="M20" i="3" s="1"/>
  <c r="O20" i="3" s="1"/>
  <c r="O19" i="3" s="1"/>
  <c r="O50" i="3" s="1"/>
  <c r="C8" i="13" s="1"/>
  <c r="I8" i="3"/>
  <c r="K8" i="3" s="1"/>
  <c r="I22" i="3"/>
  <c r="K22" i="3" s="1"/>
  <c r="K26" i="3"/>
  <c r="K41" i="3"/>
  <c r="I9" i="3"/>
  <c r="K9" i="3" s="1"/>
  <c r="K47" i="3"/>
  <c r="K14" i="3"/>
  <c r="K48" i="3"/>
  <c r="K17" i="3"/>
  <c r="I6" i="3"/>
  <c r="K6" i="3" s="1"/>
  <c r="K25" i="3"/>
  <c r="K43" i="3"/>
  <c r="E51" i="3"/>
  <c r="E53" i="3"/>
  <c r="AB19" i="6"/>
  <c r="X30" i="6"/>
  <c r="V18" i="6"/>
  <c r="V29" i="6" s="1"/>
  <c r="AB21" i="6"/>
  <c r="AB32" i="6" s="1"/>
  <c r="X32" i="6"/>
  <c r="V17" i="6"/>
  <c r="V28" i="6" s="1"/>
  <c r="AA16" i="6"/>
  <c r="AA27" i="6" s="1"/>
  <c r="AC16" i="6"/>
  <c r="U31" i="6"/>
  <c r="Y20" i="6"/>
  <c r="Y31" i="6" s="1"/>
  <c r="U30" i="6"/>
  <c r="Y19" i="6"/>
  <c r="Y30" i="6" s="1"/>
  <c r="AA18" i="6"/>
  <c r="AA29" i="6" s="1"/>
  <c r="AC18" i="6"/>
  <c r="S18" i="6"/>
  <c r="S29" i="6" s="1"/>
  <c r="U32" i="6"/>
  <c r="Y21" i="6"/>
  <c r="Y32" i="6" s="1"/>
  <c r="AA17" i="6"/>
  <c r="AA28" i="6" s="1"/>
  <c r="AC17" i="6"/>
  <c r="S17" i="6"/>
  <c r="S28" i="6" s="1"/>
  <c r="AB16" i="6"/>
  <c r="AB27" i="6" s="1"/>
  <c r="X27" i="6"/>
  <c r="K16" i="6"/>
  <c r="M16" i="6"/>
  <c r="V20" i="6"/>
  <c r="V31" i="6" s="1"/>
  <c r="AB18" i="6"/>
  <c r="AB29" i="6" s="1"/>
  <c r="X29" i="6"/>
  <c r="AB17" i="6"/>
  <c r="AB28" i="6" s="1"/>
  <c r="X28" i="6"/>
  <c r="U27" i="6"/>
  <c r="U33" i="6" s="1"/>
  <c r="Y16" i="6"/>
  <c r="Y27" i="6" s="1"/>
  <c r="AA20" i="6"/>
  <c r="AA31" i="6" s="1"/>
  <c r="AC20" i="6"/>
  <c r="AA19" i="6"/>
  <c r="AA30" i="6" s="1"/>
  <c r="AC19" i="6"/>
  <c r="S19" i="6"/>
  <c r="S30" i="6" s="1"/>
  <c r="U29" i="6"/>
  <c r="Y18" i="6"/>
  <c r="Y29" i="6" s="1"/>
  <c r="AA21" i="6"/>
  <c r="AA32" i="6" s="1"/>
  <c r="AC21" i="6"/>
  <c r="U28" i="6"/>
  <c r="Y17" i="6"/>
  <c r="Y28" i="6" s="1"/>
  <c r="V16" i="6"/>
  <c r="V27" i="6" s="1"/>
  <c r="X31" i="6"/>
  <c r="AB20" i="6"/>
  <c r="AB31" i="6" s="1"/>
  <c r="K17" i="6"/>
  <c r="K28" i="6" s="1"/>
  <c r="K27" i="6"/>
  <c r="L16" i="6"/>
  <c r="F18" i="6"/>
  <c r="F21" i="6"/>
  <c r="F19" i="6"/>
  <c r="F30" i="6" s="1"/>
  <c r="F20" i="6"/>
  <c r="F17" i="6"/>
  <c r="F28" i="6" s="1"/>
  <c r="F27" i="6"/>
  <c r="L17" i="6"/>
  <c r="L28" i="6" s="1"/>
  <c r="K29" i="6"/>
  <c r="L18" i="6"/>
  <c r="L29" i="6" s="1"/>
  <c r="F33" i="6"/>
  <c r="D29" i="6"/>
  <c r="C27" i="6"/>
  <c r="D27" i="6"/>
  <c r="D31" i="6"/>
  <c r="D30" i="6"/>
  <c r="C28" i="6"/>
  <c r="D28" i="6"/>
  <c r="D32" i="6"/>
  <c r="C17" i="13" l="1"/>
  <c r="C19" i="13" s="1"/>
  <c r="C20" i="13" s="1"/>
  <c r="K24" i="3"/>
  <c r="K19" i="3"/>
  <c r="K3" i="3"/>
  <c r="K13" i="3"/>
  <c r="K11" i="3" s="1"/>
  <c r="E52" i="3"/>
  <c r="A23" i="3"/>
  <c r="A48" i="3"/>
  <c r="A15" i="3"/>
  <c r="A44" i="3"/>
  <c r="A28" i="3"/>
  <c r="A7" i="3"/>
  <c r="AA33" i="6"/>
  <c r="X33" i="6"/>
  <c r="I33" i="6" a="1"/>
  <c r="I33" i="6" s="1"/>
  <c r="AB30" i="6"/>
  <c r="S3" i="6"/>
  <c r="S4" i="6" s="1"/>
  <c r="P16" i="6"/>
  <c r="P27" i="6" s="1"/>
  <c r="L27" i="6"/>
  <c r="C32" i="6"/>
  <c r="M17" i="6"/>
  <c r="C30" i="6"/>
  <c r="C31" i="6"/>
  <c r="C29" i="6"/>
  <c r="M18" i="6"/>
  <c r="F32" i="6"/>
  <c r="F31" i="6"/>
  <c r="F29" i="6"/>
  <c r="R4" i="6"/>
  <c r="S6" i="14" l="1"/>
  <c r="S10" i="14" s="1"/>
  <c r="S12" i="14" s="1"/>
  <c r="S14" i="20" s="1"/>
  <c r="S16" i="20" s="1"/>
  <c r="S17" i="20" s="1"/>
  <c r="S18" i="20" s="1"/>
  <c r="F18" i="14"/>
  <c r="K50" i="3"/>
  <c r="J27" i="6"/>
  <c r="J28" i="6"/>
  <c r="J29" i="6"/>
  <c r="E19" i="14" l="1"/>
  <c r="F19" i="14" s="1"/>
  <c r="S4" i="14"/>
  <c r="S8" i="14"/>
  <c r="S7" i="14"/>
  <c r="S9" i="14"/>
  <c r="S5" i="14"/>
  <c r="M29" i="6"/>
  <c r="M28" i="6"/>
  <c r="L20" i="6"/>
  <c r="L31" i="6" s="1"/>
  <c r="K20" i="6"/>
  <c r="K31" i="6" s="1"/>
  <c r="M20" i="6"/>
  <c r="M27" i="6"/>
  <c r="A59" i="1"/>
  <c r="A62" i="1"/>
  <c r="A45" i="1"/>
  <c r="A41" i="1"/>
  <c r="A34" i="1"/>
  <c r="A27" i="1"/>
  <c r="A20" i="1"/>
  <c r="A14" i="1"/>
  <c r="A6" i="1"/>
  <c r="H19" i="14" l="1"/>
  <c r="L19" i="14"/>
  <c r="G19" i="14"/>
  <c r="K63" i="1"/>
  <c r="K13" i="1"/>
  <c r="K28" i="1"/>
  <c r="K8" i="1"/>
  <c r="K37" i="1"/>
  <c r="K58" i="1"/>
  <c r="K41" i="1"/>
  <c r="K19" i="1"/>
  <c r="K44" i="1"/>
  <c r="K26" i="1"/>
  <c r="K36" i="1"/>
  <c r="K15" i="1"/>
  <c r="K30" i="1"/>
  <c r="K40" i="1"/>
  <c r="K5" i="1"/>
  <c r="K33" i="1"/>
  <c r="K59" i="1"/>
  <c r="K9" i="1"/>
  <c r="K18" i="1"/>
  <c r="K49" i="1"/>
  <c r="K45" i="1"/>
  <c r="K20" i="1"/>
  <c r="K42" i="1"/>
  <c r="K48" i="1"/>
  <c r="K62" i="1"/>
  <c r="K14" i="1"/>
  <c r="K24" i="1"/>
  <c r="K4" i="1"/>
  <c r="K7" i="1"/>
  <c r="K11" i="1"/>
  <c r="K32" i="1"/>
  <c r="K23" i="1"/>
  <c r="K39" i="1"/>
  <c r="K35" i="1"/>
  <c r="K47" i="1"/>
  <c r="K57" i="1"/>
  <c r="K61" i="1"/>
  <c r="K21" i="1"/>
  <c r="K25" i="1"/>
  <c r="K29" i="1"/>
  <c r="K10" i="1"/>
  <c r="K6" i="1"/>
  <c r="K16" i="1"/>
  <c r="K12" i="1"/>
  <c r="K17" i="1"/>
  <c r="K22" i="1"/>
  <c r="K31" i="1"/>
  <c r="K27" i="1"/>
  <c r="K38" i="1"/>
  <c r="K34" i="1"/>
  <c r="K43" i="1"/>
  <c r="K46" i="1"/>
  <c r="K60" i="1"/>
  <c r="K64" i="1"/>
  <c r="K21" i="6"/>
  <c r="K32" i="6" s="1"/>
  <c r="L21" i="6"/>
  <c r="L32" i="6" s="1"/>
  <c r="M21" i="6"/>
  <c r="M22" i="6"/>
  <c r="J31" i="6"/>
  <c r="M31" i="6" s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4" i="1"/>
  <c r="J32" i="6" l="1"/>
  <c r="M32" i="6" s="1"/>
  <c r="M15" i="6"/>
  <c r="L15" i="6"/>
  <c r="E50" i="1"/>
  <c r="L26" i="6" l="1"/>
  <c r="J26" i="6" s="1"/>
  <c r="M26" i="6" s="1"/>
  <c r="P15" i="6"/>
  <c r="P26" i="6" s="1"/>
  <c r="R26" i="6"/>
  <c r="O26" i="6"/>
  <c r="M50" i="1"/>
  <c r="M65" i="1" s="1"/>
  <c r="E65" i="1"/>
  <c r="K65" i="1" l="1"/>
  <c r="E66" i="1"/>
  <c r="R27" i="6"/>
  <c r="R28" i="6"/>
  <c r="R31" i="6"/>
  <c r="R29" i="6"/>
  <c r="R32" i="6"/>
  <c r="R30" i="6"/>
  <c r="G44" i="6"/>
  <c r="A15" i="1" l="1"/>
  <c r="A21" i="1"/>
  <c r="A63" i="1"/>
  <c r="A28" i="1"/>
  <c r="A35" i="1"/>
  <c r="A42" i="1"/>
  <c r="A46" i="1"/>
  <c r="A7" i="1"/>
  <c r="A60" i="1"/>
  <c r="E56" i="3"/>
  <c r="R33" i="6"/>
  <c r="O30" i="6"/>
  <c r="P18" i="6"/>
  <c r="P29" i="6" s="1"/>
  <c r="P21" i="6"/>
  <c r="P32" i="6" s="1"/>
  <c r="P20" i="6"/>
  <c r="P31" i="6" s="1"/>
  <c r="P17" i="6"/>
  <c r="P28" i="6" s="1"/>
  <c r="N26" i="6"/>
  <c r="O32" i="6" l="1"/>
  <c r="N32" i="6" s="1"/>
  <c r="Q27" i="6"/>
  <c r="O29" i="6"/>
  <c r="N29" i="6" s="1"/>
  <c r="Q29" i="6"/>
  <c r="O31" i="6"/>
  <c r="N31" i="6" s="1"/>
  <c r="O27" i="6"/>
  <c r="N27" i="6" s="1"/>
  <c r="O28" i="6"/>
  <c r="N28" i="6" s="1"/>
  <c r="Q32" i="6"/>
  <c r="K19" i="6"/>
  <c r="K30" i="6" s="1"/>
  <c r="K33" i="6" s="1"/>
  <c r="L19" i="6"/>
  <c r="L30" i="6" s="1"/>
  <c r="M19" i="6"/>
  <c r="Q26" i="6"/>
  <c r="G46" i="6"/>
  <c r="Q31" i="6" l="1"/>
  <c r="Q28" i="6"/>
  <c r="O33" i="6"/>
  <c r="T29" i="6"/>
  <c r="L33" i="6"/>
  <c r="P19" i="6"/>
  <c r="P30" i="6" s="1"/>
  <c r="T26" i="6"/>
  <c r="T31" i="6"/>
  <c r="G47" i="6"/>
  <c r="T32" i="6" l="1"/>
  <c r="T27" i="6"/>
  <c r="T28" i="6"/>
  <c r="Z29" i="6"/>
  <c r="AC29" i="6" s="1"/>
  <c r="W29" i="6"/>
  <c r="W26" i="6"/>
  <c r="W31" i="6"/>
  <c r="Z31" i="6"/>
  <c r="AC31" i="6" s="1"/>
  <c r="Z32" i="6"/>
  <c r="AC32" i="6" s="1"/>
  <c r="W32" i="6"/>
  <c r="W28" i="6"/>
  <c r="Z28" i="6"/>
  <c r="AC28" i="6" s="1"/>
  <c r="W27" i="6"/>
  <c r="Z27" i="6"/>
  <c r="AC27" i="6" s="1"/>
  <c r="J30" i="6"/>
  <c r="P33" i="6"/>
  <c r="M30" i="6" l="1"/>
  <c r="J33" i="6"/>
  <c r="M33" i="6" s="1"/>
  <c r="S33" i="6"/>
  <c r="N30" i="6"/>
  <c r="N33" i="6" s="1"/>
  <c r="Z26" i="6"/>
  <c r="AC26" i="6" s="1"/>
  <c r="AD26" i="6" s="1"/>
  <c r="AF26" i="6" s="1"/>
  <c r="AG26" i="6" s="1"/>
  <c r="V33" i="6" l="1"/>
  <c r="Q30" i="6"/>
  <c r="Q33" i="6" s="1"/>
  <c r="Y33" i="6" l="1"/>
  <c r="T30" i="6"/>
  <c r="T33" i="6" s="1"/>
  <c r="W30" i="6" l="1"/>
  <c r="W33" i="6" s="1"/>
  <c r="Z30" i="6" l="1"/>
  <c r="AB33" i="6"/>
  <c r="Z33" i="6" l="1"/>
  <c r="AC33" i="6" s="1"/>
  <c r="AC30" i="6"/>
  <c r="U20" i="7"/>
  <c r="U31" i="7" s="1"/>
  <c r="V19" i="7"/>
  <c r="V30" i="7" s="1"/>
  <c r="V20" i="7"/>
  <c r="V31" i="7" s="1"/>
  <c r="U18" i="7"/>
  <c r="U29" i="7" s="1"/>
  <c r="U19" i="7"/>
  <c r="U30" i="7" s="1"/>
  <c r="U23" i="7"/>
  <c r="U34" i="7" s="1"/>
  <c r="V22" i="7"/>
  <c r="V33" i="7" s="1"/>
  <c r="U21" i="7"/>
  <c r="U32" i="7" s="1"/>
  <c r="W20" i="7"/>
  <c r="Y20" i="7" s="1"/>
  <c r="Y31" i="7" s="1"/>
  <c r="V17" i="7"/>
  <c r="V28" i="7" s="1"/>
  <c r="W18" i="7"/>
  <c r="T31" i="7" l="1"/>
  <c r="T30" i="7"/>
  <c r="Y18" i="7"/>
  <c r="Y29" i="7" s="1"/>
  <c r="X18" i="7"/>
  <c r="X29" i="7" s="1"/>
  <c r="V21" i="7"/>
  <c r="V32" i="7" s="1"/>
  <c r="T32" i="7" s="1"/>
  <c r="U17" i="7"/>
  <c r="U28" i="7" s="1"/>
  <c r="V23" i="7"/>
  <c r="V34" i="7" s="1"/>
  <c r="T34" i="7" s="1"/>
  <c r="W21" i="7"/>
  <c r="V18" i="7"/>
  <c r="V29" i="7" s="1"/>
  <c r="X20" i="7"/>
  <c r="X31" i="7" s="1"/>
  <c r="W31" i="7" s="1"/>
  <c r="U22" i="7"/>
  <c r="U33" i="7" s="1"/>
  <c r="T33" i="7" s="1"/>
  <c r="W23" i="7"/>
  <c r="W19" i="7"/>
  <c r="W22" i="7"/>
  <c r="W29" i="7" l="1"/>
  <c r="V35" i="7"/>
  <c r="Z19" i="7"/>
  <c r="Z22" i="7"/>
  <c r="Z21" i="7"/>
  <c r="Z20" i="7"/>
  <c r="Z23" i="7"/>
  <c r="X17" i="7"/>
  <c r="X28" i="7" s="1"/>
  <c r="Y17" i="7"/>
  <c r="Y28" i="7" s="1"/>
  <c r="X23" i="7"/>
  <c r="X34" i="7" s="1"/>
  <c r="Y23" i="7"/>
  <c r="Y34" i="7" s="1"/>
  <c r="Y21" i="7"/>
  <c r="Y32" i="7" s="1"/>
  <c r="X21" i="7"/>
  <c r="X32" i="7" s="1"/>
  <c r="Y22" i="7"/>
  <c r="Y33" i="7" s="1"/>
  <c r="X22" i="7"/>
  <c r="X33" i="7" s="1"/>
  <c r="T29" i="7"/>
  <c r="X19" i="7"/>
  <c r="X30" i="7" s="1"/>
  <c r="Y19" i="7"/>
  <c r="Y30" i="7" s="1"/>
  <c r="T28" i="7"/>
  <c r="U35" i="7"/>
  <c r="W33" i="7" l="1"/>
  <c r="W34" i="7"/>
  <c r="AB20" i="7"/>
  <c r="AB31" i="7" s="1"/>
  <c r="AC20" i="7"/>
  <c r="AA20" i="7"/>
  <c r="AA31" i="7" s="1"/>
  <c r="AB19" i="7"/>
  <c r="AB30" i="7" s="1"/>
  <c r="AA19" i="7"/>
  <c r="AA30" i="7" s="1"/>
  <c r="AC19" i="7"/>
  <c r="W28" i="7"/>
  <c r="X35" i="7"/>
  <c r="AB22" i="7"/>
  <c r="AB33" i="7" s="1"/>
  <c r="AC22" i="7"/>
  <c r="AA22" i="7"/>
  <c r="AA33" i="7" s="1"/>
  <c r="T35" i="7"/>
  <c r="AB23" i="7"/>
  <c r="AB34" i="7" s="1"/>
  <c r="AC23" i="7"/>
  <c r="AA23" i="7"/>
  <c r="AA34" i="7" s="1"/>
  <c r="AB17" i="7"/>
  <c r="AA17" i="7"/>
  <c r="AA28" i="7" s="1"/>
  <c r="AC17" i="7"/>
  <c r="W30" i="7"/>
  <c r="W32" i="7"/>
  <c r="Y35" i="7"/>
  <c r="AB21" i="7"/>
  <c r="AC21" i="7"/>
  <c r="AA21" i="7"/>
  <c r="AA32" i="7" s="1"/>
  <c r="AB18" i="7"/>
  <c r="AB29" i="7" s="1"/>
  <c r="AA18" i="7"/>
  <c r="AA29" i="7" s="1"/>
  <c r="X3" i="7" l="1"/>
  <c r="X4" i="7" s="1"/>
  <c r="Y3" i="7"/>
  <c r="Y4" i="7" s="1"/>
  <c r="Z30" i="7"/>
  <c r="AC30" i="7" s="1"/>
  <c r="Z29" i="7"/>
  <c r="AC29" i="7" s="1"/>
  <c r="Z34" i="7"/>
  <c r="AC34" i="7" s="1"/>
  <c r="Z33" i="7"/>
  <c r="AC33" i="7" s="1"/>
  <c r="Z31" i="7"/>
  <c r="AC31" i="7" s="1"/>
  <c r="W35" i="7"/>
  <c r="AB32" i="7"/>
  <c r="Z32" i="7" s="1"/>
  <c r="AC32" i="7" s="1"/>
  <c r="AA35" i="7"/>
  <c r="AB28" i="7"/>
  <c r="AB35" i="7" l="1"/>
  <c r="Z28" i="7"/>
  <c r="Z35" i="7" l="1"/>
  <c r="AC35" i="7" s="1"/>
  <c r="AC28" i="7"/>
  <c r="AF28" i="7" s="1"/>
  <c r="AG28" i="7" s="1"/>
  <c r="AH28" i="7" s="1"/>
  <c r="AG56" i="12" l="1"/>
  <c r="N23" i="11"/>
  <c r="O58" i="11" s="1"/>
  <c r="K13" i="14" s="1"/>
  <c r="N55" i="11"/>
  <c r="N58" i="11" l="1"/>
  <c r="AB32" i="3" l="1"/>
  <c r="AB38" i="3" l="1"/>
  <c r="AD38" i="3" s="1"/>
  <c r="AB34" i="3"/>
  <c r="AD34" i="3" s="1"/>
  <c r="AB37" i="3"/>
  <c r="AD37" i="3" s="1"/>
  <c r="AB39" i="3"/>
  <c r="AD39" i="3" s="1"/>
  <c r="AB35" i="3"/>
  <c r="AD35" i="3" s="1"/>
  <c r="AB36" i="3"/>
  <c r="AD36" i="3" s="1"/>
  <c r="AB33" i="3"/>
  <c r="AD33" i="3" s="1"/>
  <c r="AD32" i="3" l="1"/>
  <c r="AG32" i="3"/>
  <c r="AH63" i="12" l="1"/>
  <c r="AJ63" i="12" s="1"/>
  <c r="AG33" i="3"/>
  <c r="AG38" i="3"/>
  <c r="AI38" i="3" s="1"/>
  <c r="AG35" i="3"/>
  <c r="AI35" i="3" s="1"/>
  <c r="AG34" i="3"/>
  <c r="AI34" i="3" s="1"/>
  <c r="AG36" i="3"/>
  <c r="AI36" i="3" s="1"/>
  <c r="AG37" i="3"/>
  <c r="AI37" i="3" s="1"/>
  <c r="AG39" i="3"/>
  <c r="AI39" i="3" s="1"/>
  <c r="AH58" i="12"/>
  <c r="AJ58" i="12" s="1"/>
  <c r="AH59" i="12"/>
  <c r="AJ59" i="12" s="1"/>
  <c r="AH62" i="12"/>
  <c r="AJ62" i="12" s="1"/>
  <c r="AH57" i="12"/>
  <c r="AH61" i="12" l="1"/>
  <c r="AJ61" i="12" s="1"/>
  <c r="AH60" i="12"/>
  <c r="AJ60" i="12" s="1"/>
  <c r="AJ57" i="12"/>
  <c r="AI33" i="3"/>
  <c r="AI32" i="3" s="1"/>
  <c r="AF33" i="3"/>
  <c r="AG57" i="12" l="1"/>
  <c r="AJ56" i="12"/>
  <c r="L5" i="11"/>
  <c r="L53" i="11" s="1"/>
  <c r="L61" i="11" s="1"/>
  <c r="L17" i="11"/>
  <c r="AC43" i="12" s="1"/>
  <c r="L52" i="11" l="1"/>
  <c r="AC48" i="12"/>
  <c r="AC54" i="12" s="1"/>
  <c r="AE54" i="12" s="1"/>
  <c r="AC35" i="12"/>
  <c r="AC42" i="12" s="1"/>
  <c r="AE42" i="12" s="1"/>
  <c r="AC52" i="12"/>
  <c r="AE52" i="12" s="1"/>
  <c r="AC47" i="12"/>
  <c r="AE47" i="12" s="1"/>
  <c r="AC44" i="12"/>
  <c r="AC45" i="12"/>
  <c r="AE45" i="12" s="1"/>
  <c r="AC46" i="12"/>
  <c r="AE46" i="12" s="1"/>
  <c r="AC39" i="12"/>
  <c r="AE39" i="12" s="1"/>
  <c r="L67" i="11"/>
  <c r="AB45" i="3" s="1"/>
  <c r="L66" i="11"/>
  <c r="AB40" i="3" s="1"/>
  <c r="L62" i="11"/>
  <c r="AB3" i="3" s="1"/>
  <c r="L63" i="11"/>
  <c r="AB11" i="3" s="1"/>
  <c r="L64" i="11"/>
  <c r="AB19" i="3" s="1"/>
  <c r="L65" i="11"/>
  <c r="AB24" i="3" s="1"/>
  <c r="L23" i="11"/>
  <c r="L54" i="11"/>
  <c r="L68" i="11" s="1"/>
  <c r="L28" i="11"/>
  <c r="M5" i="11"/>
  <c r="AC38" i="12" l="1"/>
  <c r="AE38" i="12" s="1"/>
  <c r="AC41" i="12"/>
  <c r="AE41" i="12" s="1"/>
  <c r="AC36" i="12"/>
  <c r="AC40" i="12"/>
  <c r="AE40" i="12" s="1"/>
  <c r="AC37" i="12"/>
  <c r="AE37" i="12" s="1"/>
  <c r="AC55" i="12"/>
  <c r="AE55" i="12" s="1"/>
  <c r="AC49" i="12"/>
  <c r="AC53" i="12"/>
  <c r="AE53" i="12" s="1"/>
  <c r="AC50" i="12"/>
  <c r="AE50" i="12" s="1"/>
  <c r="AC51" i="12"/>
  <c r="AE51" i="12" s="1"/>
  <c r="AB31" i="3"/>
  <c r="AD31" i="3" s="1"/>
  <c r="AB29" i="3"/>
  <c r="AD29" i="3" s="1"/>
  <c r="AB28" i="3"/>
  <c r="AD28" i="3" s="1"/>
  <c r="AB26" i="3"/>
  <c r="AD26" i="3" s="1"/>
  <c r="AB27" i="3"/>
  <c r="AD27" i="3" s="1"/>
  <c r="AB30" i="3"/>
  <c r="AD30" i="3" s="1"/>
  <c r="AB25" i="3"/>
  <c r="AD25" i="3" s="1"/>
  <c r="L72" i="11"/>
  <c r="AC24" i="3" s="1"/>
  <c r="L71" i="11"/>
  <c r="AC19" i="3" s="1"/>
  <c r="L73" i="11"/>
  <c r="AC40" i="3" s="1"/>
  <c r="L74" i="11"/>
  <c r="AC45" i="3" s="1"/>
  <c r="L70" i="11"/>
  <c r="AC11" i="3" s="1"/>
  <c r="L69" i="11"/>
  <c r="AC3" i="3" s="1"/>
  <c r="AB47" i="3"/>
  <c r="AD47" i="3" s="1"/>
  <c r="AB48" i="3"/>
  <c r="AD48" i="3" s="1"/>
  <c r="AB49" i="3"/>
  <c r="AD49" i="3" s="1"/>
  <c r="AB46" i="3"/>
  <c r="AD46" i="3" s="1"/>
  <c r="AB42" i="3"/>
  <c r="AD42" i="3" s="1"/>
  <c r="AB41" i="3"/>
  <c r="AD41" i="3" s="1"/>
  <c r="AB43" i="3"/>
  <c r="AD43" i="3" s="1"/>
  <c r="AB44" i="3"/>
  <c r="AD44" i="3" s="1"/>
  <c r="AC64" i="12"/>
  <c r="AB21" i="3"/>
  <c r="AD21" i="3" s="1"/>
  <c r="AB20" i="3"/>
  <c r="AD20" i="3" s="1"/>
  <c r="AB23" i="3"/>
  <c r="AD23" i="3" s="1"/>
  <c r="AB22" i="3"/>
  <c r="AD22" i="3" s="1"/>
  <c r="AC19" i="12"/>
  <c r="AB11" i="12"/>
  <c r="AC11" i="12" s="1"/>
  <c r="AC27" i="12"/>
  <c r="AB18" i="3"/>
  <c r="AD18" i="3" s="1"/>
  <c r="AB16" i="3"/>
  <c r="AD16" i="3" s="1"/>
  <c r="AB12" i="3"/>
  <c r="AD12" i="3" s="1"/>
  <c r="AB13" i="3"/>
  <c r="AD13" i="3" s="1"/>
  <c r="AB14" i="3"/>
  <c r="AD14" i="3" s="1"/>
  <c r="AB15" i="3"/>
  <c r="AD15" i="3" s="1"/>
  <c r="AB17" i="3"/>
  <c r="AD17" i="3" s="1"/>
  <c r="AE36" i="12"/>
  <c r="AB36" i="12"/>
  <c r="AC69" i="12"/>
  <c r="L58" i="11"/>
  <c r="M58" i="11"/>
  <c r="J13" i="14" s="1"/>
  <c r="AB50" i="3"/>
  <c r="AB6" i="3"/>
  <c r="AD6" i="3" s="1"/>
  <c r="AB5" i="3"/>
  <c r="AD5" i="3" s="1"/>
  <c r="AB4" i="3"/>
  <c r="AD4" i="3" s="1"/>
  <c r="AB10" i="3"/>
  <c r="AD10" i="3" s="1"/>
  <c r="AB9" i="3"/>
  <c r="AD9" i="3" s="1"/>
  <c r="AB8" i="3"/>
  <c r="AD8" i="3" s="1"/>
  <c r="AB7" i="3"/>
  <c r="AD7" i="3" s="1"/>
  <c r="AB44" i="12"/>
  <c r="AE44" i="12"/>
  <c r="AE43" i="12" s="1"/>
  <c r="AE49" i="12"/>
  <c r="AB49" i="12" l="1"/>
  <c r="AE35" i="12"/>
  <c r="AE48" i="12"/>
  <c r="AC12" i="3"/>
  <c r="AE12" i="3" s="1"/>
  <c r="AC13" i="3"/>
  <c r="AE13" i="3" s="1"/>
  <c r="AC17" i="3"/>
  <c r="AE17" i="3" s="1"/>
  <c r="AC16" i="3"/>
  <c r="AE16" i="3" s="1"/>
  <c r="AC18" i="3"/>
  <c r="AE18" i="3" s="1"/>
  <c r="AC14" i="3"/>
  <c r="AE14" i="3" s="1"/>
  <c r="AC15" i="3"/>
  <c r="AE15" i="3" s="1"/>
  <c r="AD11" i="3"/>
  <c r="AB2" i="12"/>
  <c r="AC3" i="12"/>
  <c r="AD40" i="3"/>
  <c r="AC48" i="3"/>
  <c r="AE48" i="3" s="1"/>
  <c r="AC47" i="3"/>
  <c r="AE47" i="3" s="1"/>
  <c r="AC46" i="3"/>
  <c r="AE46" i="3" s="1"/>
  <c r="AE45" i="3" s="1"/>
  <c r="AC49" i="3"/>
  <c r="AE49" i="3" s="1"/>
  <c r="AD24" i="3"/>
  <c r="AC20" i="12"/>
  <c r="AC23" i="12"/>
  <c r="AE23" i="12" s="1"/>
  <c r="AC21" i="12"/>
  <c r="AE21" i="12" s="1"/>
  <c r="AC26" i="12"/>
  <c r="AE26" i="12" s="1"/>
  <c r="AC24" i="12"/>
  <c r="AE24" i="12" s="1"/>
  <c r="AC22" i="12"/>
  <c r="AE22" i="12" s="1"/>
  <c r="AC25" i="12"/>
  <c r="AE25" i="12" s="1"/>
  <c r="AC27" i="3"/>
  <c r="AE27" i="3" s="1"/>
  <c r="AC31" i="3"/>
  <c r="AE31" i="3" s="1"/>
  <c r="AC26" i="3"/>
  <c r="AE26" i="3" s="1"/>
  <c r="AC30" i="3"/>
  <c r="AE30" i="3" s="1"/>
  <c r="AC28" i="3"/>
  <c r="AE28" i="3" s="1"/>
  <c r="AC29" i="3"/>
  <c r="AE29" i="3" s="1"/>
  <c r="AC25" i="3"/>
  <c r="AE25" i="3" s="1"/>
  <c r="AE24" i="3" s="1"/>
  <c r="AC73" i="12"/>
  <c r="AE73" i="12" s="1"/>
  <c r="AC70" i="12"/>
  <c r="AC71" i="12"/>
  <c r="AE71" i="12" s="1"/>
  <c r="AC72" i="12"/>
  <c r="AE72" i="12" s="1"/>
  <c r="AC28" i="12"/>
  <c r="AC30" i="12"/>
  <c r="AE30" i="12" s="1"/>
  <c r="AC31" i="12"/>
  <c r="AE31" i="12" s="1"/>
  <c r="AC32" i="12"/>
  <c r="AE32" i="12" s="1"/>
  <c r="AC34" i="12"/>
  <c r="AE34" i="12" s="1"/>
  <c r="AC29" i="12"/>
  <c r="AE29" i="12" s="1"/>
  <c r="AC33" i="12"/>
  <c r="AE33" i="12" s="1"/>
  <c r="AC68" i="12"/>
  <c r="AE68" i="12" s="1"/>
  <c r="AC66" i="12"/>
  <c r="AE66" i="12" s="1"/>
  <c r="AC65" i="12"/>
  <c r="AC67" i="12"/>
  <c r="AE67" i="12" s="1"/>
  <c r="AC43" i="3"/>
  <c r="AE43" i="3" s="1"/>
  <c r="AC42" i="3"/>
  <c r="AE42" i="3" s="1"/>
  <c r="AC41" i="3"/>
  <c r="AE41" i="3" s="1"/>
  <c r="AC44" i="3"/>
  <c r="AE44" i="3" s="1"/>
  <c r="AD3" i="3"/>
  <c r="AC16" i="12"/>
  <c r="AE16" i="12" s="1"/>
  <c r="AC18" i="12"/>
  <c r="AE18" i="12" s="1"/>
  <c r="AC14" i="12"/>
  <c r="AE14" i="12" s="1"/>
  <c r="AC17" i="12"/>
  <c r="AE17" i="12" s="1"/>
  <c r="AC15" i="12"/>
  <c r="AE15" i="12" s="1"/>
  <c r="AC12" i="12"/>
  <c r="AC13" i="12"/>
  <c r="AE13" i="12" s="1"/>
  <c r="AD19" i="3"/>
  <c r="AD45" i="3"/>
  <c r="AC6" i="3"/>
  <c r="AE6" i="3" s="1"/>
  <c r="AC10" i="3"/>
  <c r="AE10" i="3" s="1"/>
  <c r="AC9" i="3"/>
  <c r="AE9" i="3" s="1"/>
  <c r="AC5" i="3"/>
  <c r="AE5" i="3" s="1"/>
  <c r="AC4" i="3"/>
  <c r="AE4" i="3" s="1"/>
  <c r="AC8" i="3"/>
  <c r="AE8" i="3" s="1"/>
  <c r="AC7" i="3"/>
  <c r="AE7" i="3" s="1"/>
  <c r="AC20" i="3"/>
  <c r="AE20" i="3" s="1"/>
  <c r="AC22" i="3"/>
  <c r="AE22" i="3" s="1"/>
  <c r="AC21" i="3"/>
  <c r="AE21" i="3" s="1"/>
  <c r="AC23" i="3"/>
  <c r="AE23" i="3" s="1"/>
  <c r="AC74" i="12" l="1"/>
  <c r="AC7" i="12"/>
  <c r="AE7" i="12" s="1"/>
  <c r="AC5" i="12"/>
  <c r="AE5" i="12" s="1"/>
  <c r="AC8" i="12"/>
  <c r="AE8" i="12" s="1"/>
  <c r="AC10" i="12"/>
  <c r="AE10" i="12" s="1"/>
  <c r="AC9" i="12"/>
  <c r="AE9" i="12" s="1"/>
  <c r="AC6" i="12"/>
  <c r="AE6" i="12" s="1"/>
  <c r="AC4" i="12"/>
  <c r="AE12" i="12"/>
  <c r="AE11" i="12" s="1"/>
  <c r="AB12" i="12"/>
  <c r="AE20" i="12"/>
  <c r="AE19" i="12" s="1"/>
  <c r="AB20" i="12"/>
  <c r="AE11" i="3"/>
  <c r="AE3" i="3"/>
  <c r="AB65" i="12"/>
  <c r="AE65" i="12"/>
  <c r="AE64" i="12" s="1"/>
  <c r="AE70" i="12"/>
  <c r="AE69" i="12" s="1"/>
  <c r="AB70" i="12"/>
  <c r="AB28" i="12"/>
  <c r="AE28" i="12"/>
  <c r="AE27" i="12" s="1"/>
  <c r="AE19" i="3"/>
  <c r="AE40" i="3"/>
  <c r="AD50" i="3"/>
  <c r="F8" i="13" s="1"/>
  <c r="AB4" i="12" l="1"/>
  <c r="AE4" i="12"/>
  <c r="AE3" i="12" s="1"/>
  <c r="AE74" i="12" s="1"/>
  <c r="F4" i="13" s="1"/>
  <c r="F13" i="13" s="1"/>
  <c r="AB5" i="12"/>
  <c r="F17" i="13" l="1"/>
  <c r="I18" i="14"/>
  <c r="I19" i="14" s="1"/>
  <c r="J12" i="14" l="1"/>
  <c r="L22" i="11" l="1"/>
  <c r="AD56" i="12" s="1"/>
  <c r="AD57" i="12" l="1"/>
  <c r="AF57" i="12" s="1"/>
  <c r="AD58" i="12"/>
  <c r="AF58" i="12" s="1"/>
  <c r="AD60" i="12"/>
  <c r="AF60" i="12" s="1"/>
  <c r="AD59" i="12"/>
  <c r="AF59" i="12" s="1"/>
  <c r="AD61" i="12"/>
  <c r="AF61" i="12" s="1"/>
  <c r="AD63" i="12"/>
  <c r="AF63" i="12" s="1"/>
  <c r="AD62" i="12"/>
  <c r="AF62" i="12" s="1"/>
  <c r="L57" i="11"/>
  <c r="AC32" i="3" s="1"/>
  <c r="AC50" i="3" l="1"/>
  <c r="AB52" i="3" s="1"/>
  <c r="AC33" i="3"/>
  <c r="AE33" i="3" s="1"/>
  <c r="AC37" i="3"/>
  <c r="AE37" i="3" s="1"/>
  <c r="AC39" i="3"/>
  <c r="AE39" i="3" s="1"/>
  <c r="AC35" i="3"/>
  <c r="AE35" i="3" s="1"/>
  <c r="AC34" i="3"/>
  <c r="AE34" i="3" s="1"/>
  <c r="AC36" i="3"/>
  <c r="AE36" i="3" s="1"/>
  <c r="AC38" i="3"/>
  <c r="AE38" i="3" s="1"/>
  <c r="AF56" i="12"/>
  <c r="AE32" i="3" l="1"/>
  <c r="AE50" i="3" s="1"/>
  <c r="F9" i="13" s="1"/>
  <c r="N6" i="11" l="1"/>
  <c r="K12" i="14" l="1"/>
  <c r="N22" i="11"/>
  <c r="AI56" i="12" s="1"/>
  <c r="N5" i="11"/>
  <c r="N57" i="11" l="1"/>
  <c r="AH32" i="3" s="1"/>
  <c r="AH33" i="3" s="1"/>
  <c r="AJ33" i="3" s="1"/>
  <c r="AH35" i="3"/>
  <c r="AJ35" i="3" s="1"/>
  <c r="AH39" i="3"/>
  <c r="AJ39" i="3" s="1"/>
  <c r="AH38" i="3"/>
  <c r="AJ38" i="3" s="1"/>
  <c r="AH36" i="3"/>
  <c r="AJ36" i="3" s="1"/>
  <c r="AH37" i="3"/>
  <c r="AJ37" i="3" s="1"/>
  <c r="AH34" i="3"/>
  <c r="AJ34" i="3" s="1"/>
  <c r="N53" i="11"/>
  <c r="N61" i="11" s="1"/>
  <c r="O5" i="11"/>
  <c r="AI57" i="12"/>
  <c r="AK57" i="12" s="1"/>
  <c r="AI60" i="12"/>
  <c r="AK60" i="12" s="1"/>
  <c r="AI63" i="12"/>
  <c r="AK63" i="12" s="1"/>
  <c r="AI61" i="12"/>
  <c r="AK61" i="12" s="1"/>
  <c r="AI59" i="12"/>
  <c r="AK59" i="12" s="1"/>
  <c r="AI62" i="12"/>
  <c r="AK62" i="12" s="1"/>
  <c r="AI58" i="12"/>
  <c r="AK58" i="12" s="1"/>
  <c r="AK56" i="12" l="1"/>
  <c r="N67" i="11"/>
  <c r="AG45" i="3" s="1"/>
  <c r="N63" i="11"/>
  <c r="N65" i="11"/>
  <c r="AG24" i="3" s="1"/>
  <c r="N64" i="11"/>
  <c r="AG19" i="3" s="1"/>
  <c r="N62" i="11"/>
  <c r="AG3" i="3" s="1"/>
  <c r="N66" i="11"/>
  <c r="AG40" i="3" s="1"/>
  <c r="N28" i="11"/>
  <c r="AJ32" i="3"/>
  <c r="N38" i="11" l="1"/>
  <c r="O54" i="11"/>
  <c r="N54" i="11"/>
  <c r="N68" i="11" s="1"/>
  <c r="AG41" i="3"/>
  <c r="AG42" i="3"/>
  <c r="AI42" i="3" s="1"/>
  <c r="AG43" i="3"/>
  <c r="AI43" i="3" s="1"/>
  <c r="AG44" i="3"/>
  <c r="AI44" i="3" s="1"/>
  <c r="AG46" i="3"/>
  <c r="AG47" i="3"/>
  <c r="AI47" i="3" s="1"/>
  <c r="AG48" i="3"/>
  <c r="AI48" i="3" s="1"/>
  <c r="AG49" i="3"/>
  <c r="AI49" i="3" s="1"/>
  <c r="AG25" i="3"/>
  <c r="AG29" i="3"/>
  <c r="AI29" i="3" s="1"/>
  <c r="AG28" i="3"/>
  <c r="AI28" i="3" s="1"/>
  <c r="AG26" i="3"/>
  <c r="AI26" i="3" s="1"/>
  <c r="AG27" i="3"/>
  <c r="AI27" i="3" s="1"/>
  <c r="AG30" i="3"/>
  <c r="AI30" i="3" s="1"/>
  <c r="AG31" i="3"/>
  <c r="AI31" i="3" s="1"/>
  <c r="Q12" i="3"/>
  <c r="AG11" i="3"/>
  <c r="AG50" i="3" s="1"/>
  <c r="AG4" i="3"/>
  <c r="AG5" i="3"/>
  <c r="AI5" i="3" s="1"/>
  <c r="AG6" i="3"/>
  <c r="AI6" i="3" s="1"/>
  <c r="AG7" i="3"/>
  <c r="AI7" i="3" s="1"/>
  <c r="AG10" i="3"/>
  <c r="AI10" i="3" s="1"/>
  <c r="AG9" i="3"/>
  <c r="AI9" i="3" s="1"/>
  <c r="AG8" i="3"/>
  <c r="AI8" i="3" s="1"/>
  <c r="N37" i="11"/>
  <c r="N36" i="11"/>
  <c r="N35" i="11"/>
  <c r="AG20" i="3"/>
  <c r="AG23" i="3"/>
  <c r="AI23" i="3" s="1"/>
  <c r="AG21" i="3"/>
  <c r="AI21" i="3" s="1"/>
  <c r="AG22" i="3"/>
  <c r="AI22" i="3" s="1"/>
  <c r="AH27" i="12" l="1"/>
  <c r="AG27" i="12"/>
  <c r="AI46" i="3"/>
  <c r="AI45" i="3" s="1"/>
  <c r="AF46" i="3"/>
  <c r="AI41" i="3"/>
  <c r="AI40" i="3" s="1"/>
  <c r="AF41" i="3"/>
  <c r="AH64" i="12"/>
  <c r="AG64" i="12"/>
  <c r="AH48" i="12"/>
  <c r="AG48" i="12"/>
  <c r="AG12" i="3"/>
  <c r="AG14" i="3"/>
  <c r="AI14" i="3" s="1"/>
  <c r="AG17" i="3"/>
  <c r="AI17" i="3" s="1"/>
  <c r="AG18" i="3"/>
  <c r="AI18" i="3" s="1"/>
  <c r="AG16" i="3"/>
  <c r="AI16" i="3" s="1"/>
  <c r="AG15" i="3"/>
  <c r="AI15" i="3" s="1"/>
  <c r="AG13" i="3"/>
  <c r="AI13" i="3" s="1"/>
  <c r="AI25" i="3"/>
  <c r="AI24" i="3" s="1"/>
  <c r="AF25" i="3"/>
  <c r="AH43" i="12"/>
  <c r="AG43" i="12"/>
  <c r="N71" i="11"/>
  <c r="AH19" i="3" s="1"/>
  <c r="N70" i="11"/>
  <c r="AH11" i="3" s="1"/>
  <c r="N73" i="11"/>
  <c r="AH40" i="3" s="1"/>
  <c r="N74" i="11"/>
  <c r="AH45" i="3" s="1"/>
  <c r="N72" i="11"/>
  <c r="AH24" i="3" s="1"/>
  <c r="N69" i="11"/>
  <c r="AH3" i="3" s="1"/>
  <c r="AF20" i="3"/>
  <c r="AI20" i="3"/>
  <c r="AI19" i="3" s="1"/>
  <c r="AH69" i="12"/>
  <c r="AG69" i="12"/>
  <c r="AH35" i="12"/>
  <c r="AG35" i="12"/>
  <c r="AH11" i="12"/>
  <c r="AG11" i="12"/>
  <c r="AH19" i="12"/>
  <c r="AG19" i="12"/>
  <c r="AG2" i="12"/>
  <c r="AH3" i="12"/>
  <c r="AI4" i="3"/>
  <c r="AI3" i="3" s="1"/>
  <c r="AF4" i="3"/>
  <c r="N41" i="11"/>
  <c r="AI19" i="12" s="1"/>
  <c r="N47" i="11"/>
  <c r="AI69" i="12" s="1"/>
  <c r="N46" i="11"/>
  <c r="AI64" i="12" s="1"/>
  <c r="N42" i="11"/>
  <c r="AI27" i="12" s="1"/>
  <c r="N45" i="11"/>
  <c r="AI48" i="12" s="1"/>
  <c r="N48" i="11"/>
  <c r="N44" i="11"/>
  <c r="AI43" i="12" s="1"/>
  <c r="N40" i="11"/>
  <c r="N43" i="11"/>
  <c r="AI35" i="12" s="1"/>
  <c r="N39" i="11"/>
  <c r="AI3" i="12" s="1"/>
  <c r="AI70" i="12" l="1"/>
  <c r="AK70" i="12" s="1"/>
  <c r="AI71" i="12"/>
  <c r="AK71" i="12" s="1"/>
  <c r="AI72" i="12"/>
  <c r="AK72" i="12" s="1"/>
  <c r="AI73" i="12"/>
  <c r="AK73" i="12" s="1"/>
  <c r="AH4" i="3"/>
  <c r="AJ4" i="3" s="1"/>
  <c r="AH5" i="3"/>
  <c r="AJ5" i="3" s="1"/>
  <c r="AH6" i="3"/>
  <c r="AJ6" i="3" s="1"/>
  <c r="AH10" i="3"/>
  <c r="AJ10" i="3" s="1"/>
  <c r="AH50" i="3"/>
  <c r="AG52" i="3" s="1"/>
  <c r="AH9" i="3"/>
  <c r="AJ9" i="3" s="1"/>
  <c r="AH7" i="3"/>
  <c r="AJ7" i="3" s="1"/>
  <c r="AH8" i="3"/>
  <c r="AJ8" i="3" s="1"/>
  <c r="AI53" i="12"/>
  <c r="AK53" i="12" s="1"/>
  <c r="AI52" i="12"/>
  <c r="AK52" i="12" s="1"/>
  <c r="AI50" i="12"/>
  <c r="AK50" i="12" s="1"/>
  <c r="AI51" i="12"/>
  <c r="AK51" i="12" s="1"/>
  <c r="AI49" i="12"/>
  <c r="AK49" i="12" s="1"/>
  <c r="AI54" i="12"/>
  <c r="AK54" i="12" s="1"/>
  <c r="AI55" i="12"/>
  <c r="AK55" i="12" s="1"/>
  <c r="AH25" i="3"/>
  <c r="AJ25" i="3" s="1"/>
  <c r="AH26" i="3"/>
  <c r="AJ26" i="3" s="1"/>
  <c r="AH31" i="3"/>
  <c r="AJ31" i="3" s="1"/>
  <c r="AH29" i="3"/>
  <c r="AJ29" i="3" s="1"/>
  <c r="AH27" i="3"/>
  <c r="AJ27" i="3" s="1"/>
  <c r="AH28" i="3"/>
  <c r="AJ28" i="3" s="1"/>
  <c r="AH30" i="3"/>
  <c r="AJ30" i="3" s="1"/>
  <c r="AI28" i="12"/>
  <c r="AK28" i="12" s="1"/>
  <c r="AI31" i="12"/>
  <c r="AK31" i="12" s="1"/>
  <c r="AI32" i="12"/>
  <c r="AK32" i="12" s="1"/>
  <c r="AI33" i="12"/>
  <c r="AK33" i="12" s="1"/>
  <c r="AI30" i="12"/>
  <c r="AK30" i="12" s="1"/>
  <c r="AI34" i="12"/>
  <c r="AK34" i="12" s="1"/>
  <c r="AI29" i="12"/>
  <c r="AK29" i="12" s="1"/>
  <c r="AH46" i="3"/>
  <c r="AJ46" i="3" s="1"/>
  <c r="AH47" i="3"/>
  <c r="AJ47" i="3" s="1"/>
  <c r="AH49" i="3"/>
  <c r="AJ49" i="3" s="1"/>
  <c r="AH48" i="3"/>
  <c r="AJ48" i="3" s="1"/>
  <c r="AH49" i="12"/>
  <c r="AH51" i="12"/>
  <c r="AJ51" i="12" s="1"/>
  <c r="AH54" i="12"/>
  <c r="AJ54" i="12" s="1"/>
  <c r="AH50" i="12"/>
  <c r="AJ50" i="12" s="1"/>
  <c r="AH52" i="12"/>
  <c r="AJ52" i="12" s="1"/>
  <c r="AH55" i="12"/>
  <c r="AJ55" i="12" s="1"/>
  <c r="AH53" i="12"/>
  <c r="AJ53" i="12" s="1"/>
  <c r="AH28" i="12"/>
  <c r="AH32" i="12"/>
  <c r="AJ32" i="12" s="1"/>
  <c r="AH33" i="12"/>
  <c r="AJ33" i="12" s="1"/>
  <c r="AH31" i="12"/>
  <c r="AJ31" i="12" s="1"/>
  <c r="AH34" i="12"/>
  <c r="AJ34" i="12" s="1"/>
  <c r="AH29" i="12"/>
  <c r="AJ29" i="12" s="1"/>
  <c r="AH30" i="12"/>
  <c r="AJ30" i="12" s="1"/>
  <c r="AI5" i="12"/>
  <c r="AK5" i="12" s="1"/>
  <c r="AI9" i="12"/>
  <c r="AK9" i="12" s="1"/>
  <c r="AI6" i="12"/>
  <c r="AK6" i="12" s="1"/>
  <c r="AI7" i="12"/>
  <c r="AK7" i="12" s="1"/>
  <c r="AI10" i="12"/>
  <c r="AK10" i="12" s="1"/>
  <c r="AI4" i="12"/>
  <c r="AK4" i="12" s="1"/>
  <c r="AI8" i="12"/>
  <c r="AK8" i="12" s="1"/>
  <c r="AI74" i="12"/>
  <c r="AI75" i="12" s="1"/>
  <c r="AH4" i="12"/>
  <c r="AH10" i="12"/>
  <c r="AJ10" i="12" s="1"/>
  <c r="AH7" i="12"/>
  <c r="AJ7" i="12" s="1"/>
  <c r="AH8" i="12"/>
  <c r="AJ8" i="12" s="1"/>
  <c r="AH6" i="12"/>
  <c r="AJ6" i="12" s="1"/>
  <c r="AH74" i="12"/>
  <c r="AH9" i="12"/>
  <c r="AJ9" i="12" s="1"/>
  <c r="AH5" i="12"/>
  <c r="AJ5" i="12" s="1"/>
  <c r="AH18" i="3"/>
  <c r="AJ18" i="3" s="1"/>
  <c r="AH16" i="3"/>
  <c r="AJ16" i="3" s="1"/>
  <c r="AH14" i="3"/>
  <c r="AJ14" i="3" s="1"/>
  <c r="AH17" i="3"/>
  <c r="AJ17" i="3" s="1"/>
  <c r="AH13" i="3"/>
  <c r="AJ13" i="3" s="1"/>
  <c r="AH12" i="3"/>
  <c r="AJ12" i="3" s="1"/>
  <c r="AH15" i="3"/>
  <c r="AJ15" i="3" s="1"/>
  <c r="AI12" i="3"/>
  <c r="AI11" i="3" s="1"/>
  <c r="AI50" i="3" s="1"/>
  <c r="G8" i="13" s="1"/>
  <c r="AF12" i="3"/>
  <c r="AH65" i="12"/>
  <c r="AH67" i="12"/>
  <c r="AJ67" i="12" s="1"/>
  <c r="AH66" i="12"/>
  <c r="AJ66" i="12" s="1"/>
  <c r="AH68" i="12"/>
  <c r="AJ68" i="12" s="1"/>
  <c r="AI36" i="12"/>
  <c r="AK36" i="12" s="1"/>
  <c r="AI38" i="12"/>
  <c r="AK38" i="12" s="1"/>
  <c r="AI39" i="12"/>
  <c r="AK39" i="12" s="1"/>
  <c r="AI42" i="12"/>
  <c r="AK42" i="12" s="1"/>
  <c r="AI41" i="12"/>
  <c r="AK41" i="12" s="1"/>
  <c r="AI40" i="12"/>
  <c r="AK40" i="12" s="1"/>
  <c r="AI37" i="12"/>
  <c r="AK37" i="12" s="1"/>
  <c r="AI21" i="12"/>
  <c r="AK21" i="12" s="1"/>
  <c r="AI25" i="12"/>
  <c r="AK25" i="12" s="1"/>
  <c r="AI20" i="12"/>
  <c r="AK20" i="12" s="1"/>
  <c r="AI22" i="12"/>
  <c r="AK22" i="12" s="1"/>
  <c r="AI24" i="12"/>
  <c r="AK24" i="12" s="1"/>
  <c r="AI23" i="12"/>
  <c r="AK23" i="12" s="1"/>
  <c r="AI26" i="12"/>
  <c r="AK26" i="12" s="1"/>
  <c r="AH15" i="12"/>
  <c r="AJ15" i="12" s="1"/>
  <c r="AH17" i="12"/>
  <c r="AJ17" i="12" s="1"/>
  <c r="AH18" i="12"/>
  <c r="AJ18" i="12" s="1"/>
  <c r="AH13" i="12"/>
  <c r="AJ13" i="12" s="1"/>
  <c r="AH12" i="12"/>
  <c r="AH16" i="12"/>
  <c r="AJ16" i="12" s="1"/>
  <c r="AH14" i="12"/>
  <c r="AJ14" i="12" s="1"/>
  <c r="AH70" i="12"/>
  <c r="AH72" i="12"/>
  <c r="AJ72" i="12" s="1"/>
  <c r="AH71" i="12"/>
  <c r="AJ71" i="12" s="1"/>
  <c r="AH73" i="12"/>
  <c r="AJ73" i="12" s="1"/>
  <c r="AH21" i="3"/>
  <c r="AJ21" i="3" s="1"/>
  <c r="AH23" i="3"/>
  <c r="AJ23" i="3" s="1"/>
  <c r="AH20" i="3"/>
  <c r="AJ20" i="3" s="1"/>
  <c r="AH22" i="3"/>
  <c r="AJ22" i="3" s="1"/>
  <c r="AI44" i="12"/>
  <c r="AK44" i="12" s="1"/>
  <c r="AI47" i="12"/>
  <c r="AK47" i="12" s="1"/>
  <c r="AI46" i="12"/>
  <c r="AK46" i="12" s="1"/>
  <c r="AI45" i="12"/>
  <c r="AK45" i="12" s="1"/>
  <c r="AI66" i="12"/>
  <c r="AK66" i="12" s="1"/>
  <c r="AI65" i="12"/>
  <c r="AK65" i="12" s="1"/>
  <c r="AI68" i="12"/>
  <c r="AK68" i="12" s="1"/>
  <c r="AI67" i="12"/>
  <c r="AK67" i="12" s="1"/>
  <c r="AH20" i="12"/>
  <c r="AH25" i="12"/>
  <c r="AJ25" i="12" s="1"/>
  <c r="AH23" i="12"/>
  <c r="AJ23" i="12" s="1"/>
  <c r="AH24" i="12"/>
  <c r="AJ24" i="12" s="1"/>
  <c r="AH21" i="12"/>
  <c r="AJ21" i="12" s="1"/>
  <c r="AH26" i="12"/>
  <c r="AJ26" i="12" s="1"/>
  <c r="AH22" i="12"/>
  <c r="AJ22" i="12" s="1"/>
  <c r="AH36" i="12"/>
  <c r="AH41" i="12"/>
  <c r="AJ41" i="12" s="1"/>
  <c r="AH38" i="12"/>
  <c r="AJ38" i="12" s="1"/>
  <c r="AH37" i="12"/>
  <c r="AJ37" i="12" s="1"/>
  <c r="AH42" i="12"/>
  <c r="AJ42" i="12" s="1"/>
  <c r="AH40" i="12"/>
  <c r="AJ40" i="12" s="1"/>
  <c r="AH39" i="12"/>
  <c r="AJ39" i="12" s="1"/>
  <c r="AH42" i="3"/>
  <c r="AJ42" i="3" s="1"/>
  <c r="AH44" i="3"/>
  <c r="AJ44" i="3" s="1"/>
  <c r="AH41" i="3"/>
  <c r="AJ41" i="3" s="1"/>
  <c r="AH43" i="3"/>
  <c r="AJ43" i="3" s="1"/>
  <c r="AH44" i="12"/>
  <c r="AH45" i="12"/>
  <c r="AJ45" i="12" s="1"/>
  <c r="AH47" i="12"/>
  <c r="AJ47" i="12" s="1"/>
  <c r="AH46" i="12"/>
  <c r="AJ46" i="12" s="1"/>
  <c r="AJ19" i="3" l="1"/>
  <c r="AJ24" i="3"/>
  <c r="AK64" i="12"/>
  <c r="AK27" i="12"/>
  <c r="AJ36" i="12"/>
  <c r="AJ35" i="12" s="1"/>
  <c r="AG36" i="12"/>
  <c r="AK43" i="12"/>
  <c r="AG70" i="12"/>
  <c r="AJ70" i="12"/>
  <c r="AJ69" i="12" s="1"/>
  <c r="AK19" i="12"/>
  <c r="AJ49" i="12"/>
  <c r="AJ48" i="12" s="1"/>
  <c r="AG49" i="12"/>
  <c r="AJ45" i="3"/>
  <c r="AJ4" i="12"/>
  <c r="AJ3" i="12" s="1"/>
  <c r="AG4" i="12"/>
  <c r="AG5" i="12"/>
  <c r="AJ40" i="3"/>
  <c r="AG20" i="12"/>
  <c r="AJ20" i="12"/>
  <c r="AJ19" i="12" s="1"/>
  <c r="AG12" i="12"/>
  <c r="AJ12" i="12"/>
  <c r="AJ11" i="12" s="1"/>
  <c r="AG44" i="12"/>
  <c r="AJ44" i="12"/>
  <c r="AJ43" i="12" s="1"/>
  <c r="AK35" i="12"/>
  <c r="AJ65" i="12"/>
  <c r="AJ64" i="12" s="1"/>
  <c r="AG65" i="12"/>
  <c r="AJ11" i="3"/>
  <c r="AH75" i="12"/>
  <c r="AH76" i="12"/>
  <c r="AK3" i="12"/>
  <c r="AJ28" i="12"/>
  <c r="AJ27" i="12" s="1"/>
  <c r="AG28" i="12"/>
  <c r="AK48" i="12"/>
  <c r="AJ3" i="3"/>
  <c r="AK69" i="12"/>
  <c r="G9" i="13" l="1"/>
  <c r="AK74" i="12"/>
  <c r="G5" i="13" s="1"/>
  <c r="G14" i="13" s="1"/>
  <c r="G18" i="13" s="1"/>
  <c r="AJ74" i="12"/>
  <c r="G4" i="13" s="1"/>
  <c r="G13" i="13" s="1"/>
  <c r="G17" i="13" l="1"/>
  <c r="G19" i="13" s="1"/>
  <c r="G20" i="13" s="1"/>
  <c r="K17" i="14"/>
  <c r="K18" i="14" s="1"/>
  <c r="K19" i="14" s="1"/>
  <c r="R54" i="11"/>
  <c r="R68" i="11" s="1"/>
  <c r="R53" i="11" l="1"/>
  <c r="R61" i="11" s="1"/>
  <c r="R18" i="11"/>
  <c r="R28" i="11" s="1"/>
  <c r="R74" i="11"/>
  <c r="AR45" i="3" s="1"/>
  <c r="R69" i="11"/>
  <c r="AR3" i="3" s="1"/>
  <c r="R71" i="11"/>
  <c r="AR19" i="3" s="1"/>
  <c r="R70" i="11"/>
  <c r="AR11" i="3" s="1"/>
  <c r="R73" i="11"/>
  <c r="AR40" i="3" s="1"/>
  <c r="R72" i="11"/>
  <c r="AR24" i="3" s="1"/>
  <c r="R36" i="11" l="1"/>
  <c r="AR64" i="12" s="1"/>
  <c r="R31" i="11"/>
  <c r="AR19" i="12" s="1"/>
  <c r="R35" i="11"/>
  <c r="AR48" i="12" s="1"/>
  <c r="R37" i="11"/>
  <c r="AR69" i="12" s="1"/>
  <c r="R32" i="11"/>
  <c r="AR27" i="12" s="1"/>
  <c r="R30" i="11"/>
  <c r="AR11" i="12" s="1"/>
  <c r="R34" i="11"/>
  <c r="AR43" i="12" s="1"/>
  <c r="R29" i="11"/>
  <c r="AR3" i="12" s="1"/>
  <c r="R33" i="11"/>
  <c r="AR35" i="12" s="1"/>
  <c r="S61" i="11"/>
  <c r="R64" i="11"/>
  <c r="AQ19" i="3" s="1"/>
  <c r="R67" i="11"/>
  <c r="AQ45" i="3" s="1"/>
  <c r="R63" i="11"/>
  <c r="AQ11" i="3" s="1"/>
  <c r="R66" i="11"/>
  <c r="AQ40" i="3" s="1"/>
  <c r="R62" i="11"/>
  <c r="AQ3" i="3" s="1"/>
  <c r="R65" i="11"/>
  <c r="AQ24" i="3" s="1"/>
  <c r="AR18" i="3"/>
  <c r="AT18" i="3" s="1"/>
  <c r="AR16" i="3"/>
  <c r="AT16" i="3" s="1"/>
  <c r="AR15" i="3"/>
  <c r="AT15" i="3" s="1"/>
  <c r="AR13" i="3"/>
  <c r="AT13" i="3" s="1"/>
  <c r="AR12" i="3"/>
  <c r="AT12" i="3" s="1"/>
  <c r="AR17" i="3"/>
  <c r="AT17" i="3" s="1"/>
  <c r="AR14" i="3"/>
  <c r="AT14" i="3" s="1"/>
  <c r="AR20" i="3"/>
  <c r="AT20" i="3" s="1"/>
  <c r="AT19" i="3" s="1"/>
  <c r="AR22" i="3"/>
  <c r="AT22" i="3" s="1"/>
  <c r="AR23" i="3"/>
  <c r="AT23" i="3" s="1"/>
  <c r="AR21" i="3"/>
  <c r="AT21" i="3" s="1"/>
  <c r="AR26" i="3"/>
  <c r="AT26" i="3" s="1"/>
  <c r="AR30" i="3"/>
  <c r="AT30" i="3" s="1"/>
  <c r="AR28" i="3"/>
  <c r="AT28" i="3" s="1"/>
  <c r="AR31" i="3"/>
  <c r="AT31" i="3" s="1"/>
  <c r="AR29" i="3"/>
  <c r="AT29" i="3" s="1"/>
  <c r="AR27" i="3"/>
  <c r="AT27" i="3" s="1"/>
  <c r="AR25" i="3"/>
  <c r="AT25" i="3" s="1"/>
  <c r="AR50" i="3"/>
  <c r="AR7" i="3"/>
  <c r="AT7" i="3" s="1"/>
  <c r="AR8" i="3"/>
  <c r="AT8" i="3" s="1"/>
  <c r="AR5" i="3"/>
  <c r="AT5" i="3" s="1"/>
  <c r="AR6" i="3"/>
  <c r="AT6" i="3" s="1"/>
  <c r="AR4" i="3"/>
  <c r="AT4" i="3" s="1"/>
  <c r="AR9" i="3"/>
  <c r="AT9" i="3" s="1"/>
  <c r="AR10" i="3"/>
  <c r="AT10" i="3" s="1"/>
  <c r="AR44" i="3"/>
  <c r="AT44" i="3" s="1"/>
  <c r="AR43" i="3"/>
  <c r="AT43" i="3" s="1"/>
  <c r="AR42" i="3"/>
  <c r="AT42" i="3" s="1"/>
  <c r="AR41" i="3"/>
  <c r="AT41" i="3" s="1"/>
  <c r="AR47" i="3"/>
  <c r="AT47" i="3" s="1"/>
  <c r="AR48" i="3"/>
  <c r="AT48" i="3" s="1"/>
  <c r="AR46" i="3"/>
  <c r="AT46" i="3" s="1"/>
  <c r="AR49" i="3"/>
  <c r="AT49" i="3" s="1"/>
  <c r="AR9" i="12" l="1"/>
  <c r="AT9" i="12" s="1"/>
  <c r="AR4" i="12"/>
  <c r="AR8" i="12"/>
  <c r="AT8" i="12" s="1"/>
  <c r="AR5" i="12"/>
  <c r="AT5" i="12" s="1"/>
  <c r="AR74" i="12"/>
  <c r="AR10" i="12"/>
  <c r="AT10" i="12" s="1"/>
  <c r="AR6" i="12"/>
  <c r="AT6" i="12" s="1"/>
  <c r="AR7" i="12"/>
  <c r="AT7" i="12" s="1"/>
  <c r="AR73" i="12"/>
  <c r="AT73" i="12" s="1"/>
  <c r="AR72" i="12"/>
  <c r="AT72" i="12" s="1"/>
  <c r="AR71" i="12"/>
  <c r="AT71" i="12" s="1"/>
  <c r="AR70" i="12"/>
  <c r="AQ9" i="3"/>
  <c r="AS9" i="3" s="1"/>
  <c r="AQ8" i="3"/>
  <c r="AS8" i="3" s="1"/>
  <c r="AQ5" i="3"/>
  <c r="AS5" i="3" s="1"/>
  <c r="AQ4" i="3"/>
  <c r="AS4" i="3" s="1"/>
  <c r="AQ6" i="3"/>
  <c r="AS6" i="3" s="1"/>
  <c r="AQ50" i="3"/>
  <c r="AQ52" i="3" s="1"/>
  <c r="AQ10" i="3"/>
  <c r="AS10" i="3" s="1"/>
  <c r="AQ7" i="3"/>
  <c r="AS7" i="3" s="1"/>
  <c r="AQ20" i="3"/>
  <c r="AS20" i="3" s="1"/>
  <c r="AQ21" i="3"/>
  <c r="AS21" i="3" s="1"/>
  <c r="AQ22" i="3"/>
  <c r="AS22" i="3" s="1"/>
  <c r="AQ23" i="3"/>
  <c r="AS23" i="3" s="1"/>
  <c r="AR47" i="12"/>
  <c r="AT47" i="12" s="1"/>
  <c r="AR44" i="12"/>
  <c r="AR45" i="12"/>
  <c r="AT45" i="12" s="1"/>
  <c r="AR46" i="12"/>
  <c r="AT46" i="12" s="1"/>
  <c r="AR53" i="12"/>
  <c r="AT53" i="12" s="1"/>
  <c r="AR55" i="12"/>
  <c r="AT55" i="12" s="1"/>
  <c r="AR49" i="12"/>
  <c r="AR52" i="12"/>
  <c r="AT52" i="12" s="1"/>
  <c r="AR50" i="12"/>
  <c r="AT50" i="12" s="1"/>
  <c r="AR54" i="12"/>
  <c r="AT54" i="12" s="1"/>
  <c r="AR51" i="12"/>
  <c r="AT51" i="12" s="1"/>
  <c r="AQ26" i="3"/>
  <c r="AS26" i="3" s="1"/>
  <c r="AQ25" i="3"/>
  <c r="AS25" i="3" s="1"/>
  <c r="AQ28" i="3"/>
  <c r="AS28" i="3" s="1"/>
  <c r="AQ31" i="3"/>
  <c r="AS31" i="3" s="1"/>
  <c r="AQ30" i="3"/>
  <c r="AS30" i="3" s="1"/>
  <c r="AQ27" i="3"/>
  <c r="AS27" i="3" s="1"/>
  <c r="AQ29" i="3"/>
  <c r="AS29" i="3" s="1"/>
  <c r="AQ43" i="3"/>
  <c r="AS43" i="3" s="1"/>
  <c r="AQ42" i="3"/>
  <c r="AS42" i="3" s="1"/>
  <c r="AQ44" i="3"/>
  <c r="AS44" i="3" s="1"/>
  <c r="AQ41" i="3"/>
  <c r="AS41" i="3" s="1"/>
  <c r="AR18" i="12"/>
  <c r="AT18" i="12" s="1"/>
  <c r="AR12" i="12"/>
  <c r="AR16" i="12"/>
  <c r="AT16" i="12" s="1"/>
  <c r="AR17" i="12"/>
  <c r="AT17" i="12" s="1"/>
  <c r="AR13" i="12"/>
  <c r="AT13" i="12" s="1"/>
  <c r="AR15" i="12"/>
  <c r="AT15" i="12" s="1"/>
  <c r="AR14" i="12"/>
  <c r="AT14" i="12" s="1"/>
  <c r="AR26" i="12"/>
  <c r="AT26" i="12" s="1"/>
  <c r="AR23" i="12"/>
  <c r="AT23" i="12" s="1"/>
  <c r="AR20" i="12"/>
  <c r="AR24" i="12"/>
  <c r="AT24" i="12" s="1"/>
  <c r="AR22" i="12"/>
  <c r="AT22" i="12" s="1"/>
  <c r="AR21" i="12"/>
  <c r="AT21" i="12" s="1"/>
  <c r="AR25" i="12"/>
  <c r="AT25" i="12" s="1"/>
  <c r="AQ48" i="3"/>
  <c r="AS48" i="3" s="1"/>
  <c r="AQ47" i="3"/>
  <c r="AS47" i="3" s="1"/>
  <c r="AQ49" i="3"/>
  <c r="AS49" i="3" s="1"/>
  <c r="AQ46" i="3"/>
  <c r="AS46" i="3" s="1"/>
  <c r="AQ13" i="3"/>
  <c r="AS13" i="3" s="1"/>
  <c r="AQ16" i="3"/>
  <c r="AS16" i="3" s="1"/>
  <c r="AQ15" i="3"/>
  <c r="AS15" i="3" s="1"/>
  <c r="AQ17" i="3"/>
  <c r="AS17" i="3" s="1"/>
  <c r="AQ12" i="3"/>
  <c r="AS12" i="3" s="1"/>
  <c r="AQ14" i="3"/>
  <c r="AS14" i="3" s="1"/>
  <c r="AQ18" i="3"/>
  <c r="AS18" i="3" s="1"/>
  <c r="AR36" i="12"/>
  <c r="AR42" i="12"/>
  <c r="AT42" i="12" s="1"/>
  <c r="AR41" i="12"/>
  <c r="AT41" i="12" s="1"/>
  <c r="AR39" i="12"/>
  <c r="AT39" i="12" s="1"/>
  <c r="AR37" i="12"/>
  <c r="AT37" i="12" s="1"/>
  <c r="AR40" i="12"/>
  <c r="AT40" i="12" s="1"/>
  <c r="AR38" i="12"/>
  <c r="AT38" i="12" s="1"/>
  <c r="AR34" i="12"/>
  <c r="AT34" i="12" s="1"/>
  <c r="AR31" i="12"/>
  <c r="AT31" i="12" s="1"/>
  <c r="AR28" i="12"/>
  <c r="AR29" i="12"/>
  <c r="AT29" i="12" s="1"/>
  <c r="AR30" i="12"/>
  <c r="AT30" i="12" s="1"/>
  <c r="AR33" i="12"/>
  <c r="AT33" i="12" s="1"/>
  <c r="AR32" i="12"/>
  <c r="AT32" i="12" s="1"/>
  <c r="AR68" i="12"/>
  <c r="AT68" i="12" s="1"/>
  <c r="AR65" i="12"/>
  <c r="AR67" i="12"/>
  <c r="AT67" i="12" s="1"/>
  <c r="AR66" i="12"/>
  <c r="AT66" i="12" s="1"/>
  <c r="AT24" i="3"/>
  <c r="AT3" i="3"/>
  <c r="AT40" i="3"/>
  <c r="AT45" i="3"/>
  <c r="AT11" i="3"/>
  <c r="AS11" i="3" l="1"/>
  <c r="AT50" i="3"/>
  <c r="I9" i="13" s="1"/>
  <c r="I14" i="13" s="1"/>
  <c r="AS45" i="3"/>
  <c r="AQ28" i="12"/>
  <c r="AT28" i="12"/>
  <c r="AT27" i="12" s="1"/>
  <c r="AT65" i="12"/>
  <c r="AT64" i="12" s="1"/>
  <c r="AQ65" i="12"/>
  <c r="AT49" i="12"/>
  <c r="AT48" i="12" s="1"/>
  <c r="AQ49" i="12"/>
  <c r="AT70" i="12"/>
  <c r="AT69" i="12" s="1"/>
  <c r="AQ70" i="12"/>
  <c r="AS40" i="3"/>
  <c r="AT44" i="12"/>
  <c r="AT43" i="12" s="1"/>
  <c r="AQ44" i="12"/>
  <c r="AS24" i="3"/>
  <c r="AS19" i="3"/>
  <c r="AT4" i="12"/>
  <c r="AT3" i="12" s="1"/>
  <c r="AQ4" i="12"/>
  <c r="AQ5" i="12"/>
  <c r="AT36" i="12"/>
  <c r="AT35" i="12" s="1"/>
  <c r="AQ36" i="12"/>
  <c r="AQ20" i="12"/>
  <c r="AT20" i="12"/>
  <c r="AT19" i="12" s="1"/>
  <c r="AT12" i="12"/>
  <c r="AT11" i="12" s="1"/>
  <c r="AQ12" i="12"/>
  <c r="AS3" i="3"/>
  <c r="AR75" i="12"/>
  <c r="AR76" i="12"/>
  <c r="AS50" i="3" l="1"/>
  <c r="I8" i="13" s="1"/>
  <c r="M17" i="14"/>
  <c r="I18" i="13"/>
  <c r="AT74" i="12"/>
  <c r="I4" i="13" s="1"/>
  <c r="H28" i="11"/>
  <c r="I53" i="11"/>
  <c r="I13" i="13" l="1"/>
  <c r="M16" i="14"/>
  <c r="M18" i="14" s="1"/>
  <c r="M19" i="14" s="1"/>
  <c r="M22" i="14" s="1"/>
  <c r="M23" i="14" s="1"/>
  <c r="I17" i="13"/>
  <c r="I19" i="13" s="1"/>
  <c r="I20" i="13" s="1"/>
  <c r="I23" i="13" s="1"/>
  <c r="I24" i="13" s="1"/>
  <c r="I25" i="13" s="1"/>
  <c r="H19" i="11"/>
  <c r="I54" i="11"/>
  <c r="L19" i="11"/>
  <c r="L38" i="11" s="1"/>
  <c r="M54" i="11"/>
  <c r="AD35" i="12" l="1"/>
  <c r="AD43" i="12"/>
  <c r="AD48" i="12"/>
  <c r="AD46" i="12" l="1"/>
  <c r="AF46" i="12" s="1"/>
  <c r="AD45" i="12"/>
  <c r="AF45" i="12" s="1"/>
  <c r="AD47" i="12"/>
  <c r="AF47" i="12" s="1"/>
  <c r="AD44" i="12"/>
  <c r="AF44" i="12" s="1"/>
  <c r="AF28" i="12"/>
  <c r="AD32" i="12"/>
  <c r="AF32" i="12" s="1"/>
  <c r="AD30" i="12"/>
  <c r="AF30" i="12" s="1"/>
  <c r="AD31" i="12"/>
  <c r="AF31" i="12" s="1"/>
  <c r="AD33" i="12"/>
  <c r="AF33" i="12" s="1"/>
  <c r="AD34" i="12"/>
  <c r="AF34" i="12" s="1"/>
  <c r="AD29" i="12"/>
  <c r="AF29" i="12" s="1"/>
  <c r="AD20" i="12"/>
  <c r="AF20" i="12" s="1"/>
  <c r="AD21" i="12"/>
  <c r="AF21" i="12" s="1"/>
  <c r="AD24" i="12"/>
  <c r="AF24" i="12" s="1"/>
  <c r="AD23" i="12"/>
  <c r="AF23" i="12" s="1"/>
  <c r="AD26" i="12"/>
  <c r="AF26" i="12" s="1"/>
  <c r="AD25" i="12"/>
  <c r="AF25" i="12" s="1"/>
  <c r="AD22" i="12"/>
  <c r="AF22" i="12" s="1"/>
  <c r="AD55" i="12"/>
  <c r="AF55" i="12" s="1"/>
  <c r="AD53" i="12"/>
  <c r="AF53" i="12" s="1"/>
  <c r="AD49" i="12"/>
  <c r="AF49" i="12" s="1"/>
  <c r="AD51" i="12"/>
  <c r="AF51" i="12" s="1"/>
  <c r="AD50" i="12"/>
  <c r="AF50" i="12" s="1"/>
  <c r="AD54" i="12"/>
  <c r="AF54" i="12" s="1"/>
  <c r="AD52" i="12"/>
  <c r="AF52" i="12" s="1"/>
  <c r="AD64" i="12"/>
  <c r="AB64" i="12"/>
  <c r="AD41" i="12"/>
  <c r="AF41" i="12" s="1"/>
  <c r="AD40" i="12"/>
  <c r="AF40" i="12" s="1"/>
  <c r="AD42" i="12"/>
  <c r="AF42" i="12" s="1"/>
  <c r="AD38" i="12"/>
  <c r="AF38" i="12" s="1"/>
  <c r="AD39" i="12"/>
  <c r="AF39" i="12" s="1"/>
  <c r="AD36" i="12"/>
  <c r="AF36" i="12" s="1"/>
  <c r="AD37" i="12"/>
  <c r="AF37" i="12" s="1"/>
  <c r="AB69" i="12"/>
  <c r="AF35" i="12" l="1"/>
  <c r="AD71" i="12"/>
  <c r="AF71" i="12" s="1"/>
  <c r="AD70" i="12"/>
  <c r="AF70" i="12" s="1"/>
  <c r="AD73" i="12"/>
  <c r="AF73" i="12" s="1"/>
  <c r="AD72" i="12"/>
  <c r="AF72" i="12" s="1"/>
  <c r="AF19" i="12"/>
  <c r="AF43" i="12"/>
  <c r="AD65" i="12"/>
  <c r="AF65" i="12" s="1"/>
  <c r="AD68" i="12"/>
  <c r="AF68" i="12" s="1"/>
  <c r="AD67" i="12"/>
  <c r="AF67" i="12" s="1"/>
  <c r="AD66" i="12"/>
  <c r="AF66" i="12" s="1"/>
  <c r="AD74" i="12"/>
  <c r="AC75" i="12" s="1"/>
  <c r="AF48" i="12"/>
  <c r="AF27" i="12"/>
  <c r="AF64" i="12" l="1"/>
  <c r="AF69" i="12"/>
  <c r="AF74" i="12"/>
  <c r="F5" i="13" s="1"/>
  <c r="F14" i="13" s="1"/>
  <c r="J17" i="14" l="1"/>
  <c r="J18" i="14" s="1"/>
  <c r="J19" i="14" s="1"/>
  <c r="F18" i="13"/>
  <c r="F19" i="13" s="1"/>
  <c r="F20" i="13" s="1"/>
  <c r="M16" i="26" l="1"/>
  <c r="H17" i="26" l="1"/>
  <c r="F16" i="26"/>
  <c r="F18" i="26" s="1"/>
  <c r="E16" i="26"/>
  <c r="I17" i="26"/>
  <c r="H16" i="26"/>
  <c r="H18" i="26" l="1"/>
  <c r="L17" i="26"/>
  <c r="E19" i="26"/>
  <c r="I16" i="26"/>
  <c r="I18" i="26" s="1"/>
  <c r="M17" i="26"/>
  <c r="M18" i="26" s="1"/>
  <c r="L16" i="26"/>
  <c r="L18" i="26" s="1"/>
  <c r="H19" i="26" l="1"/>
  <c r="L19" i="26"/>
  <c r="M19" i="26"/>
  <c r="M22" i="26" s="1"/>
  <c r="M23" i="26" s="1"/>
  <c r="F19" i="26"/>
  <c r="I19" i="26"/>
  <c r="G16" i="26" l="1"/>
  <c r="G18" i="26" s="1"/>
  <c r="G19" i="26" s="1"/>
  <c r="K17" i="26" l="1"/>
  <c r="K16" i="26" l="1"/>
  <c r="K18" i="26" s="1"/>
  <c r="K19" i="26" s="1"/>
  <c r="J16" i="26" l="1"/>
  <c r="J17" i="26" l="1"/>
  <c r="J18" i="26" s="1"/>
  <c r="J19" i="26" s="1"/>
  <c r="B8" i="29" l="1"/>
  <c r="B5" i="29"/>
  <c r="B14" i="29" s="1"/>
  <c r="F17" i="28" l="1"/>
  <c r="B18" i="29"/>
  <c r="E9" i="29"/>
  <c r="E5" i="29"/>
  <c r="B4" i="29"/>
  <c r="B13" i="29" s="1"/>
  <c r="E14" i="29" l="1"/>
  <c r="S5" i="29"/>
  <c r="S9" i="29" s="1"/>
  <c r="B17" i="29"/>
  <c r="B19" i="29" s="1"/>
  <c r="B22" i="29" s="1"/>
  <c r="E16" i="28"/>
  <c r="F16" i="28"/>
  <c r="H4" i="29"/>
  <c r="H5" i="29"/>
  <c r="E4" i="29"/>
  <c r="C4" i="29"/>
  <c r="C5" i="29"/>
  <c r="C14" i="29" s="1"/>
  <c r="G17" i="28" l="1"/>
  <c r="C18" i="29"/>
  <c r="S3" i="29"/>
  <c r="S4" i="29"/>
  <c r="S8" i="29"/>
  <c r="S6" i="29"/>
  <c r="S7" i="29"/>
  <c r="H13" i="29"/>
  <c r="E18" i="29"/>
  <c r="I17" i="28"/>
  <c r="S6" i="28"/>
  <c r="S10" i="28" s="1"/>
  <c r="F18" i="28"/>
  <c r="E19" i="28" s="1"/>
  <c r="F19" i="28" s="1"/>
  <c r="H8" i="29"/>
  <c r="H17" i="29" l="1"/>
  <c r="L16" i="28"/>
  <c r="S5" i="28"/>
  <c r="S7" i="28"/>
  <c r="S8" i="28"/>
  <c r="S12" i="28"/>
  <c r="S14" i="26" s="1"/>
  <c r="S4" i="28"/>
  <c r="S9" i="28"/>
  <c r="H9" i="29"/>
  <c r="H14" i="29" s="1"/>
  <c r="H18" i="29" l="1"/>
  <c r="H19" i="29" s="1"/>
  <c r="H20" i="29" s="1"/>
  <c r="L17" i="28"/>
  <c r="L18" i="28" s="1"/>
  <c r="L19" i="28" s="1"/>
  <c r="C8" i="29" l="1"/>
  <c r="C13" i="29" s="1"/>
  <c r="G16" i="28" l="1"/>
  <c r="G18" i="28" s="1"/>
  <c r="G19" i="28" s="1"/>
  <c r="C17" i="29"/>
  <c r="C19" i="29" s="1"/>
  <c r="C20" i="29" s="1"/>
  <c r="F8" i="29" l="1"/>
  <c r="F4" i="29" l="1"/>
  <c r="F13" i="29" s="1"/>
  <c r="J16" i="28" l="1"/>
  <c r="F17" i="29"/>
  <c r="F9" i="29" l="1"/>
  <c r="G8" i="29" l="1"/>
  <c r="G9" i="29" l="1"/>
  <c r="G5" i="29"/>
  <c r="G4" i="29"/>
  <c r="G13" i="29" s="1"/>
  <c r="G14" i="29" l="1"/>
  <c r="K17" i="28" s="1"/>
  <c r="K16" i="28"/>
  <c r="G17" i="29"/>
  <c r="G18" i="29" l="1"/>
  <c r="G19" i="29" s="1"/>
  <c r="G20" i="29" s="1"/>
  <c r="K18" i="28"/>
  <c r="K19" i="28" s="1"/>
  <c r="D4" i="29" l="1"/>
  <c r="E8" i="29" l="1"/>
  <c r="E13" i="29" s="1"/>
  <c r="E17" i="29" l="1"/>
  <c r="E19" i="29" s="1"/>
  <c r="E20" i="29" s="1"/>
  <c r="I16" i="28"/>
  <c r="I18" i="28" s="1"/>
  <c r="I19" i="28" s="1"/>
  <c r="D9" i="29"/>
  <c r="F5" i="29"/>
  <c r="F14" i="29" s="1"/>
  <c r="D5" i="29"/>
  <c r="D14" i="29" l="1"/>
  <c r="D18" i="29"/>
  <c r="H17" i="28"/>
  <c r="F18" i="29"/>
  <c r="F19" i="29" s="1"/>
  <c r="F20" i="29" s="1"/>
  <c r="J17" i="28"/>
  <c r="J18" i="28" s="1"/>
  <c r="J19" i="28" s="1"/>
  <c r="D8" i="29"/>
  <c r="D13" i="29" s="1"/>
  <c r="D17" i="29" l="1"/>
  <c r="D19" i="29" s="1"/>
  <c r="D20" i="29" s="1"/>
  <c r="H16" i="28"/>
  <c r="H18" i="28" s="1"/>
  <c r="H19" i="28" s="1"/>
  <c r="I5" i="29" l="1"/>
  <c r="I9" i="29" l="1"/>
  <c r="I14" i="29" s="1"/>
  <c r="M17" i="28" l="1"/>
  <c r="I18" i="29"/>
  <c r="I4" i="29" l="1"/>
  <c r="I8" i="29"/>
  <c r="I13" i="29" l="1"/>
  <c r="I17" i="29" l="1"/>
  <c r="I19" i="29" s="1"/>
  <c r="I20" i="29" s="1"/>
  <c r="I23" i="29" s="1"/>
  <c r="I24" i="29" s="1"/>
  <c r="I25" i="29" s="1"/>
  <c r="M16" i="28"/>
  <c r="M18" i="28" s="1"/>
  <c r="M19" i="28" s="1"/>
  <c r="M22" i="28" s="1"/>
  <c r="M23" i="2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<sst xmlns="http://schemas.openxmlformats.org/spreadsheetml/2006/main" count="1694" uniqueCount="240">
  <si>
    <t>SEER14</t>
    <phoneticPr fontId="2"/>
  </si>
  <si>
    <t>Base Spec North</t>
    <phoneticPr fontId="2"/>
  </si>
  <si>
    <t>Tonage</t>
    <phoneticPr fontId="2"/>
  </si>
  <si>
    <t>R410A</t>
    <phoneticPr fontId="2"/>
  </si>
  <si>
    <t>R410A per unit
kg</t>
    <phoneticPr fontId="2"/>
  </si>
  <si>
    <t>with Features</t>
    <phoneticPr fontId="2"/>
  </si>
  <si>
    <t>SEER15</t>
    <phoneticPr fontId="2"/>
  </si>
  <si>
    <t>Horizontal</t>
    <phoneticPr fontId="2"/>
  </si>
  <si>
    <t>kg</t>
    <phoneticPr fontId="2"/>
  </si>
  <si>
    <t>AC</t>
    <phoneticPr fontId="2"/>
  </si>
  <si>
    <t>Multi-family</t>
    <phoneticPr fontId="2"/>
  </si>
  <si>
    <t>High-spec</t>
    <phoneticPr fontId="2"/>
  </si>
  <si>
    <t>SEER17</t>
    <phoneticPr fontId="2"/>
  </si>
  <si>
    <t>FIT</t>
    <phoneticPr fontId="2"/>
  </si>
  <si>
    <t>SEER18</t>
    <phoneticPr fontId="2"/>
  </si>
  <si>
    <t>2stage</t>
    <phoneticPr fontId="2"/>
  </si>
  <si>
    <t>SEER20</t>
    <phoneticPr fontId="2"/>
  </si>
  <si>
    <t>vertical</t>
    <phoneticPr fontId="2"/>
  </si>
  <si>
    <t>Volume</t>
    <phoneticPr fontId="2"/>
  </si>
  <si>
    <t>FY24</t>
    <phoneticPr fontId="2"/>
  </si>
  <si>
    <t>Total</t>
    <phoneticPr fontId="2"/>
  </si>
  <si>
    <t>Percentage of total</t>
    <phoneticPr fontId="2"/>
  </si>
  <si>
    <t>RTU</t>
    <phoneticPr fontId="2"/>
  </si>
  <si>
    <t>Unitary</t>
    <phoneticPr fontId="2"/>
  </si>
  <si>
    <t>Res-Pack</t>
    <phoneticPr fontId="2"/>
  </si>
  <si>
    <t>R140A</t>
    <phoneticPr fontId="2"/>
  </si>
  <si>
    <t>PTAC</t>
    <phoneticPr fontId="2"/>
  </si>
  <si>
    <t>VRV</t>
    <phoneticPr fontId="2"/>
  </si>
  <si>
    <t>LC-Sprit</t>
    <phoneticPr fontId="2"/>
  </si>
  <si>
    <t>HP</t>
    <phoneticPr fontId="2"/>
  </si>
  <si>
    <t>base</t>
    <phoneticPr fontId="2"/>
  </si>
  <si>
    <t>For business use</t>
    <phoneticPr fontId="2"/>
  </si>
  <si>
    <t>FY25</t>
    <phoneticPr fontId="2"/>
  </si>
  <si>
    <t>Ú</t>
    <phoneticPr fontId="2"/>
  </si>
  <si>
    <t>2029 U.S. estimates</t>
    <phoneticPr fontId="2"/>
  </si>
  <si>
    <t>R32</t>
    <phoneticPr fontId="2"/>
  </si>
  <si>
    <t>R454B</t>
    <phoneticPr fontId="2"/>
  </si>
  <si>
    <t>References:</t>
    <phoneticPr fontId="2"/>
  </si>
  <si>
    <t>Required amount of refrigerant (tons)</t>
    <phoneticPr fontId="2"/>
  </si>
  <si>
    <t>Daikin</t>
    <phoneticPr fontId="2"/>
  </si>
  <si>
    <t>GWP Conversion</t>
    <phoneticPr fontId="2"/>
  </si>
  <si>
    <t>Lennox</t>
  </si>
  <si>
    <t>FY22</t>
    <phoneticPr fontId="2"/>
  </si>
  <si>
    <t>FY29</t>
    <phoneticPr fontId="2"/>
  </si>
  <si>
    <t>Trane</t>
  </si>
  <si>
    <t>Other</t>
    <phoneticPr fontId="2"/>
  </si>
  <si>
    <t>Market share</t>
    <phoneticPr fontId="2"/>
  </si>
  <si>
    <t>Carrier</t>
  </si>
  <si>
    <t>R 410 A conversion</t>
    <phoneticPr fontId="2"/>
  </si>
  <si>
    <t>R 32 equivalent</t>
    <phoneticPr fontId="2"/>
  </si>
  <si>
    <t>Rheem</t>
  </si>
  <si>
    <t>Overall</t>
    <phoneticPr fontId="2"/>
  </si>
  <si>
    <t>JCI</t>
    <phoneticPr fontId="2"/>
  </si>
  <si>
    <t>Alcemaquat</t>
    <phoneticPr fontId="2"/>
  </si>
  <si>
    <t>Supply to Daikin (60%)</t>
    <phoneticPr fontId="2"/>
  </si>
  <si>
    <r>
      <rPr>
        <sz val="9"/>
        <rFont val="游ゴシック"/>
        <family val="3"/>
        <charset val="128"/>
      </rPr>
      <t>Coolant to be selected ‰</t>
    </r>
    <phoneticPr fontId="2"/>
  </si>
  <si>
    <t>Daikin</t>
  </si>
  <si>
    <t>R32</t>
    <phoneticPr fontId="2"/>
  </si>
  <si>
    <t>R454B</t>
  </si>
  <si>
    <t>number of unitary units</t>
    <phoneticPr fontId="2"/>
  </si>
  <si>
    <t>year on year</t>
    <phoneticPr fontId="2"/>
  </si>
  <si>
    <t>Actual Results</t>
    <phoneticPr fontId="2"/>
  </si>
  <si>
    <t>FY20</t>
    <phoneticPr fontId="2"/>
  </si>
  <si>
    <t>FY21</t>
    <phoneticPr fontId="2"/>
  </si>
  <si>
    <t>FY23</t>
    <phoneticPr fontId="2"/>
  </si>
  <si>
    <t>2021-2025 CARG</t>
    <phoneticPr fontId="2"/>
  </si>
  <si>
    <t>2020
Actual Results</t>
    <phoneticPr fontId="2"/>
  </si>
  <si>
    <t>2020 Actual</t>
    <phoneticPr fontId="2"/>
  </si>
  <si>
    <t>2021 Results</t>
    <phoneticPr fontId="2"/>
  </si>
  <si>
    <t>2022 Plan</t>
    <phoneticPr fontId="2"/>
  </si>
  <si>
    <t>2023 Plan</t>
    <phoneticPr fontId="2"/>
  </si>
  <si>
    <t>2024 Forecast</t>
    <phoneticPr fontId="2"/>
  </si>
  <si>
    <t>-</t>
    <phoneticPr fontId="2"/>
  </si>
  <si>
    <t>2025 Forecast</t>
    <phoneticPr fontId="2"/>
  </si>
  <si>
    <t>Number of unitary units other than FIT</t>
    <phoneticPr fontId="2"/>
  </si>
  <si>
    <t>Unitary (FIT)</t>
    <phoneticPr fontId="2"/>
  </si>
  <si>
    <t>DTTP</t>
    <phoneticPr fontId="2"/>
  </si>
  <si>
    <t>2026 Forecast</t>
    <phoneticPr fontId="2"/>
  </si>
  <si>
    <t>2027 Forecast</t>
    <phoneticPr fontId="2"/>
  </si>
  <si>
    <t>2028 Forecast</t>
    <phoneticPr fontId="2"/>
  </si>
  <si>
    <t>2029 Forecast</t>
    <phoneticPr fontId="2"/>
  </si>
  <si>
    <t>Performance</t>
    <phoneticPr fontId="2"/>
  </si>
  <si>
    <t>R 32%</t>
    <phoneticPr fontId="2"/>
  </si>
  <si>
    <t>Amount of refrigerant applied to R 32</t>
    <phoneticPr fontId="2"/>
  </si>
  <si>
    <t>R 32 Usage</t>
    <phoneticPr fontId="2"/>
  </si>
  <si>
    <t>Number (10,000 units)</t>
    <phoneticPr fontId="2"/>
  </si>
  <si>
    <t>baseline estimation
2020/90%</t>
    <phoneticPr fontId="2"/>
  </si>
  <si>
    <t>amount of refrigerant
(tons)</t>
    <phoneticPr fontId="2"/>
  </si>
  <si>
    <t>2021
RB</t>
    <phoneticPr fontId="2"/>
  </si>
  <si>
    <t xml:space="preserve">market share
</t>
    <phoneticPr fontId="2"/>
  </si>
  <si>
    <r>
      <rPr>
        <sz val="9"/>
        <rFont val="游ゴシック"/>
        <family val="3"/>
        <charset val="128"/>
      </rPr>
      <t>2020 Results</t>
    </r>
    <phoneticPr fontId="2"/>
  </si>
  <si>
    <t>2021 Plan</t>
    <phoneticPr fontId="2"/>
  </si>
  <si>
    <t>market growth rate</t>
    <phoneticPr fontId="2"/>
  </si>
  <si>
    <t>2024 Forecast</t>
    <phoneticPr fontId="2"/>
  </si>
  <si>
    <t>2025 Forecast</t>
    <phoneticPr fontId="2"/>
  </si>
  <si>
    <t>2026 Forecast</t>
    <phoneticPr fontId="2"/>
  </si>
  <si>
    <t>2022 – Forecast</t>
    <phoneticPr fontId="2"/>
  </si>
  <si>
    <t>2022 Forecast</t>
    <phoneticPr fontId="2"/>
  </si>
  <si>
    <t>2023 Forecast</t>
    <phoneticPr fontId="2"/>
  </si>
  <si>
    <t>Total</t>
    <phoneticPr fontId="2"/>
  </si>
  <si>
    <t>casing</t>
    <phoneticPr fontId="2"/>
  </si>
  <si>
    <t>INV</t>
    <phoneticPr fontId="2"/>
  </si>
  <si>
    <t>-</t>
    <phoneticPr fontId="2"/>
  </si>
  <si>
    <t>refrigerant type</t>
    <phoneticPr fontId="2"/>
  </si>
  <si>
    <t>R410A</t>
    <phoneticPr fontId="2"/>
  </si>
  <si>
    <t>Switch incrementally</t>
    <phoneticPr fontId="2"/>
  </si>
  <si>
    <t>Equivalent to R 410 A</t>
    <phoneticPr fontId="2"/>
  </si>
  <si>
    <t>GWP (tons) R 410 A: 2090
R32:675
R454B:465</t>
    <phoneticPr fontId="2"/>
  </si>
  <si>
    <t>vs. baseline</t>
    <phoneticPr fontId="2"/>
  </si>
  <si>
    <t>2027 Forecast</t>
    <phoneticPr fontId="2"/>
  </si>
  <si>
    <t>2028 Forecast</t>
    <phoneticPr fontId="2"/>
  </si>
  <si>
    <t>2029 Forecast</t>
    <phoneticPr fontId="2"/>
  </si>
  <si>
    <t>American domestic production</t>
    <phoneticPr fontId="2"/>
  </si>
  <si>
    <t>partial precharge</t>
    <phoneticPr fontId="2"/>
  </si>
  <si>
    <t>INV</t>
    <phoneticPr fontId="2"/>
  </si>
  <si>
    <t>5717*0.88</t>
    <phoneticPr fontId="2"/>
  </si>
  <si>
    <t>vs. baseline
(Target: 60%)</t>
    <phoneticPr fontId="2"/>
  </si>
  <si>
    <t>R 32/INV /
R 454 B/NON</t>
    <phoneticPr fontId="2"/>
  </si>
  <si>
    <t>baseline estimation</t>
    <phoneticPr fontId="2"/>
  </si>
  <si>
    <t>Goal</t>
    <phoneticPr fontId="2"/>
  </si>
  <si>
    <t>Gap</t>
    <phoneticPr fontId="2"/>
  </si>
  <si>
    <t>GWP</t>
    <phoneticPr fontId="2"/>
  </si>
  <si>
    <t>Residential</t>
    <phoneticPr fontId="2"/>
  </si>
  <si>
    <t>R 454 B/Casing</t>
    <phoneticPr fontId="2"/>
  </si>
  <si>
    <t>FIT (R 410 A, Casing, INV)</t>
    <phoneticPr fontId="2"/>
  </si>
  <si>
    <t>Casing?</t>
    <phoneticPr fontId="2"/>
  </si>
  <si>
    <t>R 32 (tons)</t>
    <phoneticPr fontId="2"/>
  </si>
  <si>
    <t>baseline estimation
2022/90%</t>
    <phoneticPr fontId="2"/>
  </si>
  <si>
    <t>GWP(MMTEVe)</t>
    <phoneticPr fontId="2"/>
  </si>
  <si>
    <t>Required amount of refrigerant
(tons)</t>
    <phoneticPr fontId="2"/>
  </si>
  <si>
    <t>Total in the United States</t>
    <phoneticPr fontId="2"/>
  </si>
  <si>
    <t>*+ Business</t>
    <phoneticPr fontId="2"/>
  </si>
  <si>
    <t>*+ Ross 20%</t>
    <phoneticPr fontId="2"/>
  </si>
  <si>
    <t>※+DAA</t>
    <phoneticPr fontId="2"/>
  </si>
  <si>
    <t>Goodman</t>
  </si>
  <si>
    <t>Unitary</t>
    <phoneticPr fontId="2"/>
  </si>
  <si>
    <t>FY22</t>
    <phoneticPr fontId="2"/>
  </si>
  <si>
    <t>FY24</t>
  </si>
  <si>
    <t>FY25</t>
  </si>
  <si>
    <t>FY26</t>
  </si>
  <si>
    <t>FY27</t>
  </si>
  <si>
    <t>FY28</t>
  </si>
  <si>
    <t>FY29</t>
  </si>
  <si>
    <t>trial calculation</t>
    <phoneticPr fontId="2"/>
  </si>
  <si>
    <t>Unitary (non-FIT)</t>
    <phoneticPr fontId="2"/>
  </si>
  <si>
    <t>Total</t>
    <phoneticPr fontId="2"/>
  </si>
  <si>
    <t>growth rate</t>
    <phoneticPr fontId="2"/>
  </si>
  <si>
    <t>R410A</t>
    <phoneticPr fontId="2"/>
  </si>
  <si>
    <t>R32</t>
    <phoneticPr fontId="2"/>
  </si>
  <si>
    <t>Percentage</t>
    <phoneticPr fontId="2"/>
  </si>
  <si>
    <t>FIT(INV)</t>
    <phoneticPr fontId="2"/>
  </si>
  <si>
    <t>HP%</t>
    <phoneticPr fontId="2"/>
  </si>
  <si>
    <t>AC%</t>
    <phoneticPr fontId="2"/>
  </si>
  <si>
    <t>AC+HP</t>
    <phoneticPr fontId="2"/>
  </si>
  <si>
    <t>SEER14Base Spec North</t>
    <phoneticPr fontId="2"/>
  </si>
  <si>
    <t>SEER14Base Spec North
with Features</t>
    <phoneticPr fontId="2"/>
  </si>
  <si>
    <t>SEER15 vertical</t>
    <phoneticPr fontId="2"/>
  </si>
  <si>
    <t>SEER15 horizonal</t>
    <phoneticPr fontId="2"/>
  </si>
  <si>
    <t>SEER15 withFeatures</t>
    <phoneticPr fontId="2"/>
  </si>
  <si>
    <t>SEER15 Multi-family</t>
    <phoneticPr fontId="2"/>
  </si>
  <si>
    <t>SEER15 High-spec</t>
    <phoneticPr fontId="2"/>
  </si>
  <si>
    <t>SEER18 2stage</t>
    <phoneticPr fontId="2"/>
  </si>
  <si>
    <t>Percentage</t>
    <phoneticPr fontId="2"/>
  </si>
  <si>
    <t>SEER15 base</t>
    <phoneticPr fontId="2"/>
  </si>
  <si>
    <t>SEER15 with features</t>
    <phoneticPr fontId="2"/>
  </si>
  <si>
    <t>SEER15 multi-family</t>
    <phoneticPr fontId="2"/>
  </si>
  <si>
    <t>SEER15 high-spec</t>
    <phoneticPr fontId="2"/>
  </si>
  <si>
    <t>Number of units produced</t>
    <phoneticPr fontId="2"/>
  </si>
  <si>
    <t>R32 per unit</t>
    <phoneticPr fontId="2"/>
  </si>
  <si>
    <t>Number of R 410 A units</t>
    <phoneticPr fontId="2"/>
  </si>
  <si>
    <t>R 32 units</t>
    <phoneticPr fontId="2"/>
  </si>
  <si>
    <t>R 410 A Usage</t>
    <phoneticPr fontId="2"/>
  </si>
  <si>
    <t>FY26</t>
    <phoneticPr fontId="2"/>
  </si>
  <si>
    <t>FY27</t>
    <phoneticPr fontId="2"/>
  </si>
  <si>
    <t>FY28</t>
    <phoneticPr fontId="2"/>
  </si>
  <si>
    <t>R32 per unit
kg</t>
    <phoneticPr fontId="2"/>
  </si>
  <si>
    <t>AC(ton)</t>
    <phoneticPr fontId="2"/>
  </si>
  <si>
    <t>HP(ton)</t>
    <phoneticPr fontId="2"/>
  </si>
  <si>
    <t>Total (tons)</t>
    <phoneticPr fontId="2"/>
  </si>
  <si>
    <t>Total</t>
    <phoneticPr fontId="2"/>
  </si>
  <si>
    <t>Baseline</t>
    <phoneticPr fontId="2"/>
  </si>
  <si>
    <t>product design</t>
    <phoneticPr fontId="2"/>
  </si>
  <si>
    <t>buffer</t>
    <phoneticPr fontId="2"/>
  </si>
  <si>
    <t>Amount of refrigerant required by Goodman</t>
    <phoneticPr fontId="2"/>
  </si>
  <si>
    <t>amount of refrigerant required by DAA</t>
    <phoneticPr fontId="2"/>
  </si>
  <si>
    <t>Example:2022</t>
    <phoneticPr fontId="2"/>
  </si>
  <si>
    <t>Vs. 2022</t>
    <phoneticPr fontId="2"/>
  </si>
  <si>
    <t>year on year</t>
    <phoneticPr fontId="2"/>
  </si>
  <si>
    <t>FIT (works in)</t>
  </si>
  <si>
    <t>R32%</t>
    <phoneticPr fontId="2"/>
  </si>
  <si>
    <t>INV%</t>
    <phoneticPr fontId="2"/>
  </si>
  <si>
    <t>Subtotal</t>
    <phoneticPr fontId="2"/>
  </si>
  <si>
    <t>Unitary outdoor unit (other than FIT)</t>
    <phoneticPr fontId="2"/>
  </si>
  <si>
    <t>Amount of refrigerant used</t>
    <phoneticPr fontId="2"/>
  </si>
  <si>
    <t>R 410 A (tons)</t>
    <phoneticPr fontId="2"/>
  </si>
  <si>
    <t>R 32 (tons)</t>
    <phoneticPr fontId="2"/>
  </si>
  <si>
    <t>Vs. 2019</t>
    <phoneticPr fontId="2"/>
  </si>
  <si>
    <t xml:space="preserve">R 32 (tons)   　 </t>
    <phoneticPr fontId="2"/>
  </si>
  <si>
    <t>GWP (tons)</t>
    <phoneticPr fontId="2"/>
  </si>
  <si>
    <t>Case 1: Reduced refrigerant consumption by expanding sales of R 32 and FIT</t>
    <phoneticPr fontId="2"/>
  </si>
  <si>
    <t>Daikin North America Group Total</t>
    <phoneticPr fontId="2"/>
  </si>
  <si>
    <t>Guideline for the amount of refrigerant required by the entire Daikin Group in North America</t>
    <phoneticPr fontId="2"/>
  </si>
  <si>
    <t>Case 2: Switching of R 410 A is slow and the ratio of NON is large.</t>
    <phoneticPr fontId="2"/>
  </si>
  <si>
    <t>Growth rate (vs. 2019)</t>
    <phoneticPr fontId="2"/>
  </si>
  <si>
    <t>vs baseline (back-calculated at 90% FY 22)</t>
    <phoneticPr fontId="2"/>
  </si>
  <si>
    <t>(Sales in FY N ÷ Sales in the first year) ^ {1 ÷ (N- first year)} -1</t>
  </si>
  <si>
    <t xml:space="preserve">R 454 B (tons)  </t>
    <phoneticPr fontId="2"/>
  </si>
  <si>
    <t>R454B%</t>
    <phoneticPr fontId="2"/>
  </si>
  <si>
    <t>CAGR</t>
    <phoneticPr fontId="2"/>
  </si>
  <si>
    <t xml:space="preserve">R 454 B (tons)   　 </t>
    <phoneticPr fontId="2"/>
  </si>
  <si>
    <t>Group Total</t>
    <phoneticPr fontId="2"/>
  </si>
  <si>
    <t>DAA</t>
    <phoneticPr fontId="2"/>
  </si>
  <si>
    <t>Goodman</t>
    <phoneticPr fontId="2"/>
  </si>
  <si>
    <t>1000 units, 0% CAGR</t>
    <phoneticPr fontId="2"/>
  </si>
  <si>
    <t>Case 3: Third party guess (R 454 B adoption, market conditions remain unchanged)</t>
    <phoneticPr fontId="2"/>
  </si>
  <si>
    <t>GWP</t>
    <phoneticPr fontId="2"/>
  </si>
  <si>
    <t>R410A</t>
    <phoneticPr fontId="2"/>
  </si>
  <si>
    <t>R32</t>
    <phoneticPr fontId="2"/>
  </si>
  <si>
    <t>R454B</t>
    <phoneticPr fontId="2"/>
  </si>
  <si>
    <t>R 32 (tons)</t>
    <phoneticPr fontId="2"/>
  </si>
  <si>
    <t>GWP</t>
    <phoneticPr fontId="2"/>
  </si>
  <si>
    <t>Example:2029</t>
    <phoneticPr fontId="2"/>
  </si>
  <si>
    <t>vs. baseline</t>
    <phoneticPr fontId="2"/>
  </si>
  <si>
    <t>Goal</t>
    <phoneticPr fontId="2"/>
  </si>
  <si>
    <t>Gap</t>
    <phoneticPr fontId="2"/>
  </si>
  <si>
    <t>Over (GWP)</t>
    <phoneticPr fontId="2"/>
  </si>
  <si>
    <t>Assumption of refrigerant required by Daikin Group in US</t>
    <phoneticPr fontId="2"/>
  </si>
  <si>
    <t>e.g.2022</t>
    <phoneticPr fontId="2"/>
  </si>
  <si>
    <t xml:space="preserve"> Goodman</t>
    <phoneticPr fontId="2"/>
  </si>
  <si>
    <t>Commercial</t>
    <phoneticPr fontId="2"/>
  </si>
  <si>
    <t>Product design</t>
    <phoneticPr fontId="2"/>
  </si>
  <si>
    <t>Spare</t>
    <phoneticPr fontId="2"/>
  </si>
  <si>
    <t>Daikin Group in US</t>
    <phoneticPr fontId="2"/>
  </si>
  <si>
    <t>1,000 units, 5% CAGR</t>
    <phoneticPr fontId="2"/>
  </si>
  <si>
    <t>Unitary(other than FIT)</t>
    <phoneticPr fontId="2"/>
  </si>
  <si>
    <t>FIT (made in US)</t>
    <phoneticPr fontId="2"/>
  </si>
  <si>
    <t>R410 A (tons)</t>
    <phoneticPr fontId="2"/>
  </si>
  <si>
    <t xml:space="preserve">R32 (tons)   　 </t>
    <phoneticPr fontId="2"/>
  </si>
  <si>
    <t>R32 (tons)</t>
    <phoneticPr fontId="2"/>
  </si>
  <si>
    <t>Target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</si>
</sst>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76" formatCode="0.0_);[Red]\(0.0\)"/>
    <numFmt numFmtId="177" formatCode="0.0000%"/>
    <numFmt numFmtId="178" formatCode="0.0%"/>
    <numFmt numFmtId="179" formatCode="0_ "/>
    <numFmt numFmtId="180" formatCode="_(* #,##0_);_(* \(#,##0\);_(* &quot;-&quot;??_);_(@_)"/>
    <numFmt numFmtId="181" formatCode="General&quot;年&quot;&quot;度&quot;"/>
    <numFmt numFmtId="182" formatCode="#,##0.0;[Red]\-#,##0.0"/>
    <numFmt numFmtId="183" formatCode="0_);[Red]\(0\)"/>
  </numFmts>
  <fonts count="14" x14ac:knownFonts="1">
    <font>
      <sz val="9"/>
      <name val="游ゴシック"/>
    </font>
    <font>
      <sz val="9"/>
      <name val="游ゴシック"/>
      <family val="3"/>
      <charset val="128"/>
    </font>
    <font>
      <sz val="5"/>
      <name val="游ゴシック"/>
      <family val="3"/>
      <charset val="128"/>
    </font>
    <font>
      <sz val="9"/>
      <name val="游ゴシック"/>
      <family val="3"/>
      <charset val="128"/>
    </font>
    <font>
      <sz val="9"/>
      <name val="游ゴシック"/>
      <family val="3"/>
      <charset val="128"/>
    </font>
    <font>
      <sz val="9"/>
      <name val="游ゴシック"/>
      <family val="3"/>
      <charset val="128"/>
    </font>
    <font>
      <sz val="9"/>
      <name val="游ゴシック"/>
      <family val="3"/>
      <charset val="128"/>
    </font>
    <font>
      <sz val="9"/>
      <name val="游ゴシック"/>
      <family val="3"/>
      <charset val="128"/>
    </font>
    <font>
      <sz val="7"/>
      <name val="游ゴシック"/>
      <family val="3"/>
      <charset val="128"/>
    </font>
    <font>
      <sz val="6"/>
      <name val="游ゴシック"/>
      <family val="3"/>
      <charset val="128"/>
    </font>
    <font>
      <sz val="7"/>
      <name val="游ゴシック"/>
      <family val="3"/>
      <charset val="128"/>
    </font>
    <font>
      <sz val="9"/>
      <name val="游ゴシック"/>
      <family val="3"/>
      <charset val="128"/>
    </font>
    <font>
      <sz val="9"/>
      <name val="游ゴシック"/>
      <family val="3"/>
      <charset val="128"/>
    </font>
    <font>
      <sz val="6"/>
      <name val="游ゴシック"/>
      <family val="3"/>
      <charset val="128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59999389629810485"/>
        <bgColor indexed="64"/>
      </patternFill>
    </fill>
  </fills>
  <borders count="10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medium">
        <color indexed="64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hair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 style="thin">
        <color auto="1"/>
      </left>
      <right/>
      <top style="hair">
        <color auto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hair">
        <color indexed="64"/>
      </left>
      <right style="thin">
        <color auto="1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hair">
        <color indexed="64"/>
      </left>
      <right style="thin">
        <color auto="1"/>
      </right>
      <top style="hair">
        <color indexed="64"/>
      </top>
      <bottom/>
      <diagonal/>
    </border>
    <border>
      <left style="hair">
        <color indexed="64"/>
      </left>
      <right style="thin">
        <color auto="1"/>
      </right>
      <top style="double">
        <color auto="1"/>
      </top>
      <bottom/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double">
        <color auto="1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indexed="64"/>
      </left>
      <right style="thin">
        <color auto="1"/>
      </right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auto="1"/>
      </left>
      <right style="medium">
        <color indexed="64"/>
      </right>
      <top style="hair">
        <color indexed="64"/>
      </top>
      <bottom/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hair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auto="1"/>
      </left>
      <right/>
      <top style="double">
        <color auto="1"/>
      </top>
      <bottom style="medium">
        <color indexed="64"/>
      </bottom>
      <diagonal/>
    </border>
    <border>
      <left style="hair">
        <color indexed="64"/>
      </left>
      <right style="thin">
        <color auto="1"/>
      </right>
      <top style="double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double">
        <color auto="1"/>
      </top>
      <bottom style="medium">
        <color indexed="64"/>
      </bottom>
      <diagonal/>
    </border>
    <border>
      <left/>
      <right/>
      <top style="hair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thin">
        <color auto="1"/>
      </right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hair">
        <color auto="1"/>
      </left>
      <right style="hair">
        <color indexed="64"/>
      </right>
      <top style="hair">
        <color auto="1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double">
        <color auto="1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4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0" fontId="1" fillId="0" borderId="0" applyFont="0" applyFill="0" applyBorder="0" applyAlignment="0" applyProtection="0">
      <alignment vertical="center"/>
    </xf>
  </cellStyleXfs>
  <cellXfs count="525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vertical="center" wrapText="1"/>
    </xf>
    <xf numFmtId="176" fontId="0" fillId="0" borderId="0" xfId="0" applyNumberFormat="1" applyAlignment="1">
      <alignment vertical="center"/>
    </xf>
    <xf numFmtId="38" fontId="0" fillId="0" borderId="0" xfId="1" applyFont="1">
      <alignment vertical="center"/>
    </xf>
    <xf numFmtId="38" fontId="0" fillId="0" borderId="0" xfId="0" applyNumberFormat="1">
      <alignment vertical="center"/>
    </xf>
    <xf numFmtId="9" fontId="0" fillId="0" borderId="0" xfId="2" applyFont="1">
      <alignment vertical="center"/>
    </xf>
    <xf numFmtId="38" fontId="0" fillId="2" borderId="0" xfId="0" applyNumberFormat="1" applyFill="1">
      <alignment vertical="center"/>
    </xf>
    <xf numFmtId="0" fontId="0" fillId="3" borderId="0" xfId="0" applyFill="1">
      <alignment vertical="center"/>
    </xf>
    <xf numFmtId="0" fontId="0" fillId="0" borderId="1" xfId="0" applyBorder="1">
      <alignment vertical="center"/>
    </xf>
    <xf numFmtId="38" fontId="0" fillId="0" borderId="1" xfId="1" applyFont="1" applyBorder="1">
      <alignment vertical="center"/>
    </xf>
    <xf numFmtId="38" fontId="3" fillId="4" borderId="0" xfId="1" applyFont="1" applyFill="1">
      <alignment vertical="center"/>
    </xf>
    <xf numFmtId="38" fontId="0" fillId="4" borderId="1" xfId="1" applyFont="1" applyFill="1" applyBorder="1">
      <alignment vertical="center"/>
    </xf>
    <xf numFmtId="38" fontId="0" fillId="4" borderId="1" xfId="0" applyNumberFormat="1" applyFill="1" applyBorder="1">
      <alignment vertical="center"/>
    </xf>
    <xf numFmtId="9" fontId="0" fillId="3" borderId="5" xfId="0" applyNumberFormat="1" applyFill="1" applyBorder="1">
      <alignment vertical="center"/>
    </xf>
    <xf numFmtId="9" fontId="4" fillId="0" borderId="0" xfId="0" applyNumberFormat="1" applyFont="1">
      <alignment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9" fontId="0" fillId="0" borderId="0" xfId="0" applyNumberFormat="1">
      <alignment vertical="center"/>
    </xf>
    <xf numFmtId="38" fontId="0" fillId="5" borderId="1" xfId="1" applyFont="1" applyFill="1" applyBorder="1" applyAlignment="1">
      <alignment horizontal="center" vertical="center"/>
    </xf>
    <xf numFmtId="38" fontId="0" fillId="6" borderId="1" xfId="1" applyFont="1" applyFill="1" applyBorder="1" applyAlignment="1">
      <alignment horizontal="center" vertical="center"/>
    </xf>
    <xf numFmtId="0" fontId="0" fillId="7" borderId="9" xfId="0" applyFill="1" applyBorder="1">
      <alignment vertical="center"/>
    </xf>
    <xf numFmtId="9" fontId="0" fillId="0" borderId="10" xfId="0" applyNumberFormat="1" applyBorder="1">
      <alignment vertical="center"/>
    </xf>
    <xf numFmtId="9" fontId="0" fillId="0" borderId="11" xfId="0" applyNumberFormat="1" applyBorder="1">
      <alignment vertical="center"/>
    </xf>
    <xf numFmtId="9" fontId="0" fillId="0" borderId="2" xfId="0" applyNumberFormat="1" applyBorder="1">
      <alignment vertical="center"/>
    </xf>
    <xf numFmtId="0" fontId="0" fillId="0" borderId="11" xfId="0" applyBorder="1">
      <alignment vertical="center"/>
    </xf>
    <xf numFmtId="9" fontId="0" fillId="5" borderId="1" xfId="0" applyNumberFormat="1" applyFill="1" applyBorder="1" applyAlignment="1">
      <alignment horizontal="center" vertical="center"/>
    </xf>
    <xf numFmtId="9" fontId="0" fillId="6" borderId="1" xfId="0" applyNumberFormat="1" applyFill="1" applyBorder="1" applyAlignment="1">
      <alignment horizontal="center" vertical="center"/>
    </xf>
    <xf numFmtId="9" fontId="0" fillId="0" borderId="2" xfId="2" applyFont="1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7" borderId="12" xfId="0" applyFill="1" applyBorder="1">
      <alignment vertical="center"/>
    </xf>
    <xf numFmtId="0" fontId="0" fillId="0" borderId="13" xfId="0" applyBorder="1">
      <alignment vertical="center"/>
    </xf>
    <xf numFmtId="0" fontId="0" fillId="0" borderId="9" xfId="0" applyBorder="1">
      <alignment vertical="center"/>
    </xf>
    <xf numFmtId="40" fontId="0" fillId="0" borderId="15" xfId="1" applyNumberFormat="1" applyFont="1" applyBorder="1">
      <alignment vertical="center"/>
    </xf>
    <xf numFmtId="0" fontId="0" fillId="0" borderId="12" xfId="0" applyBorder="1">
      <alignment vertical="center"/>
    </xf>
    <xf numFmtId="40" fontId="5" fillId="0" borderId="16" xfId="1" applyNumberFormat="1" applyFont="1" applyBorder="1">
      <alignment vertical="center"/>
    </xf>
    <xf numFmtId="38" fontId="0" fillId="0" borderId="4" xfId="1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5" borderId="9" xfId="0" applyFill="1" applyBorder="1">
      <alignment vertical="center"/>
    </xf>
    <xf numFmtId="38" fontId="0" fillId="5" borderId="0" xfId="1" applyFont="1" applyFill="1" applyBorder="1" applyAlignment="1">
      <alignment horizontal="center" vertical="center"/>
    </xf>
    <xf numFmtId="38" fontId="6" fillId="5" borderId="0" xfId="1" applyFont="1" applyFill="1" applyBorder="1" applyAlignment="1">
      <alignment horizontal="center" vertical="center"/>
    </xf>
    <xf numFmtId="9" fontId="0" fillId="0" borderId="9" xfId="0" applyNumberFormat="1" applyBorder="1">
      <alignment vertical="center"/>
    </xf>
    <xf numFmtId="38" fontId="0" fillId="0" borderId="0" xfId="1" applyFont="1" applyFill="1" applyBorder="1" applyAlignment="1">
      <alignment horizontal="center" vertical="center"/>
    </xf>
    <xf numFmtId="38" fontId="0" fillId="0" borderId="15" xfId="1" applyFont="1" applyFill="1" applyBorder="1" applyAlignment="1">
      <alignment horizontal="center" vertical="center"/>
    </xf>
    <xf numFmtId="9" fontId="0" fillId="0" borderId="15" xfId="2" applyFont="1" applyFill="1" applyBorder="1" applyAlignment="1">
      <alignment horizontal="center" vertical="center"/>
    </xf>
    <xf numFmtId="0" fontId="0" fillId="6" borderId="9" xfId="0" applyFill="1" applyBorder="1">
      <alignment vertical="center"/>
    </xf>
    <xf numFmtId="38" fontId="0" fillId="6" borderId="0" xfId="1" applyFont="1" applyFill="1" applyBorder="1" applyAlignment="1">
      <alignment horizontal="center" vertical="center"/>
    </xf>
    <xf numFmtId="38" fontId="0" fillId="6" borderId="15" xfId="1" applyFont="1" applyFill="1" applyBorder="1" applyAlignment="1">
      <alignment horizontal="center" vertical="center"/>
    </xf>
    <xf numFmtId="0" fontId="0" fillId="0" borderId="17" xfId="0" applyBorder="1">
      <alignment vertical="center"/>
    </xf>
    <xf numFmtId="38" fontId="0" fillId="0" borderId="18" xfId="1" applyFont="1" applyFill="1" applyBorder="1" applyAlignment="1">
      <alignment horizontal="center" vertical="center"/>
    </xf>
    <xf numFmtId="38" fontId="7" fillId="0" borderId="18" xfId="1" applyFont="1" applyFill="1" applyBorder="1" applyAlignment="1">
      <alignment horizontal="center" vertical="center"/>
    </xf>
    <xf numFmtId="177" fontId="0" fillId="0" borderId="0" xfId="0" applyNumberFormat="1">
      <alignment vertical="center"/>
    </xf>
    <xf numFmtId="9" fontId="4" fillId="0" borderId="1" xfId="0" applyNumberFormat="1" applyFont="1" applyBorder="1">
      <alignment vertical="center"/>
    </xf>
    <xf numFmtId="9" fontId="0" fillId="0" borderId="1" xfId="0" applyNumberFormat="1" applyBorder="1">
      <alignment vertical="center"/>
    </xf>
    <xf numFmtId="9" fontId="0" fillId="6" borderId="1" xfId="0" applyNumberFormat="1" applyFill="1" applyBorder="1">
      <alignment vertical="center"/>
    </xf>
    <xf numFmtId="38" fontId="0" fillId="0" borderId="0" xfId="0" applyNumberFormat="1" applyAlignment="1">
      <alignment horizontal="center" vertical="center"/>
    </xf>
    <xf numFmtId="0" fontId="0" fillId="0" borderId="3" xfId="0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8" borderId="0" xfId="0" applyFill="1" applyBorder="1">
      <alignment vertical="center"/>
    </xf>
    <xf numFmtId="9" fontId="0" fillId="8" borderId="15" xfId="0" applyNumberFormat="1" applyFill="1" applyBorder="1">
      <alignment vertical="center"/>
    </xf>
    <xf numFmtId="0" fontId="0" fillId="3" borderId="3" xfId="0" applyFill="1" applyBorder="1">
      <alignment vertical="center"/>
    </xf>
    <xf numFmtId="0" fontId="0" fillId="3" borderId="4" xfId="0" applyFill="1" applyBorder="1">
      <alignment vertical="center"/>
    </xf>
    <xf numFmtId="9" fontId="0" fillId="0" borderId="9" xfId="2" applyFont="1" applyBorder="1">
      <alignment vertical="center"/>
    </xf>
    <xf numFmtId="9" fontId="0" fillId="0" borderId="12" xfId="0" applyNumberFormat="1" applyBorder="1">
      <alignment vertical="center"/>
    </xf>
    <xf numFmtId="9" fontId="0" fillId="0" borderId="21" xfId="0" applyNumberFormat="1" applyBorder="1">
      <alignment vertical="center"/>
    </xf>
    <xf numFmtId="9" fontId="0" fillId="0" borderId="15" xfId="0" applyNumberFormat="1" applyBorder="1">
      <alignment vertical="center"/>
    </xf>
    <xf numFmtId="9" fontId="0" fillId="0" borderId="15" xfId="2" applyFont="1" applyBorder="1">
      <alignment vertical="center"/>
    </xf>
    <xf numFmtId="9" fontId="0" fillId="0" borderId="16" xfId="0" applyNumberFormat="1" applyBorder="1">
      <alignment vertical="center"/>
    </xf>
    <xf numFmtId="9" fontId="0" fillId="0" borderId="14" xfId="2" applyFont="1" applyBorder="1">
      <alignment vertical="center"/>
    </xf>
    <xf numFmtId="0" fontId="0" fillId="0" borderId="22" xfId="0" applyBorder="1">
      <alignment vertical="center"/>
    </xf>
    <xf numFmtId="9" fontId="0" fillId="0" borderId="0" xfId="0" applyNumberFormat="1" applyFill="1" applyBorder="1">
      <alignment vertical="center"/>
    </xf>
    <xf numFmtId="9" fontId="0" fillId="5" borderId="1" xfId="0" applyNumberFormat="1" applyFill="1" applyBorder="1">
      <alignment vertical="center"/>
    </xf>
    <xf numFmtId="0" fontId="0" fillId="6" borderId="1" xfId="0" applyFill="1" applyBorder="1">
      <alignment vertical="center"/>
    </xf>
    <xf numFmtId="178" fontId="0" fillId="5" borderId="1" xfId="0" applyNumberFormat="1" applyFill="1" applyBorder="1">
      <alignment vertical="center"/>
    </xf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9" xfId="0" applyBorder="1" applyAlignment="1">
      <alignment vertical="center" wrapText="1"/>
    </xf>
    <xf numFmtId="38" fontId="0" fillId="0" borderId="0" xfId="1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38" fontId="0" fillId="5" borderId="9" xfId="1" applyFont="1" applyFill="1" applyBorder="1" applyAlignment="1">
      <alignment horizontal="center" vertical="center"/>
    </xf>
    <xf numFmtId="38" fontId="6" fillId="5" borderId="15" xfId="1" applyFont="1" applyFill="1" applyBorder="1" applyAlignment="1">
      <alignment horizontal="center" vertical="center"/>
    </xf>
    <xf numFmtId="38" fontId="0" fillId="0" borderId="9" xfId="1" applyFont="1" applyFill="1" applyBorder="1" applyAlignment="1">
      <alignment horizontal="center" vertical="center"/>
    </xf>
    <xf numFmtId="38" fontId="0" fillId="6" borderId="9" xfId="1" applyFont="1" applyFill="1" applyBorder="1" applyAlignment="1">
      <alignment horizontal="center" vertical="center"/>
    </xf>
    <xf numFmtId="38" fontId="0" fillId="0" borderId="17" xfId="1" applyFont="1" applyFill="1" applyBorder="1" applyAlignment="1">
      <alignment horizontal="center" vertical="center"/>
    </xf>
    <xf numFmtId="38" fontId="7" fillId="0" borderId="19" xfId="1" applyFont="1" applyFill="1" applyBorder="1" applyAlignment="1">
      <alignment horizontal="center" vertical="center"/>
    </xf>
    <xf numFmtId="9" fontId="0" fillId="0" borderId="0" xfId="0" applyNumberFormat="1" applyBorder="1" applyAlignment="1">
      <alignment horizontal="center" vertical="center" wrapText="1"/>
    </xf>
    <xf numFmtId="9" fontId="0" fillId="0" borderId="15" xfId="0" applyNumberFormat="1" applyBorder="1" applyAlignment="1">
      <alignment horizontal="center" vertical="center" wrapText="1"/>
    </xf>
    <xf numFmtId="0" fontId="0" fillId="0" borderId="9" xfId="0" applyFill="1" applyBorder="1">
      <alignment vertical="center"/>
    </xf>
    <xf numFmtId="38" fontId="6" fillId="5" borderId="9" xfId="1" applyFont="1" applyFill="1" applyBorder="1" applyAlignment="1">
      <alignment horizontal="center" vertical="center"/>
    </xf>
    <xf numFmtId="38" fontId="7" fillId="0" borderId="17" xfId="1" applyFont="1" applyFill="1" applyBorder="1" applyAlignment="1">
      <alignment horizontal="center" vertical="center"/>
    </xf>
    <xf numFmtId="38" fontId="0" fillId="0" borderId="0" xfId="1" applyNumberFormat="1" applyFont="1" applyFill="1" applyBorder="1" applyAlignment="1">
      <alignment horizontal="center" vertical="center"/>
    </xf>
    <xf numFmtId="9" fontId="0" fillId="0" borderId="23" xfId="0" applyNumberForma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9" fontId="6" fillId="5" borderId="24" xfId="2" applyFont="1" applyFill="1" applyBorder="1" applyAlignment="1">
      <alignment horizontal="center" vertical="center"/>
    </xf>
    <xf numFmtId="9" fontId="0" fillId="0" borderId="0" xfId="2" applyFont="1" applyFill="1" applyBorder="1" applyAlignment="1">
      <alignment horizontal="center" vertical="center"/>
    </xf>
    <xf numFmtId="9" fontId="0" fillId="6" borderId="0" xfId="2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9" fontId="0" fillId="5" borderId="15" xfId="0" applyNumberFormat="1" applyFill="1" applyBorder="1" applyAlignment="1">
      <alignment horizontal="center" vertical="center"/>
    </xf>
    <xf numFmtId="9" fontId="0" fillId="0" borderId="19" xfId="2" applyFont="1" applyBorder="1" applyAlignment="1">
      <alignment horizontal="center" vertical="center"/>
    </xf>
    <xf numFmtId="9" fontId="0" fillId="0" borderId="24" xfId="2" applyNumberFormat="1" applyFont="1" applyFill="1" applyBorder="1" applyAlignment="1">
      <alignment horizontal="center" vertical="center"/>
    </xf>
    <xf numFmtId="9" fontId="0" fillId="6" borderId="24" xfId="2" applyNumberFormat="1" applyFont="1" applyFill="1" applyBorder="1" applyAlignment="1">
      <alignment horizontal="center" vertical="center"/>
    </xf>
    <xf numFmtId="9" fontId="7" fillId="0" borderId="25" xfId="2" applyNumberFormat="1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9" fontId="0" fillId="0" borderId="7" xfId="0" applyNumberFormat="1" applyBorder="1" applyAlignment="1">
      <alignment horizontal="center" vertical="center" wrapText="1"/>
    </xf>
    <xf numFmtId="9" fontId="0" fillId="0" borderId="8" xfId="0" applyNumberFormat="1" applyBorder="1" applyAlignment="1">
      <alignment horizontal="center" vertical="center" wrapText="1"/>
    </xf>
    <xf numFmtId="9" fontId="0" fillId="8" borderId="22" xfId="0" applyNumberFormat="1" applyFill="1" applyBorder="1">
      <alignment vertical="center"/>
    </xf>
    <xf numFmtId="178" fontId="0" fillId="3" borderId="1" xfId="0" applyNumberFormat="1" applyFill="1" applyBorder="1">
      <alignment vertical="center"/>
    </xf>
    <xf numFmtId="38" fontId="0" fillId="6" borderId="26" xfId="1" applyFont="1" applyFill="1" applyBorder="1" applyAlignment="1">
      <alignment horizontal="center" vertical="center"/>
    </xf>
    <xf numFmtId="9" fontId="0" fillId="6" borderId="27" xfId="2" applyFont="1" applyFill="1" applyBorder="1" applyAlignment="1">
      <alignment horizontal="center" vertical="center"/>
    </xf>
    <xf numFmtId="38" fontId="0" fillId="0" borderId="20" xfId="1" applyFont="1" applyBorder="1">
      <alignment vertical="center"/>
    </xf>
    <xf numFmtId="38" fontId="7" fillId="0" borderId="20" xfId="1" applyFont="1" applyFill="1" applyBorder="1" applyAlignment="1">
      <alignment horizontal="center" vertical="center"/>
    </xf>
    <xf numFmtId="38" fontId="0" fillId="0" borderId="20" xfId="0" applyNumberFormat="1" applyBorder="1">
      <alignment vertical="center"/>
    </xf>
    <xf numFmtId="9" fontId="0" fillId="0" borderId="16" xfId="2" applyFont="1" applyBorder="1">
      <alignment vertical="center"/>
    </xf>
    <xf numFmtId="9" fontId="7" fillId="0" borderId="28" xfId="2" applyFont="1" applyFill="1" applyBorder="1" applyAlignment="1">
      <alignment horizontal="center" vertical="center"/>
    </xf>
    <xf numFmtId="9" fontId="0" fillId="5" borderId="9" xfId="2" applyFont="1" applyFill="1" applyBorder="1">
      <alignment vertical="center"/>
    </xf>
    <xf numFmtId="9" fontId="0" fillId="6" borderId="9" xfId="2" applyFont="1" applyFill="1" applyBorder="1">
      <alignment vertical="center"/>
    </xf>
    <xf numFmtId="9" fontId="0" fillId="0" borderId="0" xfId="0" applyNumberFormat="1" applyBorder="1">
      <alignment vertical="center"/>
    </xf>
    <xf numFmtId="9" fontId="0" fillId="0" borderId="0" xfId="2" applyFont="1" applyBorder="1">
      <alignment vertical="center"/>
    </xf>
    <xf numFmtId="9" fontId="9" fillId="0" borderId="5" xfId="0" applyNumberFormat="1" applyFont="1" applyBorder="1" applyAlignment="1">
      <alignment horizontal="center" wrapText="1"/>
    </xf>
    <xf numFmtId="9" fontId="0" fillId="0" borderId="15" xfId="0" applyNumberFormat="1" applyFill="1" applyBorder="1">
      <alignment vertical="center"/>
    </xf>
    <xf numFmtId="9" fontId="0" fillId="0" borderId="9" xfId="0" applyNumberFormat="1" applyFill="1" applyBorder="1">
      <alignment vertical="center"/>
    </xf>
    <xf numFmtId="0" fontId="0" fillId="0" borderId="20" xfId="0" applyBorder="1" applyAlignment="1">
      <alignment horizontal="center" vertical="center" wrapText="1"/>
    </xf>
    <xf numFmtId="9" fontId="0" fillId="0" borderId="20" xfId="2" applyFont="1" applyBorder="1" applyAlignment="1"/>
    <xf numFmtId="0" fontId="0" fillId="0" borderId="9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2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9" fontId="7" fillId="0" borderId="25" xfId="2" applyFont="1" applyFill="1" applyBorder="1" applyAlignment="1">
      <alignment horizontal="center" vertical="center"/>
    </xf>
    <xf numFmtId="0" fontId="0" fillId="0" borderId="7" xfId="0" applyFill="1" applyBorder="1">
      <alignment vertical="center"/>
    </xf>
    <xf numFmtId="9" fontId="0" fillId="0" borderId="0" xfId="2" applyFont="1" applyBorder="1" applyAlignment="1"/>
    <xf numFmtId="0" fontId="8" fillId="0" borderId="0" xfId="0" applyFont="1" applyBorder="1" applyAlignment="1">
      <alignment vertical="center" wrapText="1"/>
    </xf>
    <xf numFmtId="0" fontId="8" fillId="0" borderId="15" xfId="0" applyFont="1" applyBorder="1" applyAlignment="1">
      <alignment vertical="center" wrapText="1"/>
    </xf>
    <xf numFmtId="38" fontId="0" fillId="0" borderId="20" xfId="1" applyFont="1" applyFill="1" applyBorder="1" applyAlignment="1">
      <alignment horizontal="center" vertical="center" wrapText="1"/>
    </xf>
    <xf numFmtId="9" fontId="0" fillId="0" borderId="20" xfId="0" applyNumberFormat="1" applyBorder="1" applyAlignment="1">
      <alignment horizontal="center" vertical="center" wrapText="1"/>
    </xf>
    <xf numFmtId="9" fontId="8" fillId="0" borderId="28" xfId="0" applyNumberFormat="1" applyFont="1" applyBorder="1" applyAlignment="1">
      <alignment horizontal="center" vertical="center" wrapText="1"/>
    </xf>
    <xf numFmtId="9" fontId="0" fillId="0" borderId="16" xfId="0" applyNumberForma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9" fontId="8" fillId="0" borderId="29" xfId="0" applyNumberFormat="1" applyFont="1" applyBorder="1" applyAlignment="1">
      <alignment horizontal="center" wrapText="1"/>
    </xf>
    <xf numFmtId="9" fontId="0" fillId="5" borderId="2" xfId="2" applyFont="1" applyFill="1" applyBorder="1">
      <alignment vertical="center"/>
    </xf>
    <xf numFmtId="9" fontId="0" fillId="6" borderId="2" xfId="2" applyFont="1" applyFill="1" applyBorder="1">
      <alignment vertical="center"/>
    </xf>
    <xf numFmtId="38" fontId="0" fillId="0" borderId="18" xfId="1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38" fontId="0" fillId="0" borderId="18" xfId="0" applyNumberFormat="1" applyBorder="1" applyAlignment="1">
      <alignment horizontal="center" vertical="center"/>
    </xf>
    <xf numFmtId="38" fontId="0" fillId="0" borderId="17" xfId="1" applyFont="1" applyBorder="1" applyAlignment="1">
      <alignment horizontal="center" vertical="center"/>
    </xf>
    <xf numFmtId="38" fontId="0" fillId="0" borderId="19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7" xfId="0" applyBorder="1" applyAlignment="1">
      <alignment horizontal="left" vertical="center"/>
    </xf>
    <xf numFmtId="0" fontId="0" fillId="0" borderId="30" xfId="0" applyBorder="1">
      <alignment vertical="center"/>
    </xf>
    <xf numFmtId="40" fontId="0" fillId="0" borderId="2" xfId="1" applyNumberFormat="1" applyFont="1" applyBorder="1">
      <alignment vertical="center"/>
    </xf>
    <xf numFmtId="40" fontId="5" fillId="0" borderId="14" xfId="1" applyNumberFormat="1" applyFont="1" applyBorder="1">
      <alignment vertical="center"/>
    </xf>
    <xf numFmtId="38" fontId="0" fillId="0" borderId="8" xfId="1" applyFont="1" applyBorder="1">
      <alignment vertical="center"/>
    </xf>
    <xf numFmtId="38" fontId="0" fillId="0" borderId="15" xfId="1" applyFont="1" applyBorder="1">
      <alignment vertical="center"/>
    </xf>
    <xf numFmtId="38" fontId="0" fillId="0" borderId="16" xfId="1" applyFont="1" applyBorder="1">
      <alignment vertical="center"/>
    </xf>
    <xf numFmtId="0" fontId="0" fillId="0" borderId="0" xfId="0" applyBorder="1">
      <alignment vertical="center"/>
    </xf>
    <xf numFmtId="40" fontId="5" fillId="0" borderId="0" xfId="1" applyNumberFormat="1" applyFont="1" applyBorder="1">
      <alignment vertical="center"/>
    </xf>
    <xf numFmtId="38" fontId="0" fillId="0" borderId="0" xfId="1" applyFont="1" applyBorder="1">
      <alignment vertical="center"/>
    </xf>
    <xf numFmtId="9" fontId="0" fillId="0" borderId="22" xfId="0" applyNumberFormat="1" applyFill="1" applyBorder="1">
      <alignment vertical="center"/>
    </xf>
    <xf numFmtId="0" fontId="0" fillId="0" borderId="22" xfId="0" applyFill="1" applyBorder="1">
      <alignment vertical="center"/>
    </xf>
    <xf numFmtId="0" fontId="0" fillId="7" borderId="0" xfId="0" applyFill="1" applyBorder="1">
      <alignment vertical="center"/>
    </xf>
    <xf numFmtId="179" fontId="0" fillId="0" borderId="0" xfId="0" applyNumberFormat="1">
      <alignment vertical="center"/>
    </xf>
    <xf numFmtId="38" fontId="0" fillId="0" borderId="0" xfId="1" applyFont="1" applyAlignment="1">
      <alignment horizontal="center" vertical="center"/>
    </xf>
    <xf numFmtId="0" fontId="0" fillId="0" borderId="31" xfId="0" applyBorder="1">
      <alignment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38" fontId="0" fillId="0" borderId="34" xfId="1" applyFont="1" applyBorder="1">
      <alignment vertical="center"/>
    </xf>
    <xf numFmtId="0" fontId="0" fillId="0" borderId="35" xfId="0" applyBorder="1">
      <alignment vertical="center"/>
    </xf>
    <xf numFmtId="38" fontId="0" fillId="0" borderId="36" xfId="1" applyFont="1" applyBorder="1">
      <alignment vertical="center"/>
    </xf>
    <xf numFmtId="180" fontId="0" fillId="9" borderId="30" xfId="3" applyNumberFormat="1" applyFont="1" applyFill="1" applyBorder="1" applyAlignment="1"/>
    <xf numFmtId="180" fontId="0" fillId="9" borderId="37" xfId="3" applyNumberFormat="1" applyFont="1" applyFill="1" applyBorder="1" applyAlignment="1"/>
    <xf numFmtId="180" fontId="0" fillId="9" borderId="38" xfId="3" applyNumberFormat="1" applyFont="1" applyFill="1" applyBorder="1" applyAlignment="1"/>
    <xf numFmtId="180" fontId="0" fillId="9" borderId="39" xfId="3" applyNumberFormat="1" applyFont="1" applyFill="1" applyBorder="1" applyAlignment="1"/>
    <xf numFmtId="9" fontId="0" fillId="9" borderId="40" xfId="3" applyNumberFormat="1" applyFont="1" applyFill="1" applyBorder="1" applyAlignment="1"/>
    <xf numFmtId="9" fontId="0" fillId="9" borderId="41" xfId="3" applyNumberFormat="1" applyFont="1" applyFill="1" applyBorder="1" applyAlignment="1"/>
    <xf numFmtId="180" fontId="0" fillId="9" borderId="2" xfId="3" applyNumberFormat="1" applyFont="1" applyFill="1" applyBorder="1" applyAlignment="1"/>
    <xf numFmtId="180" fontId="0" fillId="9" borderId="42" xfId="3" applyNumberFormat="1" applyFont="1" applyFill="1" applyBorder="1" applyAlignment="1"/>
    <xf numFmtId="180" fontId="0" fillId="9" borderId="9" xfId="3" applyNumberFormat="1" applyFont="1" applyFill="1" applyBorder="1" applyAlignment="1"/>
    <xf numFmtId="180" fontId="0" fillId="9" borderId="6" xfId="3" applyNumberFormat="1" applyFont="1" applyFill="1" applyBorder="1" applyAlignment="1"/>
    <xf numFmtId="180" fontId="0" fillId="9" borderId="46" xfId="3" applyNumberFormat="1" applyFont="1" applyFill="1" applyBorder="1" applyAlignment="1"/>
    <xf numFmtId="9" fontId="0" fillId="9" borderId="47" xfId="3" applyNumberFormat="1" applyFont="1" applyFill="1" applyBorder="1" applyAlignment="1"/>
    <xf numFmtId="181" fontId="0" fillId="0" borderId="51" xfId="0" applyNumberFormat="1" applyBorder="1" applyAlignment="1"/>
    <xf numFmtId="181" fontId="0" fillId="0" borderId="52" xfId="0" applyNumberFormat="1" applyBorder="1" applyAlignment="1"/>
    <xf numFmtId="9" fontId="0" fillId="9" borderId="24" xfId="2" applyFont="1" applyFill="1" applyBorder="1" applyAlignment="1"/>
    <xf numFmtId="9" fontId="0" fillId="9" borderId="23" xfId="2" applyFont="1" applyFill="1" applyBorder="1" applyAlignment="1"/>
    <xf numFmtId="9" fontId="0" fillId="9" borderId="53" xfId="2" applyFont="1" applyFill="1" applyBorder="1" applyAlignment="1"/>
    <xf numFmtId="9" fontId="0" fillId="9" borderId="49" xfId="3" applyNumberFormat="1" applyFont="1" applyFill="1" applyBorder="1" applyAlignment="1"/>
    <xf numFmtId="9" fontId="0" fillId="9" borderId="28" xfId="2" applyFont="1" applyFill="1" applyBorder="1" applyAlignment="1"/>
    <xf numFmtId="181" fontId="0" fillId="0" borderId="54" xfId="0" applyNumberFormat="1" applyBorder="1" applyAlignment="1"/>
    <xf numFmtId="0" fontId="0" fillId="0" borderId="55" xfId="0" applyBorder="1">
      <alignment vertical="center"/>
    </xf>
    <xf numFmtId="181" fontId="0" fillId="0" borderId="56" xfId="0" applyNumberFormat="1" applyBorder="1" applyAlignment="1"/>
    <xf numFmtId="181" fontId="0" fillId="0" borderId="57" xfId="0" applyNumberFormat="1" applyBorder="1" applyAlignment="1"/>
    <xf numFmtId="9" fontId="0" fillId="9" borderId="58" xfId="2" applyFont="1" applyFill="1" applyBorder="1" applyAlignment="1"/>
    <xf numFmtId="9" fontId="0" fillId="9" borderId="59" xfId="2" applyFont="1" applyFill="1" applyBorder="1" applyAlignment="1"/>
    <xf numFmtId="9" fontId="0" fillId="9" borderId="60" xfId="2" applyFont="1" applyFill="1" applyBorder="1" applyAlignment="1"/>
    <xf numFmtId="9" fontId="0" fillId="9" borderId="61" xfId="3" applyNumberFormat="1" applyFont="1" applyFill="1" applyBorder="1" applyAlignment="1"/>
    <xf numFmtId="0" fontId="0" fillId="0" borderId="62" xfId="0" applyBorder="1">
      <alignment vertical="center"/>
    </xf>
    <xf numFmtId="180" fontId="0" fillId="9" borderId="45" xfId="3" applyNumberFormat="1" applyFont="1" applyFill="1" applyBorder="1" applyAlignment="1"/>
    <xf numFmtId="9" fontId="0" fillId="9" borderId="63" xfId="2" applyFont="1" applyFill="1" applyBorder="1" applyAlignment="1"/>
    <xf numFmtId="180" fontId="0" fillId="9" borderId="43" xfId="3" applyNumberFormat="1" applyFont="1" applyFill="1" applyBorder="1" applyAlignment="1"/>
    <xf numFmtId="180" fontId="0" fillId="9" borderId="44" xfId="3" applyNumberFormat="1" applyFont="1" applyFill="1" applyBorder="1" applyAlignment="1"/>
    <xf numFmtId="9" fontId="0" fillId="9" borderId="64" xfId="2" applyFont="1" applyFill="1" applyBorder="1" applyAlignment="1"/>
    <xf numFmtId="180" fontId="0" fillId="9" borderId="65" xfId="3" applyNumberFormat="1" applyFont="1" applyFill="1" applyBorder="1" applyAlignment="1"/>
    <xf numFmtId="9" fontId="0" fillId="9" borderId="52" xfId="2" applyFont="1" applyFill="1" applyBorder="1" applyAlignment="1"/>
    <xf numFmtId="180" fontId="0" fillId="9" borderId="66" xfId="3" applyNumberFormat="1" applyFont="1" applyFill="1" applyBorder="1" applyAlignment="1"/>
    <xf numFmtId="0" fontId="0" fillId="9" borderId="31" xfId="0" applyFill="1" applyBorder="1">
      <alignment vertical="center"/>
    </xf>
    <xf numFmtId="0" fontId="0" fillId="9" borderId="33" xfId="0" applyFill="1" applyBorder="1">
      <alignment vertical="center"/>
    </xf>
    <xf numFmtId="0" fontId="0" fillId="9" borderId="35" xfId="0" applyFill="1" applyBorder="1">
      <alignment vertical="center"/>
    </xf>
    <xf numFmtId="0" fontId="0" fillId="9" borderId="52" xfId="0" applyFill="1" applyBorder="1">
      <alignment vertical="center"/>
    </xf>
    <xf numFmtId="0" fontId="0" fillId="9" borderId="51" xfId="0" applyFill="1" applyBorder="1">
      <alignment vertical="center"/>
    </xf>
    <xf numFmtId="0" fontId="0" fillId="9" borderId="15" xfId="0" applyFill="1" applyBorder="1">
      <alignment vertical="center"/>
    </xf>
    <xf numFmtId="0" fontId="0" fillId="9" borderId="24" xfId="0" applyFill="1" applyBorder="1">
      <alignment vertical="center"/>
    </xf>
    <xf numFmtId="0" fontId="0" fillId="9" borderId="68" xfId="0" applyFill="1" applyBorder="1">
      <alignment vertical="center"/>
    </xf>
    <xf numFmtId="0" fontId="0" fillId="9" borderId="69" xfId="0" applyFill="1" applyBorder="1">
      <alignment vertical="center"/>
    </xf>
    <xf numFmtId="0" fontId="0" fillId="9" borderId="8" xfId="0" applyFill="1" applyBorder="1">
      <alignment vertical="center"/>
    </xf>
    <xf numFmtId="0" fontId="0" fillId="9" borderId="70" xfId="0" applyFill="1" applyBorder="1">
      <alignment vertical="center"/>
    </xf>
    <xf numFmtId="0" fontId="0" fillId="9" borderId="71" xfId="0" applyFill="1" applyBorder="1">
      <alignment vertical="center"/>
    </xf>
    <xf numFmtId="9" fontId="0" fillId="0" borderId="51" xfId="2" applyFont="1" applyBorder="1" applyAlignment="1"/>
    <xf numFmtId="9" fontId="0" fillId="9" borderId="51" xfId="0" applyNumberFormat="1" applyFill="1" applyBorder="1">
      <alignment vertical="center"/>
    </xf>
    <xf numFmtId="9" fontId="0" fillId="9" borderId="8" xfId="0" applyNumberFormat="1" applyFill="1" applyBorder="1">
      <alignment vertical="center"/>
    </xf>
    <xf numFmtId="180" fontId="0" fillId="9" borderId="72" xfId="3" applyNumberFormat="1" applyFont="1" applyFill="1" applyBorder="1" applyAlignment="1"/>
    <xf numFmtId="9" fontId="0" fillId="9" borderId="73" xfId="2" applyFont="1" applyFill="1" applyBorder="1" applyAlignment="1"/>
    <xf numFmtId="180" fontId="0" fillId="9" borderId="74" xfId="3" applyNumberFormat="1" applyFont="1" applyFill="1" applyBorder="1" applyAlignment="1"/>
    <xf numFmtId="9" fontId="0" fillId="9" borderId="75" xfId="2" applyFont="1" applyFill="1" applyBorder="1" applyAlignment="1"/>
    <xf numFmtId="181" fontId="0" fillId="0" borderId="61" xfId="0" applyNumberFormat="1" applyBorder="1" applyAlignment="1"/>
    <xf numFmtId="0" fontId="10" fillId="0" borderId="0" xfId="0" applyFont="1" applyAlignment="1">
      <alignment horizontal="left" vertical="center"/>
    </xf>
    <xf numFmtId="178" fontId="0" fillId="0" borderId="0" xfId="2" applyNumberFormat="1" applyFont="1">
      <alignment vertical="center"/>
    </xf>
    <xf numFmtId="0" fontId="0" fillId="0" borderId="34" xfId="0" applyBorder="1">
      <alignment vertical="center"/>
    </xf>
    <xf numFmtId="38" fontId="0" fillId="0" borderId="0" xfId="1" applyFont="1" applyBorder="1" applyAlignment="1">
      <alignment horizontal="center" vertical="center"/>
    </xf>
    <xf numFmtId="178" fontId="0" fillId="0" borderId="0" xfId="2" applyNumberFormat="1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 wrapText="1"/>
    </xf>
    <xf numFmtId="176" fontId="0" fillId="0" borderId="0" xfId="0" applyNumberFormat="1" applyBorder="1">
      <alignment vertical="center"/>
    </xf>
    <xf numFmtId="178" fontId="0" fillId="0" borderId="0" xfId="2" applyNumberFormat="1" applyFont="1" applyBorder="1">
      <alignment vertical="center"/>
    </xf>
    <xf numFmtId="0" fontId="10" fillId="0" borderId="35" xfId="0" applyFont="1" applyBorder="1" applyAlignment="1">
      <alignment horizontal="left" vertical="center"/>
    </xf>
    <xf numFmtId="178" fontId="0" fillId="0" borderId="62" xfId="2" applyNumberFormat="1" applyFont="1" applyBorder="1">
      <alignment vertical="center"/>
    </xf>
    <xf numFmtId="0" fontId="0" fillId="9" borderId="63" xfId="0" applyFill="1" applyBorder="1">
      <alignment vertical="center"/>
    </xf>
    <xf numFmtId="9" fontId="0" fillId="0" borderId="55" xfId="2" applyFont="1" applyBorder="1">
      <alignment vertical="center"/>
    </xf>
    <xf numFmtId="38" fontId="0" fillId="0" borderId="55" xfId="1" applyFont="1" applyBorder="1">
      <alignment vertical="center"/>
    </xf>
    <xf numFmtId="176" fontId="0" fillId="10" borderId="55" xfId="0" applyNumberFormat="1" applyFill="1" applyBorder="1">
      <alignment vertical="center"/>
    </xf>
    <xf numFmtId="38" fontId="0" fillId="10" borderId="55" xfId="1" applyFont="1" applyFill="1" applyBorder="1">
      <alignment vertical="center"/>
    </xf>
    <xf numFmtId="176" fontId="0" fillId="10" borderId="0" xfId="0" applyNumberFormat="1" applyFill="1" applyBorder="1">
      <alignment vertical="center"/>
    </xf>
    <xf numFmtId="38" fontId="0" fillId="10" borderId="0" xfId="1" applyFont="1" applyFill="1" applyBorder="1">
      <alignment vertical="center"/>
    </xf>
    <xf numFmtId="176" fontId="0" fillId="10" borderId="62" xfId="0" applyNumberFormat="1" applyFill="1" applyBorder="1">
      <alignment vertical="center"/>
    </xf>
    <xf numFmtId="38" fontId="0" fillId="10" borderId="62" xfId="1" applyFont="1" applyFill="1" applyBorder="1">
      <alignment vertical="center"/>
    </xf>
    <xf numFmtId="178" fontId="0" fillId="10" borderId="0" xfId="2" applyNumberFormat="1" applyFont="1" applyFill="1" applyBorder="1">
      <alignment vertical="center"/>
    </xf>
    <xf numFmtId="0" fontId="10" fillId="0" borderId="0" xfId="0" applyFont="1" applyBorder="1" applyAlignment="1">
      <alignment horizontal="left" vertical="center"/>
    </xf>
    <xf numFmtId="178" fontId="0" fillId="0" borderId="34" xfId="2" applyNumberFormat="1" applyFont="1" applyBorder="1" applyAlignment="1">
      <alignment horizontal="center" vertical="center"/>
    </xf>
    <xf numFmtId="181" fontId="0" fillId="0" borderId="32" xfId="0" applyNumberFormat="1" applyBorder="1" applyAlignment="1"/>
    <xf numFmtId="181" fontId="0" fillId="0" borderId="24" xfId="0" applyNumberFormat="1" applyBorder="1" applyAlignment="1"/>
    <xf numFmtId="181" fontId="0" fillId="0" borderId="58" xfId="0" applyNumberFormat="1" applyBorder="1" applyAlignment="1"/>
    <xf numFmtId="182" fontId="0" fillId="0" borderId="0" xfId="1" applyNumberFormat="1" applyFont="1" applyBorder="1">
      <alignment vertical="center"/>
    </xf>
    <xf numFmtId="182" fontId="0" fillId="0" borderId="62" xfId="1" applyNumberFormat="1" applyFont="1" applyBorder="1">
      <alignment vertical="center"/>
    </xf>
    <xf numFmtId="9" fontId="0" fillId="0" borderId="0" xfId="2" applyFont="1" applyBorder="1" applyAlignment="1">
      <alignment horizontal="center" vertical="center"/>
    </xf>
    <xf numFmtId="178" fontId="0" fillId="0" borderId="62" xfId="2" applyNumberFormat="1" applyFont="1" applyBorder="1" applyAlignment="1">
      <alignment horizontal="center" vertical="center"/>
    </xf>
    <xf numFmtId="38" fontId="0" fillId="0" borderId="62" xfId="1" applyFont="1" applyBorder="1" applyAlignment="1">
      <alignment horizontal="center" vertical="center"/>
    </xf>
    <xf numFmtId="178" fontId="0" fillId="0" borderId="36" xfId="2" applyNumberFormat="1" applyFont="1" applyBorder="1" applyAlignment="1">
      <alignment horizontal="center" vertical="center"/>
    </xf>
    <xf numFmtId="179" fontId="0" fillId="0" borderId="0" xfId="2" applyNumberFormat="1" applyFont="1">
      <alignment vertical="center"/>
    </xf>
    <xf numFmtId="0" fontId="10" fillId="0" borderId="33" xfId="0" applyFont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38" fontId="0" fillId="0" borderId="0" xfId="1" applyFont="1" applyBorder="1" applyAlignment="1">
      <alignment vertical="center"/>
    </xf>
    <xf numFmtId="178" fontId="0" fillId="0" borderId="0" xfId="2" applyNumberFormat="1" applyFont="1" applyBorder="1" applyAlignment="1">
      <alignment vertical="center"/>
    </xf>
    <xf numFmtId="183" fontId="0" fillId="0" borderId="0" xfId="1" applyNumberFormat="1" applyFont="1">
      <alignment vertical="center"/>
    </xf>
    <xf numFmtId="183" fontId="0" fillId="0" borderId="0" xfId="2" applyNumberFormat="1" applyFont="1">
      <alignment vertical="center"/>
    </xf>
    <xf numFmtId="0" fontId="0" fillId="2" borderId="0" xfId="0" applyFill="1">
      <alignment vertical="center"/>
    </xf>
    <xf numFmtId="176" fontId="0" fillId="2" borderId="0" xfId="0" applyNumberFormat="1" applyFill="1">
      <alignment vertical="center"/>
    </xf>
    <xf numFmtId="38" fontId="0" fillId="2" borderId="0" xfId="1" applyFont="1" applyFill="1">
      <alignment vertical="center"/>
    </xf>
    <xf numFmtId="9" fontId="0" fillId="2" borderId="0" xfId="2" applyFont="1" applyFill="1">
      <alignment vertical="center"/>
    </xf>
    <xf numFmtId="179" fontId="0" fillId="2" borderId="0" xfId="2" applyNumberFormat="1" applyFont="1" applyFill="1">
      <alignment vertical="center"/>
    </xf>
    <xf numFmtId="183" fontId="0" fillId="2" borderId="0" xfId="2" applyNumberFormat="1" applyFont="1" applyFill="1">
      <alignment vertical="center"/>
    </xf>
    <xf numFmtId="180" fontId="0" fillId="0" borderId="0" xfId="0" applyNumberFormat="1">
      <alignment vertical="center"/>
    </xf>
    <xf numFmtId="181" fontId="0" fillId="0" borderId="0" xfId="0" applyNumberFormat="1" applyFill="1" applyBorder="1" applyAlignment="1"/>
    <xf numFmtId="180" fontId="0" fillId="0" borderId="0" xfId="0" applyNumberFormat="1" applyBorder="1">
      <alignment vertical="center"/>
    </xf>
    <xf numFmtId="0" fontId="0" fillId="11" borderId="0" xfId="0" applyFill="1">
      <alignment vertical="center"/>
    </xf>
    <xf numFmtId="176" fontId="0" fillId="11" borderId="0" xfId="0" applyNumberFormat="1" applyFill="1">
      <alignment vertical="center"/>
    </xf>
    <xf numFmtId="38" fontId="0" fillId="11" borderId="0" xfId="1" applyFont="1" applyFill="1">
      <alignment vertical="center"/>
    </xf>
    <xf numFmtId="9" fontId="0" fillId="11" borderId="0" xfId="2" applyFont="1" applyFill="1">
      <alignment vertical="center"/>
    </xf>
    <xf numFmtId="0" fontId="0" fillId="0" borderId="20" xfId="0" applyBorder="1">
      <alignment vertical="center"/>
    </xf>
    <xf numFmtId="176" fontId="0" fillId="0" borderId="20" xfId="0" applyNumberFormat="1" applyBorder="1">
      <alignment vertical="center"/>
    </xf>
    <xf numFmtId="9" fontId="0" fillId="0" borderId="20" xfId="2" applyFont="1" applyBorder="1">
      <alignment vertical="center"/>
    </xf>
    <xf numFmtId="179" fontId="0" fillId="0" borderId="20" xfId="2" applyNumberFormat="1" applyFont="1" applyBorder="1">
      <alignment vertical="center"/>
    </xf>
    <xf numFmtId="0" fontId="0" fillId="0" borderId="7" xfId="0" applyBorder="1">
      <alignment vertical="center"/>
    </xf>
    <xf numFmtId="176" fontId="0" fillId="0" borderId="7" xfId="0" applyNumberFormat="1" applyBorder="1">
      <alignment vertical="center"/>
    </xf>
    <xf numFmtId="38" fontId="0" fillId="0" borderId="7" xfId="1" applyFont="1" applyBorder="1">
      <alignment vertical="center"/>
    </xf>
    <xf numFmtId="9" fontId="0" fillId="0" borderId="7" xfId="2" applyFont="1" applyBorder="1">
      <alignment vertical="center"/>
    </xf>
    <xf numFmtId="179" fontId="0" fillId="0" borderId="7" xfId="2" applyNumberFormat="1" applyFont="1" applyBorder="1">
      <alignment vertical="center"/>
    </xf>
    <xf numFmtId="182" fontId="0" fillId="11" borderId="0" xfId="1" applyNumberFormat="1" applyFont="1" applyFill="1">
      <alignment vertical="center"/>
    </xf>
    <xf numFmtId="182" fontId="0" fillId="0" borderId="0" xfId="1" applyNumberFormat="1" applyFont="1">
      <alignment vertical="center"/>
    </xf>
    <xf numFmtId="182" fontId="0" fillId="0" borderId="20" xfId="2" applyNumberFormat="1" applyFont="1" applyBorder="1">
      <alignment vertical="center"/>
    </xf>
    <xf numFmtId="182" fontId="0" fillId="0" borderId="0" xfId="2" applyNumberFormat="1" applyFont="1">
      <alignment vertical="center"/>
    </xf>
    <xf numFmtId="182" fontId="0" fillId="0" borderId="20" xfId="1" applyNumberFormat="1" applyFont="1" applyBorder="1">
      <alignment vertical="center"/>
    </xf>
    <xf numFmtId="182" fontId="0" fillId="0" borderId="7" xfId="2" applyNumberFormat="1" applyFont="1" applyBorder="1">
      <alignment vertical="center"/>
    </xf>
    <xf numFmtId="182" fontId="0" fillId="0" borderId="0" xfId="0" applyNumberFormat="1">
      <alignment vertical="center"/>
    </xf>
    <xf numFmtId="182" fontId="0" fillId="0" borderId="0" xfId="1" applyNumberFormat="1" applyFont="1" applyBorder="1" applyAlignment="1">
      <alignment horizontal="center" vertical="center"/>
    </xf>
    <xf numFmtId="0" fontId="0" fillId="0" borderId="33" xfId="0" applyBorder="1" applyAlignment="1">
      <alignment vertical="top"/>
    </xf>
    <xf numFmtId="9" fontId="0" fillId="0" borderId="62" xfId="0" applyNumberFormat="1" applyBorder="1">
      <alignment vertical="center"/>
    </xf>
    <xf numFmtId="9" fontId="0" fillId="0" borderId="7" xfId="0" applyNumberFormat="1" applyBorder="1">
      <alignment vertical="center"/>
    </xf>
    <xf numFmtId="0" fontId="0" fillId="0" borderId="68" xfId="0" applyBorder="1">
      <alignment vertical="center"/>
    </xf>
    <xf numFmtId="9" fontId="0" fillId="0" borderId="78" xfId="0" applyNumberFormat="1" applyBorder="1">
      <alignment vertical="center"/>
    </xf>
    <xf numFmtId="0" fontId="0" fillId="0" borderId="52" xfId="0" applyBorder="1">
      <alignment vertical="center"/>
    </xf>
    <xf numFmtId="9" fontId="0" fillId="0" borderId="76" xfId="0" applyNumberFormat="1" applyBorder="1">
      <alignment vertical="center"/>
    </xf>
    <xf numFmtId="0" fontId="0" fillId="0" borderId="24" xfId="0" applyBorder="1">
      <alignment vertical="center"/>
    </xf>
    <xf numFmtId="9" fontId="0" fillId="0" borderId="4" xfId="0" applyNumberFormat="1" applyBorder="1">
      <alignment vertical="center"/>
    </xf>
    <xf numFmtId="0" fontId="0" fillId="0" borderId="44" xfId="0" applyBorder="1">
      <alignment vertical="center"/>
    </xf>
    <xf numFmtId="38" fontId="0" fillId="0" borderId="37" xfId="1" applyFont="1" applyBorder="1">
      <alignment vertical="center"/>
    </xf>
    <xf numFmtId="38" fontId="0" fillId="0" borderId="67" xfId="1" applyFont="1" applyBorder="1">
      <alignment vertical="center"/>
    </xf>
    <xf numFmtId="38" fontId="0" fillId="0" borderId="67" xfId="0" applyNumberFormat="1" applyBorder="1">
      <alignment vertical="center"/>
    </xf>
    <xf numFmtId="38" fontId="0" fillId="0" borderId="42" xfId="1" applyFont="1" applyBorder="1">
      <alignment vertical="center"/>
    </xf>
    <xf numFmtId="38" fontId="0" fillId="0" borderId="81" xfId="1" applyFont="1" applyBorder="1">
      <alignment vertical="center"/>
    </xf>
    <xf numFmtId="38" fontId="0" fillId="0" borderId="82" xfId="1" applyFont="1" applyBorder="1">
      <alignment vertical="center"/>
    </xf>
    <xf numFmtId="38" fontId="0" fillId="0" borderId="83" xfId="1" applyFont="1" applyBorder="1">
      <alignment vertical="center"/>
    </xf>
    <xf numFmtId="0" fontId="10" fillId="0" borderId="33" xfId="0" applyFont="1" applyBorder="1" applyAlignment="1">
      <alignment horizontal="left" vertical="center"/>
    </xf>
    <xf numFmtId="0" fontId="10" fillId="0" borderId="33" xfId="0" applyFont="1" applyBorder="1" applyAlignment="1">
      <alignment horizontal="left" vertical="center" wrapText="1"/>
    </xf>
    <xf numFmtId="0" fontId="0" fillId="12" borderId="34" xfId="0" applyFill="1" applyBorder="1">
      <alignment vertical="center"/>
    </xf>
    <xf numFmtId="38" fontId="0" fillId="12" borderId="0" xfId="1" applyFont="1" applyFill="1" applyBorder="1" applyAlignment="1">
      <alignment horizontal="center" vertical="center"/>
    </xf>
    <xf numFmtId="38" fontId="0" fillId="12" borderId="0" xfId="1" applyFont="1" applyFill="1" applyBorder="1" applyAlignment="1">
      <alignment vertical="center"/>
    </xf>
    <xf numFmtId="180" fontId="0" fillId="12" borderId="67" xfId="3" applyNumberFormat="1" applyFont="1" applyFill="1" applyBorder="1" applyAlignment="1"/>
    <xf numFmtId="9" fontId="0" fillId="12" borderId="57" xfId="2" applyFont="1" applyFill="1" applyBorder="1" applyAlignment="1"/>
    <xf numFmtId="180" fontId="0" fillId="12" borderId="65" xfId="3" applyNumberFormat="1" applyFont="1" applyFill="1" applyBorder="1" applyAlignment="1"/>
    <xf numFmtId="9" fontId="0" fillId="12" borderId="52" xfId="2" applyFont="1" applyFill="1" applyBorder="1" applyAlignment="1"/>
    <xf numFmtId="180" fontId="0" fillId="12" borderId="66" xfId="3" applyNumberFormat="1" applyFont="1" applyFill="1" applyBorder="1" applyAlignment="1"/>
    <xf numFmtId="180" fontId="0" fillId="12" borderId="9" xfId="3" applyNumberFormat="1" applyFont="1" applyFill="1" applyBorder="1" applyAlignment="1"/>
    <xf numFmtId="9" fontId="0" fillId="12" borderId="24" xfId="2" applyFont="1" applyFill="1" applyBorder="1" applyAlignment="1"/>
    <xf numFmtId="9" fontId="0" fillId="12" borderId="28" xfId="2" applyFont="1" applyFill="1" applyBorder="1" applyAlignment="1"/>
    <xf numFmtId="38" fontId="0" fillId="12" borderId="0" xfId="1" applyFont="1" applyFill="1" applyBorder="1">
      <alignment vertical="center"/>
    </xf>
    <xf numFmtId="0" fontId="0" fillId="9" borderId="23" xfId="0" applyFill="1" applyBorder="1">
      <alignment vertical="center"/>
    </xf>
    <xf numFmtId="180" fontId="0" fillId="12" borderId="7" xfId="0" applyNumberFormat="1" applyFill="1" applyBorder="1">
      <alignment vertical="center"/>
    </xf>
    <xf numFmtId="9" fontId="0" fillId="12" borderId="8" xfId="2" applyFont="1" applyFill="1" applyBorder="1">
      <alignment vertical="center"/>
    </xf>
    <xf numFmtId="9" fontId="0" fillId="12" borderId="15" xfId="2" applyFont="1" applyFill="1" applyBorder="1">
      <alignment vertical="center"/>
    </xf>
    <xf numFmtId="0" fontId="0" fillId="0" borderId="45" xfId="0" applyBorder="1">
      <alignment vertical="center"/>
    </xf>
    <xf numFmtId="9" fontId="0" fillId="0" borderId="51" xfId="2" applyFont="1" applyBorder="1">
      <alignment vertical="center"/>
    </xf>
    <xf numFmtId="176" fontId="0" fillId="10" borderId="20" xfId="0" applyNumberFormat="1" applyFill="1" applyBorder="1">
      <alignment vertical="center"/>
    </xf>
    <xf numFmtId="38" fontId="0" fillId="10" borderId="20" xfId="1" applyFont="1" applyFill="1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178" fontId="0" fillId="12" borderId="34" xfId="2" applyNumberFormat="1" applyFont="1" applyFill="1" applyBorder="1" applyAlignment="1">
      <alignment horizontal="center" vertical="center"/>
    </xf>
    <xf numFmtId="178" fontId="0" fillId="12" borderId="34" xfId="2" applyNumberFormat="1" applyFont="1" applyFill="1" applyBorder="1" applyAlignment="1">
      <alignment vertical="center"/>
    </xf>
    <xf numFmtId="180" fontId="0" fillId="9" borderId="47" xfId="3" applyNumberFormat="1" applyFont="1" applyFill="1" applyBorder="1" applyAlignment="1"/>
    <xf numFmtId="0" fontId="0" fillId="0" borderId="62" xfId="0" applyFill="1" applyBorder="1">
      <alignment vertical="center"/>
    </xf>
    <xf numFmtId="0" fontId="0" fillId="9" borderId="33" xfId="0" applyFill="1" applyBorder="1" applyAlignment="1"/>
    <xf numFmtId="180" fontId="0" fillId="9" borderId="0" xfId="3" applyNumberFormat="1" applyFont="1" applyFill="1" applyBorder="1" applyAlignment="1"/>
    <xf numFmtId="181" fontId="0" fillId="0" borderId="55" xfId="0" applyNumberFormat="1" applyBorder="1" applyAlignment="1"/>
    <xf numFmtId="180" fontId="0" fillId="9" borderId="34" xfId="3" applyNumberFormat="1" applyFont="1" applyFill="1" applyBorder="1" applyAlignment="1"/>
    <xf numFmtId="9" fontId="0" fillId="0" borderId="34" xfId="0" applyNumberFormat="1" applyBorder="1">
      <alignment vertical="center"/>
    </xf>
    <xf numFmtId="9" fontId="0" fillId="0" borderId="36" xfId="0" applyNumberFormat="1" applyBorder="1">
      <alignment vertical="center"/>
    </xf>
    <xf numFmtId="180" fontId="0" fillId="0" borderId="0" xfId="3" applyNumberFormat="1" applyFont="1" applyFill="1" applyBorder="1" applyAlignment="1"/>
    <xf numFmtId="9" fontId="0" fillId="0" borderId="0" xfId="2" applyFont="1" applyFill="1" applyBorder="1" applyAlignment="1"/>
    <xf numFmtId="0" fontId="0" fillId="0" borderId="31" xfId="0" applyFill="1" applyBorder="1" applyAlignment="1">
      <alignment horizontal="left"/>
    </xf>
    <xf numFmtId="180" fontId="0" fillId="0" borderId="55" xfId="3" applyNumberFormat="1" applyFont="1" applyFill="1" applyBorder="1" applyAlignment="1"/>
    <xf numFmtId="9" fontId="0" fillId="0" borderId="55" xfId="2" applyFont="1" applyFill="1" applyBorder="1" applyAlignment="1"/>
    <xf numFmtId="9" fontId="0" fillId="0" borderId="32" xfId="2" applyFont="1" applyFill="1" applyBorder="1" applyAlignment="1"/>
    <xf numFmtId="0" fontId="0" fillId="0" borderId="0" xfId="0" applyFill="1" applyBorder="1" applyAlignment="1">
      <alignment horizontal="right"/>
    </xf>
    <xf numFmtId="0" fontId="0" fillId="0" borderId="84" xfId="0" applyBorder="1" applyAlignment="1">
      <alignment horizontal="right" vertical="center" indent="1"/>
    </xf>
    <xf numFmtId="0" fontId="0" fillId="0" borderId="76" xfId="0" applyBorder="1">
      <alignment vertical="center"/>
    </xf>
    <xf numFmtId="38" fontId="0" fillId="0" borderId="76" xfId="0" applyNumberFormat="1" applyBorder="1">
      <alignment vertical="center"/>
    </xf>
    <xf numFmtId="38" fontId="0" fillId="0" borderId="85" xfId="0" applyNumberFormat="1" applyBorder="1">
      <alignment vertical="center"/>
    </xf>
    <xf numFmtId="0" fontId="0" fillId="0" borderId="86" xfId="0" applyBorder="1" applyAlignment="1">
      <alignment horizontal="right" vertical="center"/>
    </xf>
    <xf numFmtId="38" fontId="0" fillId="0" borderId="87" xfId="0" applyNumberFormat="1" applyBorder="1">
      <alignment vertical="center"/>
    </xf>
    <xf numFmtId="0" fontId="0" fillId="0" borderId="4" xfId="0" applyBorder="1">
      <alignment vertical="center"/>
    </xf>
    <xf numFmtId="9" fontId="0" fillId="0" borderId="4" xfId="2" applyFont="1" applyBorder="1">
      <alignment vertical="center"/>
    </xf>
    <xf numFmtId="9" fontId="0" fillId="0" borderId="5" xfId="2" applyFont="1" applyBorder="1">
      <alignment vertical="center"/>
    </xf>
    <xf numFmtId="0" fontId="10" fillId="0" borderId="33" xfId="0" applyFont="1" applyBorder="1" applyAlignment="1">
      <alignment horizontal="left" vertical="center"/>
    </xf>
    <xf numFmtId="0" fontId="10" fillId="0" borderId="33" xfId="0" applyFont="1" applyBorder="1" applyAlignment="1">
      <alignment horizontal="left" vertical="center" wrapText="1"/>
    </xf>
    <xf numFmtId="180" fontId="0" fillId="9" borderId="67" xfId="3" applyNumberFormat="1" applyFont="1" applyFill="1" applyBorder="1" applyAlignment="1"/>
    <xf numFmtId="9" fontId="0" fillId="9" borderId="57" xfId="2" applyFont="1" applyFill="1" applyBorder="1" applyAlignment="1"/>
    <xf numFmtId="178" fontId="0" fillId="9" borderId="52" xfId="2" applyNumberFormat="1" applyFont="1" applyFill="1" applyBorder="1" applyAlignment="1"/>
    <xf numFmtId="9" fontId="0" fillId="9" borderId="47" xfId="2" applyFont="1" applyFill="1" applyBorder="1" applyAlignment="1"/>
    <xf numFmtId="178" fontId="0" fillId="0" borderId="34" xfId="2" applyNumberFormat="1" applyFont="1" applyBorder="1" applyAlignment="1">
      <alignment vertical="center"/>
    </xf>
    <xf numFmtId="38" fontId="0" fillId="0" borderId="0" xfId="1" applyFont="1" applyFill="1" applyBorder="1">
      <alignment vertical="center"/>
    </xf>
    <xf numFmtId="178" fontId="0" fillId="0" borderId="0" xfId="2" applyNumberFormat="1" applyFont="1" applyFill="1" applyBorder="1" applyAlignment="1">
      <alignment horizontal="center" vertical="center"/>
    </xf>
    <xf numFmtId="9" fontId="0" fillId="0" borderId="0" xfId="2" applyFont="1" applyFill="1" applyBorder="1">
      <alignment vertical="center"/>
    </xf>
    <xf numFmtId="178" fontId="0" fillId="0" borderId="0" xfId="2" applyNumberFormat="1" applyFont="1" applyFill="1" applyBorder="1" applyAlignment="1">
      <alignment vertical="center"/>
    </xf>
    <xf numFmtId="182" fontId="0" fillId="0" borderId="0" xfId="1" applyNumberFormat="1" applyFont="1" applyFill="1" applyBorder="1">
      <alignment vertical="center"/>
    </xf>
    <xf numFmtId="38" fontId="0" fillId="0" borderId="62" xfId="1" applyFont="1" applyFill="1" applyBorder="1">
      <alignment vertical="center"/>
    </xf>
    <xf numFmtId="9" fontId="0" fillId="0" borderId="62" xfId="2" applyFont="1" applyFill="1" applyBorder="1">
      <alignment vertical="center"/>
    </xf>
    <xf numFmtId="182" fontId="0" fillId="0" borderId="62" xfId="1" applyNumberFormat="1" applyFont="1" applyFill="1" applyBorder="1">
      <alignment vertical="center"/>
    </xf>
    <xf numFmtId="178" fontId="0" fillId="0" borderId="62" xfId="2" applyNumberFormat="1" applyFont="1" applyFill="1" applyBorder="1" applyAlignment="1">
      <alignment horizontal="center" vertical="center"/>
    </xf>
    <xf numFmtId="180" fontId="0" fillId="0" borderId="0" xfId="0" applyNumberFormat="1" applyFill="1" applyBorder="1">
      <alignment vertical="center"/>
    </xf>
    <xf numFmtId="0" fontId="0" fillId="0" borderId="34" xfId="0" applyFill="1" applyBorder="1">
      <alignment vertical="center"/>
    </xf>
    <xf numFmtId="180" fontId="0" fillId="0" borderId="7" xfId="0" applyNumberFormat="1" applyFill="1" applyBorder="1">
      <alignment vertical="center"/>
    </xf>
    <xf numFmtId="9" fontId="0" fillId="0" borderId="8" xfId="2" applyFont="1" applyFill="1" applyBorder="1">
      <alignment vertical="center"/>
    </xf>
    <xf numFmtId="9" fontId="0" fillId="0" borderId="15" xfId="2" applyFont="1" applyFill="1" applyBorder="1">
      <alignment vertical="center"/>
    </xf>
    <xf numFmtId="0" fontId="0" fillId="0" borderId="0" xfId="0" applyAlignment="1">
      <alignment horizontal="right"/>
    </xf>
    <xf numFmtId="0" fontId="0" fillId="0" borderId="31" xfId="0" applyBorder="1" applyAlignment="1">
      <alignment horizontal="left"/>
    </xf>
    <xf numFmtId="181" fontId="0" fillId="0" borderId="0" xfId="0" applyNumberFormat="1" applyAlignment="1"/>
    <xf numFmtId="180" fontId="0" fillId="12" borderId="0" xfId="0" applyNumberFormat="1" applyFill="1">
      <alignment vertical="center"/>
    </xf>
    <xf numFmtId="0" fontId="10" fillId="0" borderId="0" xfId="0" applyFont="1" applyAlignment="1">
      <alignment vertical="center" wrapText="1"/>
    </xf>
    <xf numFmtId="0" fontId="10" fillId="0" borderId="0" xfId="0" applyFont="1" applyAlignment="1">
      <alignment horizontal="center" vertical="center" wrapText="1"/>
    </xf>
    <xf numFmtId="176" fontId="0" fillId="10" borderId="0" xfId="0" applyNumberFormat="1" applyFill="1">
      <alignment vertical="center"/>
    </xf>
    <xf numFmtId="0" fontId="0" fillId="0" borderId="88" xfId="0" applyBorder="1" applyAlignment="1">
      <alignment vertical="center"/>
    </xf>
    <xf numFmtId="0" fontId="0" fillId="0" borderId="89" xfId="0" applyBorder="1" applyAlignment="1">
      <alignment vertical="center"/>
    </xf>
    <xf numFmtId="0" fontId="0" fillId="0" borderId="95" xfId="0" applyBorder="1" applyAlignment="1">
      <alignment vertical="center"/>
    </xf>
    <xf numFmtId="0" fontId="0" fillId="0" borderId="0" xfId="0" applyBorder="1" applyAlignment="1">
      <alignment horizontal="right"/>
    </xf>
    <xf numFmtId="0" fontId="0" fillId="9" borderId="91" xfId="0" applyFill="1" applyBorder="1" applyAlignment="1">
      <alignment horizontal="right"/>
    </xf>
    <xf numFmtId="180" fontId="0" fillId="9" borderId="92" xfId="3" applyNumberFormat="1" applyFont="1" applyFill="1" applyBorder="1" applyAlignment="1"/>
    <xf numFmtId="180" fontId="0" fillId="9" borderId="96" xfId="3" applyNumberFormat="1" applyFont="1" applyFill="1" applyBorder="1" applyAlignment="1"/>
    <xf numFmtId="9" fontId="0" fillId="0" borderId="62" xfId="0" applyNumberFormat="1" applyFill="1" applyBorder="1">
      <alignment vertical="center"/>
    </xf>
    <xf numFmtId="9" fontId="11" fillId="0" borderId="62" xfId="0" applyNumberFormat="1" applyFont="1" applyBorder="1">
      <alignment vertical="center"/>
    </xf>
    <xf numFmtId="0" fontId="10" fillId="0" borderId="33" xfId="0" applyFont="1" applyBorder="1" applyAlignment="1">
      <alignment horizontal="left" vertical="center" wrapText="1"/>
    </xf>
    <xf numFmtId="0" fontId="10" fillId="0" borderId="33" xfId="0" applyFont="1" applyBorder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2" fillId="0" borderId="0" xfId="0" applyFont="1">
      <alignment vertical="center"/>
    </xf>
    <xf numFmtId="9" fontId="11" fillId="0" borderId="36" xfId="0" applyNumberFormat="1" applyFont="1" applyBorder="1">
      <alignment vertical="center"/>
    </xf>
    <xf numFmtId="9" fontId="0" fillId="0" borderId="4" xfId="2" applyFont="1" applyFill="1" applyBorder="1">
      <alignment vertical="center"/>
    </xf>
    <xf numFmtId="9" fontId="11" fillId="0" borderId="62" xfId="0" applyNumberFormat="1" applyFont="1" applyFill="1" applyBorder="1">
      <alignment vertical="center"/>
    </xf>
    <xf numFmtId="9" fontId="0" fillId="0" borderId="94" xfId="2" applyFont="1" applyFill="1" applyBorder="1">
      <alignment vertical="center"/>
    </xf>
    <xf numFmtId="9" fontId="11" fillId="0" borderId="36" xfId="0" applyNumberFormat="1" applyFont="1" applyFill="1" applyBorder="1">
      <alignment vertical="center"/>
    </xf>
    <xf numFmtId="38" fontId="0" fillId="0" borderId="94" xfId="1" applyFont="1" applyBorder="1">
      <alignment vertical="center"/>
    </xf>
    <xf numFmtId="0" fontId="0" fillId="0" borderId="95" xfId="0" applyBorder="1">
      <alignment vertical="center"/>
    </xf>
    <xf numFmtId="0" fontId="0" fillId="0" borderId="89" xfId="0" applyBorder="1">
      <alignment vertical="center"/>
    </xf>
    <xf numFmtId="0" fontId="0" fillId="0" borderId="88" xfId="0" applyBorder="1">
      <alignment vertical="center"/>
    </xf>
    <xf numFmtId="9" fontId="13" fillId="0" borderId="0" xfId="2" applyFont="1">
      <alignment vertical="center"/>
    </xf>
    <xf numFmtId="9" fontId="0" fillId="9" borderId="97" xfId="3" applyNumberFormat="1" applyFont="1" applyFill="1" applyBorder="1" applyAlignment="1"/>
    <xf numFmtId="9" fontId="0" fillId="9" borderId="98" xfId="3" applyNumberFormat="1" applyFont="1" applyFill="1" applyBorder="1" applyAlignment="1"/>
    <xf numFmtId="180" fontId="0" fillId="9" borderId="99" xfId="3" applyNumberFormat="1" applyFont="1" applyFill="1" applyBorder="1" applyAlignment="1"/>
    <xf numFmtId="9" fontId="11" fillId="0" borderId="83" xfId="0" applyNumberFormat="1" applyFont="1" applyBorder="1">
      <alignment vertical="center"/>
    </xf>
    <xf numFmtId="9" fontId="0" fillId="0" borderId="81" xfId="2" applyFont="1" applyBorder="1">
      <alignment vertical="center"/>
    </xf>
    <xf numFmtId="0" fontId="0" fillId="0" borderId="100" xfId="0" applyBorder="1">
      <alignment vertical="center"/>
    </xf>
    <xf numFmtId="38" fontId="0" fillId="0" borderId="101" xfId="0" applyNumberFormat="1" applyBorder="1">
      <alignment vertical="center"/>
    </xf>
    <xf numFmtId="0" fontId="0" fillId="0" borderId="102" xfId="0" applyBorder="1">
      <alignment vertical="center"/>
    </xf>
    <xf numFmtId="9" fontId="0" fillId="0" borderId="83" xfId="0" applyNumberFormat="1" applyBorder="1">
      <alignment vertical="center"/>
    </xf>
    <xf numFmtId="9" fontId="0" fillId="0" borderId="42" xfId="0" applyNumberFormat="1" applyBorder="1">
      <alignment vertical="center"/>
    </xf>
    <xf numFmtId="9" fontId="0" fillId="0" borderId="44" xfId="2" applyFont="1" applyFill="1" applyBorder="1" applyAlignment="1"/>
    <xf numFmtId="180" fontId="0" fillId="0" borderId="62" xfId="3" applyNumberFormat="1" applyFont="1" applyFill="1" applyBorder="1" applyAlignment="1"/>
    <xf numFmtId="9" fontId="0" fillId="0" borderId="2" xfId="2" applyFont="1" applyFill="1" applyBorder="1" applyAlignment="1"/>
    <xf numFmtId="180" fontId="0" fillId="9" borderId="103" xfId="3" applyNumberFormat="1" applyFont="1" applyFill="1" applyBorder="1" applyAlignment="1"/>
    <xf numFmtId="181" fontId="0" fillId="0" borderId="44" xfId="0" applyNumberFormat="1" applyBorder="1" applyAlignment="1"/>
    <xf numFmtId="183" fontId="0" fillId="0" borderId="0" xfId="0" applyNumberFormat="1">
      <alignment vertical="center"/>
    </xf>
    <xf numFmtId="180" fontId="0" fillId="0" borderId="7" xfId="0" applyNumberFormat="1" applyBorder="1">
      <alignment vertical="center"/>
    </xf>
    <xf numFmtId="9" fontId="0" fillId="9" borderId="104" xfId="2" applyFont="1" applyFill="1" applyBorder="1" applyAlignment="1"/>
    <xf numFmtId="9" fontId="3" fillId="0" borderId="4" xfId="2" applyFont="1" applyBorder="1">
      <alignment vertical="center"/>
    </xf>
    <xf numFmtId="9" fontId="3" fillId="0" borderId="4" xfId="2" applyFont="1" applyFill="1" applyBorder="1">
      <alignment vertical="center"/>
    </xf>
    <xf numFmtId="9" fontId="3" fillId="0" borderId="94" xfId="2" applyNumberFormat="1" applyFont="1" applyFill="1" applyBorder="1">
      <alignment vertical="center"/>
    </xf>
    <xf numFmtId="0" fontId="0" fillId="0" borderId="77" xfId="0" applyBorder="1" applyAlignment="1">
      <alignment horizontal="left" vertical="top"/>
    </xf>
    <xf numFmtId="0" fontId="0" fillId="0" borderId="78" xfId="0" applyBorder="1" applyAlignment="1">
      <alignment horizontal="left" vertical="top"/>
    </xf>
    <xf numFmtId="0" fontId="0" fillId="0" borderId="79" xfId="0" applyBorder="1" applyAlignment="1">
      <alignment horizontal="left" vertical="top"/>
    </xf>
    <xf numFmtId="0" fontId="0" fillId="0" borderId="91" xfId="0" applyBorder="1" applyAlignment="1">
      <alignment horizontal="center" vertical="center"/>
    </xf>
    <xf numFmtId="0" fontId="0" fillId="0" borderId="92" xfId="0" applyBorder="1" applyAlignment="1">
      <alignment horizontal="center" vertical="center"/>
    </xf>
    <xf numFmtId="0" fontId="0" fillId="0" borderId="93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69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1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8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8" xfId="0" applyBorder="1" applyAlignment="1">
      <alignment horizontal="center" vertical="center"/>
    </xf>
    <xf numFmtId="0" fontId="0" fillId="0" borderId="89" xfId="0" applyBorder="1" applyAlignment="1">
      <alignment horizontal="center" vertical="center"/>
    </xf>
    <xf numFmtId="0" fontId="0" fillId="0" borderId="90" xfId="0" applyBorder="1" applyAlignment="1">
      <alignment horizontal="center" vertical="center"/>
    </xf>
    <xf numFmtId="0" fontId="0" fillId="0" borderId="91" xfId="0" applyBorder="1">
      <alignment vertical="center"/>
    </xf>
    <xf numFmtId="0" fontId="0" fillId="0" borderId="92" xfId="0" applyBorder="1">
      <alignment vertical="center"/>
    </xf>
    <xf numFmtId="0" fontId="0" fillId="0" borderId="93" xfId="0" applyBorder="1">
      <alignment vertical="center"/>
    </xf>
    <xf numFmtId="0" fontId="0" fillId="0" borderId="69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181" fontId="0" fillId="0" borderId="45" xfId="0" applyNumberFormat="1" applyBorder="1" applyAlignment="1">
      <alignment horizontal="center"/>
    </xf>
    <xf numFmtId="181" fontId="0" fillId="0" borderId="50" xfId="0" applyNumberFormat="1" applyBorder="1" applyAlignment="1">
      <alignment horizontal="center"/>
    </xf>
    <xf numFmtId="181" fontId="0" fillId="0" borderId="43" xfId="0" applyNumberFormat="1" applyBorder="1" applyAlignment="1">
      <alignment horizontal="center"/>
    </xf>
    <xf numFmtId="181" fontId="0" fillId="0" borderId="48" xfId="0" applyNumberFormat="1" applyBorder="1" applyAlignment="1">
      <alignment horizontal="center"/>
    </xf>
    <xf numFmtId="38" fontId="0" fillId="0" borderId="31" xfId="1" applyFont="1" applyFill="1" applyBorder="1" applyAlignment="1">
      <alignment horizontal="center" vertical="center"/>
    </xf>
    <xf numFmtId="38" fontId="0" fillId="0" borderId="51" xfId="1" applyFont="1" applyFill="1" applyBorder="1" applyAlignment="1">
      <alignment horizontal="center" vertical="center"/>
    </xf>
    <xf numFmtId="38" fontId="0" fillId="0" borderId="35" xfId="1" applyFont="1" applyFill="1" applyBorder="1" applyAlignment="1">
      <alignment horizontal="center" vertical="center"/>
    </xf>
    <xf numFmtId="38" fontId="0" fillId="0" borderId="68" xfId="1" applyFont="1" applyFill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68" xfId="0" applyBorder="1" applyAlignment="1">
      <alignment horizontal="center" vertical="center"/>
    </xf>
    <xf numFmtId="0" fontId="10" fillId="0" borderId="33" xfId="0" applyFont="1" applyBorder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181" fontId="0" fillId="0" borderId="2" xfId="0" applyNumberFormat="1" applyBorder="1" applyAlignment="1">
      <alignment horizontal="center"/>
    </xf>
    <xf numFmtId="181" fontId="0" fillId="0" borderId="9" xfId="0" applyNumberFormat="1" applyBorder="1" applyAlignment="1">
      <alignment horizontal="center"/>
    </xf>
    <xf numFmtId="0" fontId="10" fillId="0" borderId="33" xfId="0" applyFont="1" applyBorder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0" fillId="7" borderId="9" xfId="0" applyFill="1" applyBorder="1" applyAlignment="1">
      <alignment horizontal="center" vertical="center" wrapText="1"/>
    </xf>
    <xf numFmtId="0" fontId="0" fillId="7" borderId="9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38" fontId="0" fillId="0" borderId="7" xfId="1" applyFont="1" applyFill="1" applyBorder="1" applyAlignment="1">
      <alignment horizontal="center" vertical="center" wrapText="1"/>
    </xf>
    <xf numFmtId="38" fontId="0" fillId="0" borderId="0" xfId="1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38" fontId="0" fillId="0" borderId="8" xfId="1" applyFont="1" applyFill="1" applyBorder="1" applyAlignment="1">
      <alignment horizontal="center" vertical="center" wrapText="1"/>
    </xf>
    <xf numFmtId="38" fontId="0" fillId="0" borderId="15" xfId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/>
    </xf>
    <xf numFmtId="0" fontId="10" fillId="0" borderId="0" xfId="0" applyFont="1" applyBorder="1" applyAlignment="1">
      <alignment horizontal="left" vertical="center"/>
    </xf>
    <xf numFmtId="0" fontId="0" fillId="0" borderId="31" xfId="0" applyFill="1" applyBorder="1" applyAlignment="1">
      <alignment horizontal="center" vertical="center"/>
    </xf>
    <xf numFmtId="0" fontId="0" fillId="0" borderId="51" xfId="0" applyFill="1" applyBorder="1" applyAlignment="1">
      <alignment horizontal="center" vertical="center"/>
    </xf>
    <xf numFmtId="0" fontId="0" fillId="0" borderId="35" xfId="0" applyFill="1" applyBorder="1" applyAlignment="1">
      <alignment horizontal="center" vertical="center"/>
    </xf>
    <xf numFmtId="0" fontId="0" fillId="0" borderId="68" xfId="0" applyFill="1" applyBorder="1" applyAlignment="1">
      <alignment horizontal="center" vertical="center"/>
    </xf>
    <xf numFmtId="0" fontId="10" fillId="0" borderId="0" xfId="0" applyFont="1" applyBorder="1" applyAlignment="1">
      <alignment horizontal="left" vertical="center" wrapText="1"/>
    </xf>
    <xf numFmtId="0" fontId="1" fillId="0" borderId="44" xfId="0" applyFont="1" applyBorder="1">
      <alignment vertical="center"/>
    </xf>
    <xf numFmtId="0" fontId="1" fillId="0" borderId="69" xfId="0" applyFont="1" applyBorder="1" applyAlignment="1">
      <alignment horizontal="left" vertical="top"/>
    </xf>
    <xf numFmtId="0" fontId="1" fillId="0" borderId="24" xfId="0" applyFont="1" applyBorder="1">
      <alignment vertical="center"/>
    </xf>
    <xf numFmtId="0" fontId="1" fillId="0" borderId="10" xfId="0" applyFont="1" applyBorder="1" applyAlignment="1">
      <alignment horizontal="center" vertical="center"/>
    </xf>
    <xf numFmtId="0" fontId="1" fillId="0" borderId="80" xfId="0" applyFont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1" fillId="0" borderId="77" xfId="0" applyFont="1" applyBorder="1" applyAlignment="1">
      <alignment horizontal="left" vertical="top"/>
    </xf>
    <xf numFmtId="0" fontId="1" fillId="0" borderId="91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183" fontId="0" fillId="0" borderId="55" xfId="0" applyNumberFormat="1" applyBorder="1" applyAlignment="1"/>
    <xf numFmtId="183" fontId="0" fillId="0" borderId="32" xfId="0" applyNumberFormat="1" applyBorder="1" applyAlignment="1"/>
    <xf numFmtId="0" fontId="1" fillId="0" borderId="31" xfId="0" applyFont="1" applyBorder="1">
      <alignment vertical="center"/>
    </xf>
    <xf numFmtId="0" fontId="1" fillId="9" borderId="33" xfId="0" applyFont="1" applyFill="1" applyBorder="1" applyAlignment="1"/>
    <xf numFmtId="0" fontId="0" fillId="9" borderId="91" xfId="0" applyFill="1" applyBorder="1" applyAlignment="1">
      <alignment horizontal="left"/>
    </xf>
    <xf numFmtId="0" fontId="1" fillId="0" borderId="84" xfId="0" applyFont="1" applyBorder="1" applyAlignment="1">
      <alignment horizontal="right" vertical="center" indent="1"/>
    </xf>
    <xf numFmtId="0" fontId="1" fillId="0" borderId="86" xfId="0" applyFont="1" applyBorder="1" applyAlignment="1">
      <alignment horizontal="right" vertical="center"/>
    </xf>
    <xf numFmtId="0" fontId="1" fillId="0" borderId="0" xfId="0" applyFont="1">
      <alignment vertical="center"/>
    </xf>
    <xf numFmtId="0" fontId="1" fillId="0" borderId="35" xfId="0" applyFont="1" applyBorder="1">
      <alignment vertical="center"/>
    </xf>
  </cellXfs>
  <cellStyles count="4">
    <cellStyle name="パーセント" xfId="2" builtinId="5"/>
    <cellStyle name="桁区切り" xfId="1" builtinId="6"/>
    <cellStyle name="桁区切り [0.00]" xfId="3" builtinId="3"/>
    <cellStyle name="標準" xfId="0" builtinId="0"/>
  </cellStyles>
  <dxfs count="449">
    <dxf>
      <fill>
        <patternFill>
          <bgColor theme="5" tint="0.3999450666829432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39994506668294322"/>
        </patternFill>
      </fill>
    </dxf>
    <dxf>
      <font>
        <color auto="1"/>
      </font>
      <fill>
        <patternFill>
          <bgColor theme="8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39994506668294322"/>
        </patternFill>
      </fill>
    </dxf>
    <dxf>
      <font>
        <color auto="1"/>
      </font>
      <fill>
        <patternFill>
          <bgColor theme="8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39994506668294322"/>
        </patternFill>
      </fill>
    </dxf>
    <dxf>
      <font>
        <color auto="1"/>
      </font>
      <fill>
        <patternFill>
          <bgColor theme="8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39994506668294322"/>
        </patternFill>
      </fill>
    </dxf>
    <dxf>
      <font>
        <color auto="1"/>
      </font>
      <fill>
        <patternFill>
          <bgColor theme="8" tint="0.59996337778862885"/>
        </patternFill>
      </fill>
    </dxf>
    <dxf>
      <fill>
        <patternFill>
          <bgColor theme="5" tint="0.39994506668294322"/>
        </patternFill>
      </fill>
    </dxf>
    <dxf>
      <font>
        <color auto="1"/>
      </font>
      <fill>
        <patternFill>
          <bgColor theme="8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39994506668294322"/>
        </patternFill>
      </fill>
    </dxf>
    <dxf>
      <font>
        <color auto="1"/>
      </font>
      <fill>
        <patternFill>
          <bgColor theme="8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39994506668294322"/>
        </patternFill>
      </fill>
    </dxf>
    <dxf>
      <font>
        <color auto="1"/>
      </font>
      <fill>
        <patternFill>
          <bgColor theme="8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39994506668294322"/>
        </patternFill>
      </fill>
    </dxf>
    <dxf>
      <font>
        <color auto="1"/>
      </font>
      <fill>
        <patternFill>
          <bgColor theme="8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39994506668294322"/>
        </patternFill>
      </fill>
    </dxf>
    <dxf>
      <font>
        <color auto="1"/>
      </font>
      <fill>
        <patternFill>
          <bgColor theme="8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39994506668294322"/>
        </patternFill>
      </fill>
    </dxf>
    <dxf>
      <font>
        <color auto="1"/>
      </font>
      <fill>
        <patternFill>
          <bgColor theme="8" tint="0.59996337778862885"/>
        </patternFill>
      </fill>
    </dxf>
    <dxf>
      <fill>
        <patternFill>
          <bgColor theme="5" tint="0.39994506668294322"/>
        </patternFill>
      </fill>
    </dxf>
    <dxf>
      <font>
        <color auto="1"/>
      </font>
      <fill>
        <patternFill>
          <bgColor theme="8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39994506668294322"/>
        </patternFill>
      </fill>
    </dxf>
    <dxf>
      <font>
        <color auto="1"/>
      </font>
      <fill>
        <patternFill>
          <bgColor theme="8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39994506668294322"/>
        </patternFill>
      </fill>
    </dxf>
    <dxf>
      <font>
        <b/>
        <i val="0"/>
        <u/>
      </font>
    </dxf>
    <dxf>
      <font>
        <b/>
        <i val="0"/>
        <u/>
      </font>
    </dxf>
    <dxf>
      <fill>
        <patternFill>
          <bgColor theme="8" tint="0.59996337778862885"/>
        </patternFill>
      </fill>
    </dxf>
    <dxf>
      <fill>
        <patternFill>
          <bgColor theme="5" tint="0.39994506668294322"/>
        </patternFill>
      </fill>
    </dxf>
    <dxf>
      <font>
        <color auto="1"/>
      </font>
      <fill>
        <patternFill>
          <bgColor theme="8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39994506668294322"/>
        </patternFill>
      </fill>
    </dxf>
    <dxf>
      <font>
        <b/>
        <i val="0"/>
        <u/>
      </font>
    </dxf>
    <dxf>
      <font>
        <b/>
        <i val="0"/>
        <u/>
      </font>
    </dxf>
    <dxf>
      <font>
        <b/>
        <i val="0"/>
        <u/>
      </font>
    </dxf>
    <dxf>
      <font>
        <b/>
        <i val="0"/>
        <u/>
      </font>
    </dxf>
    <dxf>
      <font>
        <b/>
        <i val="0"/>
        <u/>
      </font>
    </dxf>
    <dxf>
      <font>
        <b/>
        <i val="0"/>
        <u/>
      </font>
    </dxf>
    <dxf>
      <font>
        <b/>
        <i val="0"/>
        <u/>
      </font>
    </dxf>
    <dxf>
      <fill>
        <patternFill>
          <bgColor theme="5" tint="0.3999450666829432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39994506668294322"/>
        </patternFill>
      </fill>
    </dxf>
    <dxf>
      <font>
        <color auto="1"/>
      </font>
      <fill>
        <patternFill>
          <bgColor theme="8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39994506668294322"/>
        </patternFill>
      </fill>
    </dxf>
    <dxf>
      <font>
        <color auto="1"/>
      </font>
      <fill>
        <patternFill>
          <bgColor theme="8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39994506668294322"/>
        </patternFill>
      </fill>
    </dxf>
    <dxf>
      <font>
        <color auto="1"/>
      </font>
      <fill>
        <patternFill>
          <bgColor theme="8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39994506668294322"/>
        </patternFill>
      </fill>
    </dxf>
    <dxf>
      <font>
        <color auto="1"/>
      </font>
      <fill>
        <patternFill>
          <bgColor theme="8" tint="0.59996337778862885"/>
        </patternFill>
      </fill>
    </dxf>
    <dxf>
      <fill>
        <patternFill>
          <bgColor theme="5" tint="0.39994506668294322"/>
        </patternFill>
      </fill>
    </dxf>
    <dxf>
      <font>
        <color auto="1"/>
      </font>
      <fill>
        <patternFill>
          <bgColor theme="8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39994506668294322"/>
        </patternFill>
      </fill>
    </dxf>
    <dxf>
      <font>
        <color auto="1"/>
      </font>
      <fill>
        <patternFill>
          <bgColor theme="8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39994506668294322"/>
        </patternFill>
      </fill>
    </dxf>
    <dxf>
      <font>
        <color auto="1"/>
      </font>
      <fill>
        <patternFill>
          <bgColor theme="8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39994506668294322"/>
        </patternFill>
      </fill>
    </dxf>
    <dxf>
      <font>
        <color auto="1"/>
      </font>
      <fill>
        <patternFill>
          <bgColor theme="8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39994506668294322"/>
        </patternFill>
      </fill>
    </dxf>
    <dxf>
      <font>
        <color auto="1"/>
      </font>
      <fill>
        <patternFill>
          <bgColor theme="8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39994506668294322"/>
        </patternFill>
      </fill>
    </dxf>
    <dxf>
      <font>
        <color auto="1"/>
      </font>
      <fill>
        <patternFill>
          <bgColor theme="8" tint="0.59996337778862885"/>
        </patternFill>
      </fill>
    </dxf>
    <dxf>
      <fill>
        <patternFill>
          <bgColor theme="5" tint="0.39994506668294322"/>
        </patternFill>
      </fill>
    </dxf>
    <dxf>
      <font>
        <color auto="1"/>
      </font>
      <fill>
        <patternFill>
          <bgColor theme="8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39994506668294322"/>
        </patternFill>
      </fill>
    </dxf>
    <dxf>
      <font>
        <color auto="1"/>
      </font>
      <fill>
        <patternFill>
          <bgColor theme="8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39994506668294322"/>
        </patternFill>
      </fill>
    </dxf>
    <dxf>
      <font>
        <color auto="1"/>
      </font>
      <fill>
        <patternFill>
          <bgColor theme="8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39994506668294322"/>
        </patternFill>
      </fill>
    </dxf>
    <dxf>
      <font>
        <b/>
        <i val="0"/>
        <u/>
      </font>
    </dxf>
    <dxf>
      <font>
        <b/>
        <i val="0"/>
        <u/>
      </font>
    </dxf>
    <dxf>
      <fill>
        <patternFill>
          <bgColor theme="8" tint="0.59996337778862885"/>
        </patternFill>
      </fill>
    </dxf>
    <dxf>
      <fill>
        <patternFill>
          <bgColor theme="5" tint="0.39994506668294322"/>
        </patternFill>
      </fill>
    </dxf>
    <dxf>
      <font>
        <color auto="1"/>
      </font>
      <fill>
        <patternFill>
          <bgColor theme="8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39994506668294322"/>
        </patternFill>
      </fill>
    </dxf>
    <dxf>
      <font>
        <b/>
        <i val="0"/>
        <u/>
      </font>
    </dxf>
    <dxf>
      <font>
        <b/>
        <i val="0"/>
        <u/>
      </font>
    </dxf>
    <dxf>
      <font>
        <b/>
        <i val="0"/>
        <u/>
      </font>
    </dxf>
    <dxf>
      <font>
        <b/>
        <i val="0"/>
        <u/>
      </font>
    </dxf>
    <dxf>
      <font>
        <b/>
        <i val="0"/>
        <u/>
      </font>
    </dxf>
    <dxf>
      <font>
        <b/>
        <i val="0"/>
        <u/>
      </font>
    </dxf>
    <dxf>
      <font>
        <b/>
        <i val="0"/>
        <u/>
      </font>
    </dxf>
    <dxf>
      <fill>
        <patternFill>
          <bgColor theme="5" tint="0.3999450666829432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39994506668294322"/>
        </patternFill>
      </fill>
    </dxf>
    <dxf>
      <font>
        <color auto="1"/>
      </font>
      <fill>
        <patternFill>
          <bgColor theme="8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39994506668294322"/>
        </patternFill>
      </fill>
    </dxf>
    <dxf>
      <font>
        <color auto="1"/>
      </font>
      <fill>
        <patternFill>
          <bgColor theme="8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39994506668294322"/>
        </patternFill>
      </fill>
    </dxf>
    <dxf>
      <font>
        <color auto="1"/>
      </font>
      <fill>
        <patternFill>
          <bgColor theme="8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39994506668294322"/>
        </patternFill>
      </fill>
    </dxf>
    <dxf>
      <font>
        <color auto="1"/>
      </font>
      <fill>
        <patternFill>
          <bgColor theme="8" tint="0.59996337778862885"/>
        </patternFill>
      </fill>
    </dxf>
    <dxf>
      <fill>
        <patternFill>
          <bgColor theme="5" tint="0.39994506668294322"/>
        </patternFill>
      </fill>
    </dxf>
    <dxf>
      <font>
        <color auto="1"/>
      </font>
      <fill>
        <patternFill>
          <bgColor theme="8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39994506668294322"/>
        </patternFill>
      </fill>
    </dxf>
    <dxf>
      <font>
        <color auto="1"/>
      </font>
      <fill>
        <patternFill>
          <bgColor theme="8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39994506668294322"/>
        </patternFill>
      </fill>
    </dxf>
    <dxf>
      <font>
        <color auto="1"/>
      </font>
      <fill>
        <patternFill>
          <bgColor theme="8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39994506668294322"/>
        </patternFill>
      </fill>
    </dxf>
    <dxf>
      <font>
        <color auto="1"/>
      </font>
      <fill>
        <patternFill>
          <bgColor theme="8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39994506668294322"/>
        </patternFill>
      </fill>
    </dxf>
    <dxf>
      <font>
        <color auto="1"/>
      </font>
      <fill>
        <patternFill>
          <bgColor theme="8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39994506668294322"/>
        </patternFill>
      </fill>
    </dxf>
    <dxf>
      <font>
        <color auto="1"/>
      </font>
      <fill>
        <patternFill>
          <bgColor theme="8" tint="0.59996337778862885"/>
        </patternFill>
      </fill>
    </dxf>
    <dxf>
      <fill>
        <patternFill>
          <bgColor theme="5" tint="0.39994506668294322"/>
        </patternFill>
      </fill>
    </dxf>
    <dxf>
      <font>
        <color auto="1"/>
      </font>
      <fill>
        <patternFill>
          <bgColor theme="8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39994506668294322"/>
        </patternFill>
      </fill>
    </dxf>
    <dxf>
      <font>
        <color auto="1"/>
      </font>
      <fill>
        <patternFill>
          <bgColor theme="8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39994506668294322"/>
        </patternFill>
      </fill>
    </dxf>
    <dxf>
      <font>
        <b/>
        <i val="0"/>
        <u/>
      </font>
    </dxf>
    <dxf>
      <font>
        <b/>
        <i val="0"/>
        <u/>
      </font>
    </dxf>
    <dxf>
      <fill>
        <patternFill>
          <bgColor theme="8" tint="0.59996337778862885"/>
        </patternFill>
      </fill>
    </dxf>
    <dxf>
      <fill>
        <patternFill>
          <bgColor theme="5" tint="0.39994506668294322"/>
        </patternFill>
      </fill>
    </dxf>
    <dxf>
      <font>
        <color auto="1"/>
      </font>
      <fill>
        <patternFill>
          <bgColor theme="8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39994506668294322"/>
        </patternFill>
      </fill>
    </dxf>
    <dxf>
      <font>
        <b/>
        <i val="0"/>
        <u/>
      </font>
    </dxf>
    <dxf>
      <font>
        <b/>
        <i val="0"/>
        <u/>
      </font>
    </dxf>
    <dxf>
      <font>
        <b/>
        <i val="0"/>
        <u/>
      </font>
    </dxf>
    <dxf>
      <font>
        <b/>
        <i val="0"/>
        <u/>
      </font>
    </dxf>
    <dxf>
      <font>
        <b/>
        <i val="0"/>
        <u/>
      </font>
    </dxf>
    <dxf>
      <font>
        <b/>
        <i val="0"/>
        <u/>
      </font>
    </dxf>
    <dxf>
      <font>
        <b/>
        <i val="0"/>
        <u/>
      </font>
    </dxf>
    <dxf>
      <fill>
        <patternFill>
          <bgColor theme="5" tint="0.3999450666829432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39994506668294322"/>
        </patternFill>
      </fill>
    </dxf>
    <dxf>
      <font>
        <color auto="1"/>
      </font>
      <fill>
        <patternFill>
          <bgColor theme="8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39994506668294322"/>
        </patternFill>
      </fill>
    </dxf>
    <dxf>
      <font>
        <color auto="1"/>
      </font>
      <fill>
        <patternFill>
          <bgColor theme="8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39994506668294322"/>
        </patternFill>
      </fill>
    </dxf>
    <dxf>
      <font>
        <color auto="1"/>
      </font>
      <fill>
        <patternFill>
          <bgColor theme="8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39994506668294322"/>
        </patternFill>
      </fill>
    </dxf>
    <dxf>
      <font>
        <color auto="1"/>
      </font>
      <fill>
        <patternFill>
          <bgColor theme="8" tint="0.59996337778862885"/>
        </patternFill>
      </fill>
    </dxf>
    <dxf>
      <fill>
        <patternFill>
          <bgColor theme="5" tint="0.39994506668294322"/>
        </patternFill>
      </fill>
    </dxf>
    <dxf>
      <font>
        <color auto="1"/>
      </font>
      <fill>
        <patternFill>
          <bgColor theme="8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39994506668294322"/>
        </patternFill>
      </fill>
    </dxf>
    <dxf>
      <font>
        <color auto="1"/>
      </font>
      <fill>
        <patternFill>
          <bgColor theme="8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39994506668294322"/>
        </patternFill>
      </fill>
    </dxf>
    <dxf>
      <font>
        <color auto="1"/>
      </font>
      <fill>
        <patternFill>
          <bgColor theme="8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39994506668294322"/>
        </patternFill>
      </fill>
    </dxf>
    <dxf>
      <font>
        <color auto="1"/>
      </font>
      <fill>
        <patternFill>
          <bgColor theme="8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39994506668294322"/>
        </patternFill>
      </fill>
    </dxf>
    <dxf>
      <font>
        <color auto="1"/>
      </font>
      <fill>
        <patternFill>
          <bgColor theme="8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39994506668294322"/>
        </patternFill>
      </fill>
    </dxf>
    <dxf>
      <font>
        <color auto="1"/>
      </font>
      <fill>
        <patternFill>
          <bgColor theme="8" tint="0.59996337778862885"/>
        </patternFill>
      </fill>
    </dxf>
    <dxf>
      <fill>
        <patternFill>
          <bgColor theme="5" tint="0.39994506668294322"/>
        </patternFill>
      </fill>
    </dxf>
    <dxf>
      <font>
        <color auto="1"/>
      </font>
      <fill>
        <patternFill>
          <bgColor theme="8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39994506668294322"/>
        </patternFill>
      </fill>
    </dxf>
    <dxf>
      <font>
        <color auto="1"/>
      </font>
      <fill>
        <patternFill>
          <bgColor theme="8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39994506668294322"/>
        </patternFill>
      </fill>
    </dxf>
    <dxf>
      <font>
        <b/>
        <i val="0"/>
        <u/>
      </font>
    </dxf>
    <dxf>
      <font>
        <b/>
        <i val="0"/>
        <u/>
      </font>
    </dxf>
    <dxf>
      <font>
        <b/>
        <i val="0"/>
        <u/>
      </font>
    </dxf>
    <dxf>
      <font>
        <b/>
        <i val="0"/>
        <u/>
      </font>
    </dxf>
    <dxf>
      <font>
        <b/>
        <i val="0"/>
        <u/>
      </font>
    </dxf>
    <dxf>
      <font>
        <b/>
        <i val="0"/>
        <u/>
      </font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externalLink" Target="externalLinks/externalLink2.xml"/><Relationship Id="rId38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externalLink" Target="externalLinks/externalLink1.xml"/><Relationship Id="rId37" Type="http://schemas.openxmlformats.org/officeDocument/2006/relationships/sheetMetadata" Target="metadata.xml"/><Relationship Id="rId40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25</xdr:col>
      <xdr:colOff>398606</xdr:colOff>
      <xdr:row>0</xdr:row>
      <xdr:rowOff>119555</xdr:rowOff>
    </xdr:from>
    <xdr:to>
      <xdr:col>29</xdr:col>
      <xdr:colOff>1236543</xdr:colOff>
      <xdr:row>10</xdr:row>
      <xdr:rowOff>31811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26119018-B95D-4E1B-A583-299B453AE0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498886" y="119555"/>
          <a:ext cx="4068817" cy="2198256"/>
        </a:xfrm>
        <a:prstGeom prst="rect">
          <a:avLst/>
        </a:prstGeom>
      </xdr:spPr>
    </xdr:pic>
    <xdr:clientData/>
  </xdr:twoCellAnchor>
  <xdr:twoCellAnchor>
    <xdr:from>
      <xdr:col>25</xdr:col>
      <xdr:colOff>596200</xdr:colOff>
      <xdr:row>5</xdr:row>
      <xdr:rowOff>182880</xdr:rowOff>
    </xdr:from>
    <xdr:to>
      <xdr:col>29</xdr:col>
      <xdr:colOff>845820</xdr:colOff>
      <xdr:row>7</xdr:row>
      <xdr:rowOff>7620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DF787C0D-E7BB-4F38-AA61-05B61D7C10DD}"/>
            </a:ext>
          </a:extLst>
        </xdr:cNvPr>
        <xdr:cNvSpPr/>
      </xdr:nvSpPr>
      <xdr:spPr>
        <a:xfrm>
          <a:off x="25696480" y="1325880"/>
          <a:ext cx="3480500" cy="281940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1312218</xdr:colOff>
      <xdr:row>2</xdr:row>
      <xdr:rowOff>22335</xdr:rowOff>
    </xdr:from>
    <xdr:to>
      <xdr:col>32</xdr:col>
      <xdr:colOff>258292</xdr:colOff>
      <xdr:row>6</xdr:row>
      <xdr:rowOff>174735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B8277F93-B445-4DD5-B3BD-B26006C9FECD}"/>
            </a:ext>
          </a:extLst>
        </xdr:cNvPr>
        <xdr:cNvSpPr/>
      </xdr:nvSpPr>
      <xdr:spPr>
        <a:xfrm>
          <a:off x="29643378" y="479535"/>
          <a:ext cx="2740834" cy="1066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80"/>
            <a:t>Supplied to industries other than air conditioning; currently reviewing quota for air conditioning industry (DUS)</a:t>
          </a:r>
          <a:endParaRPr kumimoji="1" lang="ja-JP" altLang="en-US" sz="1100"/>
        </a:p>
      </xdr:txBody>
    </xdr:sp>
    <xdr:clientData/>
  </xdr:twoCellAnchor>
  <xdr:twoCellAnchor>
    <xdr:from>
      <xdr:col>10</xdr:col>
      <xdr:colOff>470452</xdr:colOff>
      <xdr:row>17</xdr:row>
      <xdr:rowOff>185530</xdr:rowOff>
    </xdr:from>
    <xdr:to>
      <xdr:col>12</xdr:col>
      <xdr:colOff>728870</xdr:colOff>
      <xdr:row>20</xdr:row>
      <xdr:rowOff>39757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E6750818-D306-4F8A-B29E-03D2AC1B3F3C}"/>
            </a:ext>
          </a:extLst>
        </xdr:cNvPr>
        <xdr:cNvSpPr/>
      </xdr:nvSpPr>
      <xdr:spPr>
        <a:xfrm>
          <a:off x="10917472" y="4627990"/>
          <a:ext cx="2018638" cy="54002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80"/>
            <a:t>45% of the new refrigerant is assumed to be in the United States.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25</xdr:col>
      <xdr:colOff>398606</xdr:colOff>
      <xdr:row>0</xdr:row>
      <xdr:rowOff>119555</xdr:rowOff>
    </xdr:from>
    <xdr:to>
      <xdr:col>29</xdr:col>
      <xdr:colOff>1236543</xdr:colOff>
      <xdr:row>10</xdr:row>
      <xdr:rowOff>31811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E7CDCEC-9568-4DA1-BBDE-208FE0382F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790226" y="119555"/>
          <a:ext cx="4068817" cy="2198256"/>
        </a:xfrm>
        <a:prstGeom prst="rect">
          <a:avLst/>
        </a:prstGeom>
      </xdr:spPr>
    </xdr:pic>
    <xdr:clientData/>
  </xdr:twoCellAnchor>
  <xdr:twoCellAnchor>
    <xdr:from>
      <xdr:col>25</xdr:col>
      <xdr:colOff>596200</xdr:colOff>
      <xdr:row>5</xdr:row>
      <xdr:rowOff>182880</xdr:rowOff>
    </xdr:from>
    <xdr:to>
      <xdr:col>29</xdr:col>
      <xdr:colOff>845820</xdr:colOff>
      <xdr:row>7</xdr:row>
      <xdr:rowOff>7620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C5CC6804-90E7-4EDB-8295-7CACD3A3F50C}"/>
            </a:ext>
          </a:extLst>
        </xdr:cNvPr>
        <xdr:cNvSpPr/>
      </xdr:nvSpPr>
      <xdr:spPr>
        <a:xfrm>
          <a:off x="24987820" y="1325880"/>
          <a:ext cx="3480500" cy="281940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1312218</xdr:colOff>
      <xdr:row>2</xdr:row>
      <xdr:rowOff>22335</xdr:rowOff>
    </xdr:from>
    <xdr:to>
      <xdr:col>32</xdr:col>
      <xdr:colOff>258292</xdr:colOff>
      <xdr:row>6</xdr:row>
      <xdr:rowOff>174735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BE4E2BF8-2A63-4604-8262-E6DA0D112978}"/>
            </a:ext>
          </a:extLst>
        </xdr:cNvPr>
        <xdr:cNvSpPr/>
      </xdr:nvSpPr>
      <xdr:spPr>
        <a:xfrm>
          <a:off x="28934718" y="479535"/>
          <a:ext cx="2740834" cy="1066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80"/>
            <a:t>Supplied to industries other than air conditioning; currently reviewing quota for air conditioning industry (DUS)</a:t>
          </a:r>
          <a:endParaRPr kumimoji="1" lang="ja-JP" altLang="en-US" sz="1100"/>
        </a:p>
      </xdr:txBody>
    </xdr:sp>
    <xdr:clientData/>
  </xdr:twoCellAnchor>
  <xdr:twoCellAnchor>
    <xdr:from>
      <xdr:col>10</xdr:col>
      <xdr:colOff>218660</xdr:colOff>
      <xdr:row>19</xdr:row>
      <xdr:rowOff>185530</xdr:rowOff>
    </xdr:from>
    <xdr:to>
      <xdr:col>12</xdr:col>
      <xdr:colOff>477078</xdr:colOff>
      <xdr:row>22</xdr:row>
      <xdr:rowOff>39757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75B2D9D-BAB8-403C-B46D-EE9B74AA0FEC}"/>
            </a:ext>
          </a:extLst>
        </xdr:cNvPr>
        <xdr:cNvSpPr/>
      </xdr:nvSpPr>
      <xdr:spPr>
        <a:xfrm>
          <a:off x="10674625" y="5141843"/>
          <a:ext cx="2014331" cy="54996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80"/>
            <a:t>45% of the new refrigerant is assumed to be in the United States.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25</xdr:col>
      <xdr:colOff>55706</xdr:colOff>
      <xdr:row>2</xdr:row>
      <xdr:rowOff>66215</xdr:rowOff>
    </xdr:from>
    <xdr:to>
      <xdr:col>29</xdr:col>
      <xdr:colOff>596463</xdr:colOff>
      <xdr:row>11</xdr:row>
      <xdr:rowOff>207071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643D752D-2675-44F3-8049-DFB1FC5F72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671366" y="523415"/>
          <a:ext cx="4068817" cy="2198256"/>
        </a:xfrm>
        <a:prstGeom prst="rect">
          <a:avLst/>
        </a:prstGeom>
      </xdr:spPr>
    </xdr:pic>
    <xdr:clientData/>
  </xdr:twoCellAnchor>
  <xdr:twoCellAnchor>
    <xdr:from>
      <xdr:col>25</xdr:col>
      <xdr:colOff>222820</xdr:colOff>
      <xdr:row>7</xdr:row>
      <xdr:rowOff>121920</xdr:rowOff>
    </xdr:from>
    <xdr:to>
      <xdr:col>27</xdr:col>
      <xdr:colOff>243840</xdr:colOff>
      <xdr:row>8</xdr:row>
      <xdr:rowOff>175260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1659F9F-02FA-4C64-B499-080D262CE7DF}"/>
            </a:ext>
          </a:extLst>
        </xdr:cNvPr>
        <xdr:cNvSpPr/>
      </xdr:nvSpPr>
      <xdr:spPr>
        <a:xfrm>
          <a:off x="25574560" y="1722120"/>
          <a:ext cx="2086040" cy="281940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374958</xdr:colOff>
      <xdr:row>2</xdr:row>
      <xdr:rowOff>144255</xdr:rowOff>
    </xdr:from>
    <xdr:to>
      <xdr:col>24</xdr:col>
      <xdr:colOff>1584172</xdr:colOff>
      <xdr:row>7</xdr:row>
      <xdr:rowOff>68055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436FFF0A-5E2C-4F58-8AFD-3B3119B4BEEF}"/>
            </a:ext>
          </a:extLst>
        </xdr:cNvPr>
        <xdr:cNvSpPr/>
      </xdr:nvSpPr>
      <xdr:spPr>
        <a:xfrm>
          <a:off x="16727478" y="601455"/>
          <a:ext cx="1879774" cy="1066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80"/>
            <a:t>Supplied to some industries other than air conditioning, currently reviewing quota for air conditioning industry (DUS)</a:t>
          </a:r>
          <a:endParaRPr kumimoji="1" lang="ja-JP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ilsrv-my.sharepoint.com/personal/rika_daikin_co_jp/Documents/&#20919;&#23186;&#12471;&#12511;&#12517;&#12524;&#12540;&#12471;&#12519;&#12531;0309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ilsrv-my.sharepoint.com/personal/rika_daikin_co_jp/Documents/case2&#20919;&#23186;&#12471;&#12511;&#12517;&#12524;&#12540;&#12471;&#12519;&#12531;0309454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3"/>
      <sheetName val="シミュレーション (3)"/>
      <sheetName val="シミュレーション (2)"/>
      <sheetName val="シミュレーション"/>
      <sheetName val="Sheet2"/>
      <sheetName val="ﾕﾆﾀﾘAC"/>
      <sheetName val="業務用"/>
      <sheetName val="RA QA"/>
    </sheetNames>
    <sheetDataSet>
      <sheetData sheetId="0"/>
      <sheetData sheetId="1"/>
      <sheetData sheetId="2"/>
      <sheetData sheetId="3"/>
      <sheetData sheetId="4"/>
      <sheetData sheetId="5">
        <row r="65">
          <cell r="E65">
            <v>1812603</v>
          </cell>
        </row>
        <row r="66">
          <cell r="E66">
            <v>1512603</v>
          </cell>
        </row>
      </sheetData>
      <sheetData sheetId="6"/>
      <sheetData sheetId="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⇒裏データ"/>
      <sheetName val="Sheet3"/>
      <sheetName val="シミュレーション (3)"/>
      <sheetName val="シミュレーション (2)"/>
      <sheetName val="シミュレーション"/>
      <sheetName val="ﾕﾆﾀﾘAC"/>
      <sheetName val="業務用"/>
      <sheetName val="RA Q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65">
          <cell r="E65">
            <v>1812603</v>
          </cell>
        </row>
        <row r="66">
          <cell r="E66">
            <v>1512603</v>
          </cell>
        </row>
      </sheetData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A8E15-9840-4289-8C75-3161B342C042}">
  <dimension ref="B1:S23"/>
  <sheetViews>
    <sheetView showGridLines="0" zoomScaleNormal="100" workbookViewId="0">
      <selection activeCell="B4" sqref="B4:M23"/>
    </sheetView>
  </sheetViews>
  <sheetFormatPr defaultRowHeight="15" outlineLevelRow="1" outlineLevelCol="1" x14ac:dyDescent="0.4"/>
  <cols>
    <col min="2" max="2" width="25.875" bestFit="1" customWidth="1"/>
    <col min="3" max="4" width="8.75" hidden="1" customWidth="1" outlineLevel="1"/>
    <col min="5" max="5" width="7.25" hidden="1" customWidth="1" outlineLevel="1"/>
    <col min="6" max="6" width="11.625" bestFit="1" customWidth="1" collapsed="1"/>
    <col min="7" max="10" width="10.375" bestFit="1" customWidth="1"/>
    <col min="11" max="12" width="9.375" bestFit="1" customWidth="1"/>
    <col min="13" max="13" width="9.875" customWidth="1"/>
    <col min="15" max="15" width="6.75" customWidth="1"/>
    <col min="17" max="17" width="13" customWidth="1"/>
    <col min="18" max="18" width="5.75" bestFit="1" customWidth="1"/>
    <col min="19" max="19" width="9.375" bestFit="1" customWidth="1"/>
  </cols>
  <sheetData>
    <row r="1" spans="2:19" x14ac:dyDescent="0.4">
      <c r="B1" s="449" t="s">
        <v>199</v>
      </c>
      <c r="C1" s="449"/>
      <c r="D1" s="449"/>
      <c r="E1" s="449"/>
      <c r="F1" s="449"/>
      <c r="G1" s="449"/>
      <c r="H1" s="449"/>
    </row>
    <row r="2" spans="2:19" ht="15.6" thickBot="1" x14ac:dyDescent="0.45">
      <c r="O2" s="207" t="s">
        <v>201</v>
      </c>
      <c r="P2" s="207"/>
      <c r="Q2" s="207"/>
      <c r="R2" s="207"/>
      <c r="S2" s="207"/>
    </row>
    <row r="3" spans="2:19" ht="15.6" thickBot="1" x14ac:dyDescent="0.45">
      <c r="O3" s="399"/>
      <c r="P3" s="400"/>
      <c r="Q3" s="400"/>
      <c r="R3" s="401" t="s">
        <v>149</v>
      </c>
      <c r="S3" s="313" t="s">
        <v>221</v>
      </c>
    </row>
    <row r="4" spans="2:19" x14ac:dyDescent="0.4">
      <c r="B4" s="518" t="s">
        <v>233</v>
      </c>
      <c r="C4" s="351">
        <v>19</v>
      </c>
      <c r="D4" s="351">
        <v>20</v>
      </c>
      <c r="E4" s="351">
        <v>21</v>
      </c>
      <c r="F4" s="516">
        <v>2022</v>
      </c>
      <c r="G4" s="516">
        <v>2023</v>
      </c>
      <c r="H4" s="516">
        <v>2024</v>
      </c>
      <c r="I4" s="516">
        <v>2025</v>
      </c>
      <c r="J4" s="516">
        <v>2026</v>
      </c>
      <c r="K4" s="516">
        <v>2027</v>
      </c>
      <c r="L4" s="516">
        <v>2028</v>
      </c>
      <c r="M4" s="517">
        <v>2029</v>
      </c>
      <c r="O4" s="450" t="s">
        <v>183</v>
      </c>
      <c r="P4" s="451"/>
      <c r="Q4" s="452"/>
      <c r="R4" s="306">
        <f>1-R9</f>
        <v>0.93500000000000005</v>
      </c>
      <c r="S4" s="314">
        <f>R4*S10</f>
        <v>9129.1996047430821</v>
      </c>
    </row>
    <row r="5" spans="2:19" x14ac:dyDescent="0.4">
      <c r="B5" s="519" t="s">
        <v>234</v>
      </c>
      <c r="C5" s="350">
        <v>1720.35</v>
      </c>
      <c r="D5" s="350">
        <v>1648.7640000000001</v>
      </c>
      <c r="E5" s="350">
        <v>1837.8440000000001</v>
      </c>
      <c r="F5" s="350">
        <v>2006.058</v>
      </c>
      <c r="G5" s="350">
        <v>2007.9773597152011</v>
      </c>
      <c r="H5" s="350">
        <v>1964.9488900815982</v>
      </c>
      <c r="I5" s="350">
        <v>1877.2230285858486</v>
      </c>
      <c r="J5" s="350">
        <v>1795.0626269696008</v>
      </c>
      <c r="K5" s="350">
        <v>1618.7435666075244</v>
      </c>
      <c r="L5" s="350">
        <v>1248.5554043897955</v>
      </c>
      <c r="M5" s="352">
        <v>884.80205062115874</v>
      </c>
      <c r="O5" s="304"/>
      <c r="P5" s="453" t="s">
        <v>181</v>
      </c>
      <c r="Q5" s="454"/>
      <c r="R5" s="310">
        <f>R4-R8</f>
        <v>0.86020000000000008</v>
      </c>
      <c r="S5" s="315">
        <f>R5*S10</f>
        <v>8398.863636363636</v>
      </c>
    </row>
    <row r="6" spans="2:19" ht="15.6" thickBot="1" x14ac:dyDescent="0.45">
      <c r="B6" s="519" t="s">
        <v>235</v>
      </c>
      <c r="C6" s="350">
        <v>0</v>
      </c>
      <c r="D6" s="350">
        <v>0</v>
      </c>
      <c r="E6" s="350">
        <v>0</v>
      </c>
      <c r="F6" s="350">
        <v>50</v>
      </c>
      <c r="G6" s="350">
        <v>150</v>
      </c>
      <c r="H6" s="350">
        <v>300</v>
      </c>
      <c r="I6" s="350">
        <v>500</v>
      </c>
      <c r="J6" s="350">
        <v>700</v>
      </c>
      <c r="K6" s="350">
        <v>1000</v>
      </c>
      <c r="L6" s="350">
        <v>1500</v>
      </c>
      <c r="M6" s="352">
        <v>2000</v>
      </c>
      <c r="O6" s="304"/>
      <c r="P6" s="25"/>
      <c r="Q6" s="309" t="s">
        <v>122</v>
      </c>
      <c r="R6" s="310">
        <f>R5*0.88</f>
        <v>0.75697600000000009</v>
      </c>
      <c r="S6" s="316">
        <v>7391</v>
      </c>
    </row>
    <row r="7" spans="2:19" ht="16.2" thickTop="1" thickBot="1" x14ac:dyDescent="0.45">
      <c r="B7" s="520" t="s">
        <v>191</v>
      </c>
      <c r="C7" s="404">
        <v>1720.35</v>
      </c>
      <c r="D7" s="404">
        <v>1648.7640000000001</v>
      </c>
      <c r="E7" s="404">
        <v>1837.8440000000001</v>
      </c>
      <c r="F7" s="404">
        <v>2056.058</v>
      </c>
      <c r="G7" s="404">
        <v>2157.9773597152011</v>
      </c>
      <c r="H7" s="404">
        <v>2264.9488900815982</v>
      </c>
      <c r="I7" s="404">
        <v>2377.2230285858486</v>
      </c>
      <c r="J7" s="404">
        <v>2495.0626269696008</v>
      </c>
      <c r="K7" s="404">
        <v>2618.7435666075244</v>
      </c>
      <c r="L7" s="404">
        <v>2748.5554043897955</v>
      </c>
      <c r="M7" s="405">
        <v>2884.8020506211587</v>
      </c>
      <c r="O7" s="304"/>
      <c r="P7" s="25"/>
      <c r="Q7" s="311" t="s">
        <v>31</v>
      </c>
      <c r="R7" s="18">
        <f>R5*0.12</f>
        <v>0.10322400000000001</v>
      </c>
      <c r="S7" s="317">
        <f>R7*S10</f>
        <v>1007.8636363636363</v>
      </c>
    </row>
    <row r="8" spans="2:19" hidden="1" outlineLevel="1" x14ac:dyDescent="0.4">
      <c r="B8" s="402" t="s">
        <v>196</v>
      </c>
      <c r="C8" s="355"/>
      <c r="D8" s="355"/>
      <c r="E8" s="355"/>
      <c r="F8" s="356">
        <v>1.2</v>
      </c>
      <c r="G8" s="356">
        <v>1.25</v>
      </c>
      <c r="H8" s="356">
        <v>1.32</v>
      </c>
      <c r="I8" s="356">
        <v>1.38</v>
      </c>
      <c r="J8" s="356">
        <v>1.45</v>
      </c>
      <c r="K8" s="356">
        <v>1.52</v>
      </c>
      <c r="L8" s="356">
        <v>1.6</v>
      </c>
      <c r="M8" s="356">
        <v>1.68</v>
      </c>
      <c r="O8" s="304"/>
      <c r="P8" s="455" t="s">
        <v>182</v>
      </c>
      <c r="Q8" s="456"/>
      <c r="R8" s="312">
        <f>R4*8%</f>
        <v>7.4800000000000005E-2</v>
      </c>
      <c r="S8" s="318">
        <f>R8*S10</f>
        <v>730.33596837944651</v>
      </c>
    </row>
    <row r="9" spans="2:19" ht="18" hidden="1" customHeight="1" outlineLevel="1" thickBot="1" x14ac:dyDescent="0.45">
      <c r="B9" s="392" t="s">
        <v>60</v>
      </c>
      <c r="C9" s="355"/>
      <c r="D9" s="355"/>
      <c r="E9" s="355"/>
      <c r="F9" s="356">
        <v>1.1200000000000001</v>
      </c>
      <c r="G9" s="356">
        <f t="shared" ref="G9:M9" si="0">G7/F7</f>
        <v>1.0495702746299964</v>
      </c>
      <c r="H9" s="356">
        <f t="shared" si="0"/>
        <v>1.0495702746299964</v>
      </c>
      <c r="I9" s="356">
        <f t="shared" si="0"/>
        <v>1.0495702746299964</v>
      </c>
      <c r="J9" s="356">
        <f t="shared" si="0"/>
        <v>1.0495702746299964</v>
      </c>
      <c r="K9" s="356">
        <f t="shared" si="0"/>
        <v>1.0495702746299964</v>
      </c>
      <c r="L9" s="356">
        <f t="shared" si="0"/>
        <v>1.0495702746299964</v>
      </c>
      <c r="M9" s="356">
        <f t="shared" si="0"/>
        <v>1.0495702746299964</v>
      </c>
      <c r="O9" s="443" t="s">
        <v>184</v>
      </c>
      <c r="P9" s="444"/>
      <c r="Q9" s="445"/>
      <c r="R9" s="308">
        <v>6.5000000000000002E-2</v>
      </c>
      <c r="S9" s="319">
        <f>R9*S10</f>
        <v>634.65023990192549</v>
      </c>
    </row>
    <row r="10" spans="2:19" ht="16.2" collapsed="1" thickTop="1" thickBot="1" x14ac:dyDescent="0.45">
      <c r="B10" s="392"/>
      <c r="C10" s="355"/>
      <c r="D10" s="355"/>
      <c r="E10" s="355"/>
      <c r="F10" s="355"/>
      <c r="G10" s="355"/>
      <c r="H10" s="355"/>
      <c r="I10" s="355"/>
      <c r="J10" s="355"/>
      <c r="K10" s="355"/>
      <c r="L10" s="355"/>
      <c r="M10" s="355"/>
      <c r="O10" s="446" t="s">
        <v>200</v>
      </c>
      <c r="P10" s="447"/>
      <c r="Q10" s="448"/>
      <c r="R10" s="305">
        <v>1</v>
      </c>
      <c r="S10" s="320">
        <f>S6/R6</f>
        <v>9763.8498446450067</v>
      </c>
    </row>
    <row r="11" spans="2:19" x14ac:dyDescent="0.4">
      <c r="B11" s="393" t="s">
        <v>190</v>
      </c>
      <c r="C11" s="358"/>
      <c r="D11" s="358"/>
      <c r="E11" s="358"/>
      <c r="F11" s="359">
        <f t="shared" ref="F11:M11" si="1">F6/F7</f>
        <v>2.4318380123517915E-2</v>
      </c>
      <c r="G11" s="359">
        <f t="shared" si="1"/>
        <v>6.95095336958476E-2</v>
      </c>
      <c r="H11" s="359">
        <f t="shared" si="1"/>
        <v>0.13245331994630222</v>
      </c>
      <c r="I11" s="359">
        <f t="shared" si="1"/>
        <v>0.21032944489749356</v>
      </c>
      <c r="J11" s="359">
        <f t="shared" si="1"/>
        <v>0.28055408005938143</v>
      </c>
      <c r="K11" s="359">
        <f t="shared" si="1"/>
        <v>0.38186251328741566</v>
      </c>
      <c r="L11" s="359">
        <f t="shared" si="1"/>
        <v>0.54574122741142772</v>
      </c>
      <c r="M11" s="360">
        <f t="shared" si="1"/>
        <v>0.69328847002495642</v>
      </c>
    </row>
    <row r="12" spans="2:19" x14ac:dyDescent="0.4">
      <c r="B12" s="176" t="s">
        <v>189</v>
      </c>
      <c r="F12" s="18">
        <f>機器台数case1!E6+機器台数case1!E9</f>
        <v>0</v>
      </c>
      <c r="G12" s="18">
        <v>0</v>
      </c>
      <c r="H12" s="18">
        <f>機器台数case1!I6+機器台数case1!I9</f>
        <v>0.1</v>
      </c>
      <c r="I12" s="18">
        <f>機器台数case1!K6+機器台数case1!K9</f>
        <v>0.3</v>
      </c>
      <c r="J12" s="18">
        <f>機器台数case1!M6+機器台数case1!M9</f>
        <v>0.60035619432388809</v>
      </c>
      <c r="K12" s="18">
        <f>機器台数case1!O6+機器台数case1!O9</f>
        <v>0.76</v>
      </c>
      <c r="L12" s="18">
        <f>機器台数case1!Q6+機器台数case1!Q9</f>
        <v>0.9</v>
      </c>
      <c r="M12" s="353">
        <f>機器台数case1!S6+機器台数case1!S9</f>
        <v>0.99671152997504353</v>
      </c>
    </row>
    <row r="13" spans="2:19" ht="15.6" thickBot="1" x14ac:dyDescent="0.45">
      <c r="B13" s="178" t="s">
        <v>151</v>
      </c>
      <c r="C13" s="207"/>
      <c r="D13" s="207"/>
      <c r="E13" s="207"/>
      <c r="F13" s="305">
        <f>機器台数case1!E58</f>
        <v>0.30486367602470366</v>
      </c>
      <c r="G13" s="305">
        <f>機器台数case1!G58</f>
        <v>0.33390190673916942</v>
      </c>
      <c r="H13" s="305">
        <f>機器台数case1!I58</f>
        <v>0.35046426358765004</v>
      </c>
      <c r="I13" s="305">
        <f>機器台数case1!K58</f>
        <v>0.39627247787744857</v>
      </c>
      <c r="J13" s="305">
        <f>機器台数case1!M58</f>
        <v>0.44172189761306391</v>
      </c>
      <c r="K13" s="305">
        <f>機器台数case1!O58</f>
        <v>0.48400975292323156</v>
      </c>
      <c r="L13" s="305">
        <f>機器台数case1!Q58</f>
        <v>0.55006307003051425</v>
      </c>
      <c r="M13" s="354">
        <f>機器台数case1!S58</f>
        <v>0.66932884700249562</v>
      </c>
      <c r="R13" t="s">
        <v>220</v>
      </c>
      <c r="S13" s="4">
        <f>S10*675</f>
        <v>6590598.6451353794</v>
      </c>
    </row>
    <row r="14" spans="2:19" ht="15.6" thickBot="1" x14ac:dyDescent="0.45">
      <c r="R14" t="s">
        <v>222</v>
      </c>
      <c r="S14" s="6">
        <f>S13/'case2　ワーストケース'!S12</f>
        <v>0.36363357529354845</v>
      </c>
    </row>
    <row r="15" spans="2:19" x14ac:dyDescent="0.4">
      <c r="B15" s="174" t="s">
        <v>193</v>
      </c>
      <c r="C15" s="200"/>
      <c r="D15" s="200"/>
      <c r="E15" s="200"/>
      <c r="F15" s="200"/>
      <c r="G15" s="200"/>
      <c r="H15" s="200"/>
      <c r="I15" s="200"/>
      <c r="J15" s="200"/>
      <c r="K15" s="200"/>
      <c r="L15" s="200"/>
      <c r="M15" s="175"/>
      <c r="O15" s="29"/>
      <c r="P15" s="30" t="s">
        <v>215</v>
      </c>
      <c r="R15" t="s">
        <v>223</v>
      </c>
      <c r="S15" s="6">
        <f>30%</f>
        <v>0.3</v>
      </c>
    </row>
    <row r="16" spans="2:19" x14ac:dyDescent="0.4">
      <c r="B16" s="362" t="s">
        <v>194</v>
      </c>
      <c r="C16" s="363"/>
      <c r="D16" s="363"/>
      <c r="E16" s="364">
        <f>計算用case1!B13</f>
        <v>6553.3918318659562</v>
      </c>
      <c r="F16" s="364">
        <f>計算用case1!B13</f>
        <v>6553.3918318659562</v>
      </c>
      <c r="G16" s="364">
        <f>計算用case1!C13</f>
        <v>6754.0241898385511</v>
      </c>
      <c r="H16" s="364">
        <f>計算用case1!D13</f>
        <v>6284.5322035153586</v>
      </c>
      <c r="I16" s="364">
        <f>計算用case1!E13</f>
        <v>6321.8873923420842</v>
      </c>
      <c r="J16" s="364">
        <f>計算用case1!F13</f>
        <v>3712.8194248028003</v>
      </c>
      <c r="K16" s="364">
        <f>計算用case1!G13</f>
        <v>2151.0563746929151</v>
      </c>
      <c r="L16" s="364">
        <f>計算用case1!H13</f>
        <v>971.5466203124779</v>
      </c>
      <c r="M16" s="365">
        <f>計算用case1!I13</f>
        <v>0</v>
      </c>
      <c r="O16" s="33" t="s">
        <v>216</v>
      </c>
      <c r="P16" s="343">
        <v>2090</v>
      </c>
      <c r="R16" t="s">
        <v>224</v>
      </c>
      <c r="S16" s="18">
        <f>S14-S15</f>
        <v>6.3633575293548461E-2</v>
      </c>
    </row>
    <row r="17" spans="2:19" x14ac:dyDescent="0.4">
      <c r="B17" s="366" t="s">
        <v>197</v>
      </c>
      <c r="C17" s="287"/>
      <c r="D17" s="287"/>
      <c r="E17" s="287">
        <v>0</v>
      </c>
      <c r="F17" s="116">
        <f>計算用case1!B14</f>
        <v>0</v>
      </c>
      <c r="G17" s="116">
        <f>計算用case1!C14</f>
        <v>0</v>
      </c>
      <c r="H17" s="116">
        <f>計算用case1!D14</f>
        <v>609.87249071378028</v>
      </c>
      <c r="I17" s="116">
        <f>計算用case1!E14</f>
        <v>1695.5711865013138</v>
      </c>
      <c r="J17" s="116">
        <f>計算用case1!F14</f>
        <v>4128.8497319179196</v>
      </c>
      <c r="K17" s="116">
        <f>計算用case1!G14</f>
        <v>5132.5992009097572</v>
      </c>
      <c r="L17" s="116">
        <f>計算用case1!H14</f>
        <v>6287.011547485863</v>
      </c>
      <c r="M17" s="367">
        <f>計算用case1!I14</f>
        <v>7391.116046679801</v>
      </c>
      <c r="O17" s="33" t="s">
        <v>217</v>
      </c>
      <c r="P17" s="343">
        <v>675</v>
      </c>
      <c r="R17" t="s">
        <v>225</v>
      </c>
      <c r="S17">
        <f>S13*S16</f>
        <v>419383.35511478066</v>
      </c>
    </row>
    <row r="18" spans="2:19" x14ac:dyDescent="0.4">
      <c r="B18" s="176" t="s">
        <v>198</v>
      </c>
      <c r="F18" s="168">
        <f t="shared" ref="F18:M18" si="2">F16*2090+F17*675</f>
        <v>13696588.928599849</v>
      </c>
      <c r="G18" s="168">
        <f t="shared" si="2"/>
        <v>14115910.556762572</v>
      </c>
      <c r="H18" s="168">
        <f t="shared" si="2"/>
        <v>13546336.236578902</v>
      </c>
      <c r="I18" s="168">
        <f t="shared" si="2"/>
        <v>14357255.200883344</v>
      </c>
      <c r="J18" s="168">
        <f t="shared" si="2"/>
        <v>10546766.166882448</v>
      </c>
      <c r="K18" s="168">
        <f t="shared" si="2"/>
        <v>7960212.2837222787</v>
      </c>
      <c r="L18" s="168">
        <f t="shared" si="2"/>
        <v>6274265.2310060365</v>
      </c>
      <c r="M18" s="177">
        <f t="shared" si="2"/>
        <v>4989003.3315088656</v>
      </c>
      <c r="O18" s="35" t="s">
        <v>218</v>
      </c>
      <c r="P18" s="344">
        <v>465</v>
      </c>
      <c r="R18" t="s">
        <v>219</v>
      </c>
      <c r="S18">
        <f>S17/675</f>
        <v>621.30867424411952</v>
      </c>
    </row>
    <row r="19" spans="2:19" x14ac:dyDescent="0.4">
      <c r="B19" s="427" t="s">
        <v>108</v>
      </c>
      <c r="C19" s="368"/>
      <c r="D19" s="368" t="s">
        <v>180</v>
      </c>
      <c r="E19" s="368">
        <f>F18/0.9</f>
        <v>15218432.142888721</v>
      </c>
      <c r="F19" s="369">
        <f t="shared" ref="F19:M19" si="3">F18/$E$19</f>
        <v>0.9</v>
      </c>
      <c r="G19" s="440">
        <f t="shared" si="3"/>
        <v>0.92755353667353069</v>
      </c>
      <c r="H19" s="441">
        <f t="shared" si="3"/>
        <v>0.89012692696526186</v>
      </c>
      <c r="I19" s="440">
        <f t="shared" si="3"/>
        <v>0.94341224286972369</v>
      </c>
      <c r="J19" s="440">
        <f t="shared" si="3"/>
        <v>0.69302580370020228</v>
      </c>
      <c r="K19" s="369">
        <f t="shared" si="3"/>
        <v>0.52306388785535518</v>
      </c>
      <c r="L19" s="369">
        <f t="shared" si="3"/>
        <v>0.41228065888100562</v>
      </c>
      <c r="M19" s="442">
        <f t="shared" si="3"/>
        <v>0.32782636770109924</v>
      </c>
    </row>
    <row r="20" spans="2:19" ht="15.6" thickBot="1" x14ac:dyDescent="0.45">
      <c r="B20" s="524" t="s">
        <v>239</v>
      </c>
      <c r="C20" s="207"/>
      <c r="D20" s="207"/>
      <c r="E20" s="207"/>
      <c r="F20" s="407">
        <v>0.9</v>
      </c>
      <c r="G20" s="305">
        <v>0.9</v>
      </c>
      <c r="H20" s="414">
        <v>0.6</v>
      </c>
      <c r="I20" s="406">
        <v>0.6</v>
      </c>
      <c r="J20" s="406">
        <v>0.6</v>
      </c>
      <c r="K20" s="406">
        <v>0.6</v>
      </c>
      <c r="L20" s="406">
        <v>0.6</v>
      </c>
      <c r="M20" s="416">
        <v>0.3</v>
      </c>
    </row>
    <row r="22" spans="2:19" x14ac:dyDescent="0.4">
      <c r="L22" t="s">
        <v>120</v>
      </c>
      <c r="M22" s="18">
        <f>M19-M20</f>
        <v>2.7826367701099253E-2</v>
      </c>
    </row>
    <row r="23" spans="2:19" x14ac:dyDescent="0.4">
      <c r="L23" s="523" t="s">
        <v>238</v>
      </c>
      <c r="M23" s="4">
        <f>M18*M22/675</f>
        <v>205.66791283640723</v>
      </c>
    </row>
  </sheetData>
  <dataConsolidate/>
  <mergeCells count="6">
    <mergeCell ref="O9:Q9"/>
    <mergeCell ref="O10:Q10"/>
    <mergeCell ref="B1:H1"/>
    <mergeCell ref="O4:Q4"/>
    <mergeCell ref="P5:Q5"/>
    <mergeCell ref="P8:Q8"/>
  </mergeCells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FF248-18C3-4716-A96C-B6351DA612C4}">
  <dimension ref="B1:U23"/>
  <sheetViews>
    <sheetView showGridLines="0" zoomScale="130" zoomScaleNormal="130" workbookViewId="0">
      <selection activeCell="B19" sqref="B19:B20"/>
    </sheetView>
  </sheetViews>
  <sheetFormatPr defaultRowHeight="15" outlineLevelRow="1" outlineLevelCol="1" x14ac:dyDescent="0.4"/>
  <cols>
    <col min="2" max="2" width="22.875" customWidth="1"/>
    <col min="3" max="4" width="8.75" hidden="1" customWidth="1" outlineLevel="1"/>
    <col min="5" max="5" width="7.25" hidden="1" customWidth="1" outlineLevel="1"/>
    <col min="6" max="6" width="11.625" bestFit="1" customWidth="1" collapsed="1"/>
    <col min="7" max="10" width="10.375" bestFit="1" customWidth="1"/>
    <col min="11" max="12" width="9.375" bestFit="1" customWidth="1"/>
    <col min="13" max="13" width="9.75" bestFit="1" customWidth="1"/>
    <col min="15" max="15" width="3.25" customWidth="1"/>
    <col min="16" max="16" width="4.625" customWidth="1"/>
    <col min="17" max="17" width="12.375" customWidth="1"/>
    <col min="18" max="18" width="5.75" bestFit="1" customWidth="1"/>
    <col min="19" max="19" width="14" bestFit="1" customWidth="1"/>
  </cols>
  <sheetData>
    <row r="1" spans="2:21" x14ac:dyDescent="0.4">
      <c r="B1" s="449" t="s">
        <v>202</v>
      </c>
      <c r="C1" s="449"/>
      <c r="D1" s="449"/>
      <c r="E1" s="449"/>
      <c r="F1" s="449"/>
      <c r="G1" s="449"/>
      <c r="H1" s="449"/>
    </row>
    <row r="2" spans="2:21" ht="15.6" thickBot="1" x14ac:dyDescent="0.45">
      <c r="B2" s="411" t="s">
        <v>205</v>
      </c>
      <c r="O2" s="515" t="s">
        <v>226</v>
      </c>
      <c r="P2" s="515"/>
      <c r="Q2" s="515"/>
      <c r="R2" s="515"/>
      <c r="S2" s="515"/>
      <c r="T2" s="515"/>
      <c r="U2" s="515"/>
    </row>
    <row r="3" spans="2:21" ht="15.6" thickBot="1" x14ac:dyDescent="0.45">
      <c r="F3" s="6">
        <f>(M5/E5)^(1/(2029-2021))-1</f>
        <v>4.8516944517299043E-2</v>
      </c>
      <c r="O3" s="457"/>
      <c r="P3" s="458"/>
      <c r="Q3" s="458"/>
      <c r="R3" s="459"/>
      <c r="S3" s="507" t="s">
        <v>227</v>
      </c>
    </row>
    <row r="4" spans="2:21" x14ac:dyDescent="0.4">
      <c r="B4" s="518" t="s">
        <v>233</v>
      </c>
      <c r="C4" s="351">
        <v>19</v>
      </c>
      <c r="D4" s="351">
        <v>20</v>
      </c>
      <c r="E4" s="351">
        <v>21</v>
      </c>
      <c r="F4" s="516">
        <v>2022</v>
      </c>
      <c r="G4" s="516">
        <v>2023</v>
      </c>
      <c r="H4" s="516">
        <v>2024</v>
      </c>
      <c r="I4" s="516">
        <v>2025</v>
      </c>
      <c r="J4" s="516">
        <v>2026</v>
      </c>
      <c r="K4" s="516">
        <v>2027</v>
      </c>
      <c r="L4" s="516">
        <v>2028</v>
      </c>
      <c r="M4" s="517">
        <v>2029</v>
      </c>
      <c r="O4" s="508" t="s">
        <v>228</v>
      </c>
      <c r="P4" s="464"/>
      <c r="Q4" s="465"/>
      <c r="R4" s="306">
        <f>1-R9</f>
        <v>0.93500000000000005</v>
      </c>
      <c r="S4" s="314">
        <f>R4*S10</f>
        <v>8108.2328750464503</v>
      </c>
    </row>
    <row r="5" spans="2:21" x14ac:dyDescent="0.4">
      <c r="B5" s="519" t="s">
        <v>234</v>
      </c>
      <c r="C5" s="350">
        <v>1720.35</v>
      </c>
      <c r="D5" s="350">
        <v>1648.7640000000001</v>
      </c>
      <c r="E5" s="350">
        <v>1837.8440000000001</v>
      </c>
      <c r="F5" s="350">
        <f>機器台数2!D4</f>
        <v>2031.058</v>
      </c>
      <c r="G5" s="350">
        <f>機器台数2!F4</f>
        <v>2122.9773597152011</v>
      </c>
      <c r="H5" s="350">
        <f>機器台数2!H4</f>
        <v>2214.9488900816</v>
      </c>
      <c r="I5" s="350">
        <f>機器台数2!J4</f>
        <v>2307.2230285858486</v>
      </c>
      <c r="J5" s="350">
        <f>機器台数2!L4</f>
        <v>2405.0626269696008</v>
      </c>
      <c r="K5" s="350">
        <f>機器台数2!N4</f>
        <v>2498.7435666075244</v>
      </c>
      <c r="L5" s="350">
        <f>機器台数2!P4</f>
        <v>2598.5554043897955</v>
      </c>
      <c r="M5" s="352">
        <f>機器台数2!R4</f>
        <v>2684.8020506211587</v>
      </c>
      <c r="O5" s="304"/>
      <c r="P5" s="510" t="s">
        <v>230</v>
      </c>
      <c r="Q5" s="454"/>
      <c r="R5" s="310">
        <f>R4-R8</f>
        <v>0.86020000000000008</v>
      </c>
      <c r="S5" s="315">
        <f>R5*S10</f>
        <v>7459.5742450427342</v>
      </c>
    </row>
    <row r="6" spans="2:21" ht="15.6" thickBot="1" x14ac:dyDescent="0.45">
      <c r="B6" s="519" t="s">
        <v>235</v>
      </c>
      <c r="C6" s="350">
        <v>0</v>
      </c>
      <c r="D6" s="350">
        <v>0</v>
      </c>
      <c r="E6" s="350">
        <v>0</v>
      </c>
      <c r="F6" s="350">
        <f>機器台数2!D7</f>
        <v>25</v>
      </c>
      <c r="G6" s="350">
        <f>機器台数2!F7</f>
        <v>35</v>
      </c>
      <c r="H6" s="350">
        <f>機器台数2!H7</f>
        <v>50</v>
      </c>
      <c r="I6" s="350">
        <f>機器台数2!J7</f>
        <v>70</v>
      </c>
      <c r="J6" s="350">
        <f>機器台数2!L7</f>
        <v>90</v>
      </c>
      <c r="K6" s="350">
        <f>機器台数2!N7</f>
        <v>120</v>
      </c>
      <c r="L6" s="350">
        <f>機器台数2!P7</f>
        <v>150</v>
      </c>
      <c r="M6" s="352">
        <f>機器台数2!R7</f>
        <v>200</v>
      </c>
      <c r="O6" s="304"/>
      <c r="P6" s="25"/>
      <c r="Q6" s="309" t="s">
        <v>122</v>
      </c>
      <c r="R6" s="310">
        <f>R5*0.88</f>
        <v>0.75697600000000009</v>
      </c>
      <c r="S6" s="316">
        <f>F16</f>
        <v>6564.4253356376066</v>
      </c>
    </row>
    <row r="7" spans="2:21" ht="16.2" thickTop="1" thickBot="1" x14ac:dyDescent="0.45">
      <c r="B7" s="520" t="s">
        <v>191</v>
      </c>
      <c r="C7" s="404">
        <v>1720.35</v>
      </c>
      <c r="D7" s="404">
        <v>1648.7640000000001</v>
      </c>
      <c r="E7" s="404">
        <v>1837.8440000000001</v>
      </c>
      <c r="F7" s="404">
        <v>2056.058</v>
      </c>
      <c r="G7" s="404">
        <v>2157.9773597152011</v>
      </c>
      <c r="H7" s="404">
        <v>2264.9488900815982</v>
      </c>
      <c r="I7" s="404">
        <v>2377.2230285858486</v>
      </c>
      <c r="J7" s="404">
        <v>2495.0626269696008</v>
      </c>
      <c r="K7" s="404">
        <v>2618.7435666075244</v>
      </c>
      <c r="L7" s="404">
        <v>2748.5554043897955</v>
      </c>
      <c r="M7" s="405">
        <v>2884.8020506211587</v>
      </c>
      <c r="O7" s="304"/>
      <c r="P7" s="25"/>
      <c r="Q7" s="509" t="s">
        <v>229</v>
      </c>
      <c r="R7" s="121">
        <f>R5*0.12</f>
        <v>0.10322400000000001</v>
      </c>
      <c r="S7" s="317">
        <f>R7*S10</f>
        <v>895.14890940512817</v>
      </c>
    </row>
    <row r="8" spans="2:21" hidden="1" outlineLevel="1" x14ac:dyDescent="0.4">
      <c r="B8" s="361" t="s">
        <v>196</v>
      </c>
      <c r="C8" s="355"/>
      <c r="D8" s="355"/>
      <c r="E8" s="355"/>
      <c r="F8" s="356">
        <v>1.2</v>
      </c>
      <c r="G8" s="356">
        <v>1.25</v>
      </c>
      <c r="H8" s="356">
        <v>1.32</v>
      </c>
      <c r="I8" s="356">
        <v>1.38</v>
      </c>
      <c r="J8" s="356">
        <v>1.45</v>
      </c>
      <c r="K8" s="356">
        <v>1.52</v>
      </c>
      <c r="L8" s="356">
        <v>1.6</v>
      </c>
      <c r="M8" s="356">
        <v>1.68</v>
      </c>
      <c r="O8" s="304"/>
      <c r="P8" s="511" t="s">
        <v>231</v>
      </c>
      <c r="Q8" s="512"/>
      <c r="R8" s="312">
        <f>R4*8%</f>
        <v>7.4800000000000005E-2</v>
      </c>
      <c r="S8" s="318">
        <f>R8*S10</f>
        <v>648.65863000371598</v>
      </c>
    </row>
    <row r="9" spans="2:21" ht="18" hidden="1" customHeight="1" outlineLevel="1" thickBot="1" x14ac:dyDescent="0.45">
      <c r="B9" s="361" t="s">
        <v>60</v>
      </c>
      <c r="C9" s="355"/>
      <c r="D9" s="355"/>
      <c r="E9" s="355"/>
      <c r="F9" s="356">
        <v>1.1200000000000001</v>
      </c>
      <c r="G9" s="356">
        <f t="shared" ref="G9:M9" si="0">G7/F7</f>
        <v>1.0495702746299964</v>
      </c>
      <c r="H9" s="356">
        <f t="shared" si="0"/>
        <v>1.0495702746299964</v>
      </c>
      <c r="I9" s="356">
        <f t="shared" si="0"/>
        <v>1.0495702746299964</v>
      </c>
      <c r="J9" s="356">
        <f t="shared" si="0"/>
        <v>1.0495702746299964</v>
      </c>
      <c r="K9" s="356">
        <f t="shared" si="0"/>
        <v>1.0495702746299964</v>
      </c>
      <c r="L9" s="356">
        <f t="shared" si="0"/>
        <v>1.0495702746299964</v>
      </c>
      <c r="M9" s="356">
        <f t="shared" si="0"/>
        <v>1.0495702746299964</v>
      </c>
      <c r="O9" s="513" t="s">
        <v>211</v>
      </c>
      <c r="P9" s="444"/>
      <c r="Q9" s="445"/>
      <c r="R9" s="308">
        <v>6.5000000000000002E-2</v>
      </c>
      <c r="S9" s="319">
        <f>R9*S10</f>
        <v>563.67394318504728</v>
      </c>
    </row>
    <row r="10" spans="2:21" ht="16.2" collapsed="1" thickTop="1" thickBot="1" x14ac:dyDescent="0.45">
      <c r="B10" s="361"/>
      <c r="C10" s="355"/>
      <c r="D10" s="355"/>
      <c r="E10" s="355"/>
      <c r="F10" s="355"/>
      <c r="G10" s="355"/>
      <c r="H10" s="355"/>
      <c r="I10" s="355"/>
      <c r="J10" s="355"/>
      <c r="K10" s="355"/>
      <c r="L10" s="355"/>
      <c r="M10" s="355"/>
      <c r="O10" s="514" t="s">
        <v>232</v>
      </c>
      <c r="P10" s="447"/>
      <c r="Q10" s="448"/>
      <c r="R10" s="305">
        <v>1</v>
      </c>
      <c r="S10" s="320">
        <f>S6/R6</f>
        <v>8671.9068182314968</v>
      </c>
    </row>
    <row r="11" spans="2:21" x14ac:dyDescent="0.4">
      <c r="B11" s="357" t="s">
        <v>190</v>
      </c>
      <c r="C11" s="358"/>
      <c r="D11" s="358"/>
      <c r="E11" s="358"/>
      <c r="F11" s="359">
        <f t="shared" ref="F11:M11" si="1">F6/F7</f>
        <v>1.2159190061758958E-2</v>
      </c>
      <c r="G11" s="359">
        <f t="shared" si="1"/>
        <v>1.6218891195697773E-2</v>
      </c>
      <c r="H11" s="359">
        <f t="shared" si="1"/>
        <v>2.2075553324383702E-2</v>
      </c>
      <c r="I11" s="359">
        <f t="shared" si="1"/>
        <v>2.9446122285649096E-2</v>
      </c>
      <c r="J11" s="359">
        <f t="shared" si="1"/>
        <v>3.6071238864777616E-2</v>
      </c>
      <c r="K11" s="359">
        <f t="shared" si="1"/>
        <v>4.5823501594489877E-2</v>
      </c>
      <c r="L11" s="359">
        <f t="shared" si="1"/>
        <v>5.4574122741142768E-2</v>
      </c>
      <c r="M11" s="360">
        <f t="shared" si="1"/>
        <v>6.9328847002495642E-2</v>
      </c>
    </row>
    <row r="12" spans="2:21" x14ac:dyDescent="0.4">
      <c r="B12" s="176" t="s">
        <v>189</v>
      </c>
      <c r="C12" s="166"/>
      <c r="D12" s="166"/>
      <c r="E12" s="166"/>
      <c r="F12" s="121">
        <f>機器台数2!E6+機器台数2!E9</f>
        <v>0</v>
      </c>
      <c r="G12" s="121">
        <v>0</v>
      </c>
      <c r="H12" s="121">
        <f>機器台数2!I6+機器台数2!I9</f>
        <v>9.9999999999999992E-2</v>
      </c>
      <c r="I12" s="121">
        <f>機器台数2!K6+機器台数2!K9</f>
        <v>0.16999999999999998</v>
      </c>
      <c r="J12" s="121">
        <f>機器台数2!M6+機器台数2!M9</f>
        <v>0.32999999999999996</v>
      </c>
      <c r="K12" s="121">
        <f>機器台数2!O6+機器台数2!O9</f>
        <v>0.64</v>
      </c>
      <c r="L12" s="121">
        <f>機器台数2!Q6+機器台数2!Q9</f>
        <v>0.75</v>
      </c>
      <c r="M12" s="353">
        <f>機器台数2!S6+機器台数2!S9</f>
        <v>0.8600000000000001</v>
      </c>
      <c r="S12" s="4">
        <f>S10*2090</f>
        <v>18124285.250103828</v>
      </c>
    </row>
    <row r="13" spans="2:21" ht="15.6" thickBot="1" x14ac:dyDescent="0.45">
      <c r="B13" s="178" t="s">
        <v>151</v>
      </c>
      <c r="C13" s="207"/>
      <c r="D13" s="207"/>
      <c r="E13" s="207"/>
      <c r="F13" s="305">
        <f>機器台数2!E58</f>
        <v>0.30243183801235185</v>
      </c>
      <c r="G13" s="305">
        <f>機器台数2!G58</f>
        <v>0.31340596715109659</v>
      </c>
      <c r="H13" s="305">
        <f>機器台数2!I58</f>
        <v>0.32485662173136443</v>
      </c>
      <c r="I13" s="305">
        <f>機器台数2!K58</f>
        <v>0.33677260812569931</v>
      </c>
      <c r="J13" s="305">
        <f>機器台数2!M58</f>
        <v>0.34865709732754668</v>
      </c>
      <c r="K13" s="305">
        <f>機器台数2!O58</f>
        <v>0.36145587539862256</v>
      </c>
      <c r="L13" s="305">
        <f>機器台数2!Q58</f>
        <v>0.37418927191269713</v>
      </c>
      <c r="M13" s="354">
        <f>機器台数2!S58</f>
        <v>0.38871878869067389</v>
      </c>
    </row>
    <row r="14" spans="2:21" ht="15.6" thickBot="1" x14ac:dyDescent="0.45"/>
    <row r="15" spans="2:21" x14ac:dyDescent="0.4">
      <c r="B15" s="174" t="s">
        <v>193</v>
      </c>
      <c r="C15" s="200"/>
      <c r="D15" s="200"/>
      <c r="E15" s="200"/>
      <c r="F15" s="200"/>
      <c r="G15" s="200"/>
      <c r="H15" s="200"/>
      <c r="I15" s="200"/>
      <c r="J15" s="200"/>
      <c r="K15" s="200"/>
      <c r="L15" s="200"/>
      <c r="M15" s="175"/>
    </row>
    <row r="16" spans="2:21" x14ac:dyDescent="0.4">
      <c r="B16" s="521" t="s">
        <v>236</v>
      </c>
      <c r="C16" s="363"/>
      <c r="D16" s="363"/>
      <c r="E16" s="364">
        <f>計算用2!B13</f>
        <v>6564.4253356376066</v>
      </c>
      <c r="F16" s="364">
        <f>計算用2!B13</f>
        <v>6564.4253356376066</v>
      </c>
      <c r="G16" s="364">
        <f>計算用2!C13</f>
        <v>6780.1496197239694</v>
      </c>
      <c r="H16" s="364">
        <f>計算用2!D13</f>
        <v>6425.5187563515292</v>
      </c>
      <c r="I16" s="364">
        <f>計算用2!E13</f>
        <v>7329.9521858029384</v>
      </c>
      <c r="J16" s="364">
        <f>計算用2!F13</f>
        <v>5943.141983795962</v>
      </c>
      <c r="K16" s="364">
        <f>計算用2!G13</f>
        <v>3060.5136420464723</v>
      </c>
      <c r="L16" s="364">
        <f>計算用2!H13</f>
        <v>2237.6111936042635</v>
      </c>
      <c r="M16" s="365">
        <f>計算用2!I13</f>
        <v>1309.8727997323074</v>
      </c>
    </row>
    <row r="17" spans="2:13" x14ac:dyDescent="0.4">
      <c r="B17" s="522" t="s">
        <v>237</v>
      </c>
      <c r="C17" s="287"/>
      <c r="D17" s="287"/>
      <c r="E17" s="287">
        <v>0</v>
      </c>
      <c r="F17" s="116">
        <f>計算用2!B14</f>
        <v>0</v>
      </c>
      <c r="G17" s="116">
        <f>計算用2!C14</f>
        <v>0</v>
      </c>
      <c r="H17" s="116">
        <f>計算用2!D14</f>
        <v>584.94389214688113</v>
      </c>
      <c r="I17" s="116">
        <f>計算用2!E14</f>
        <v>1091.2736299604258</v>
      </c>
      <c r="J17" s="116">
        <f>計算用2!F14</f>
        <v>2239.4114538927042</v>
      </c>
      <c r="K17" s="116">
        <f>計算用2!G14</f>
        <v>4592.855574863639</v>
      </c>
      <c r="L17" s="116">
        <f>計算用2!H14</f>
        <v>5664.1947200838094</v>
      </c>
      <c r="M17" s="367">
        <f>計算用2!I14</f>
        <v>6836.0997698839528</v>
      </c>
    </row>
    <row r="18" spans="2:13" x14ac:dyDescent="0.4">
      <c r="B18" s="176" t="s">
        <v>198</v>
      </c>
      <c r="C18" s="166"/>
      <c r="D18" s="166"/>
      <c r="E18" s="166"/>
      <c r="F18" s="168">
        <f>F16*2090+F17*675</f>
        <v>13719648.951482598</v>
      </c>
      <c r="G18" s="168">
        <f t="shared" ref="G18:M18" si="2">G16*2090+G17*675</f>
        <v>14170512.705223097</v>
      </c>
      <c r="H18" s="168">
        <f t="shared" si="2"/>
        <v>13824171.327973841</v>
      </c>
      <c r="I18" s="168">
        <f t="shared" si="2"/>
        <v>16056209.76855143</v>
      </c>
      <c r="J18" s="168">
        <f t="shared" si="2"/>
        <v>13932769.477511136</v>
      </c>
      <c r="K18" s="168">
        <f t="shared" si="2"/>
        <v>9496651.024910083</v>
      </c>
      <c r="L18" s="168">
        <f t="shared" si="2"/>
        <v>8499938.8306894824</v>
      </c>
      <c r="M18" s="177">
        <f t="shared" si="2"/>
        <v>7352001.4961121911</v>
      </c>
    </row>
    <row r="19" spans="2:13" x14ac:dyDescent="0.4">
      <c r="B19" s="427" t="s">
        <v>108</v>
      </c>
      <c r="C19" s="368"/>
      <c r="D19" s="368" t="s">
        <v>180</v>
      </c>
      <c r="E19" s="368">
        <f>F18/0.9</f>
        <v>15244054.390536219</v>
      </c>
      <c r="F19" s="369">
        <f>F18/$E$19</f>
        <v>0.9</v>
      </c>
      <c r="G19" s="369">
        <f t="shared" ref="G19:M19" si="3">G18/$E$19</f>
        <v>0.9295763674275791</v>
      </c>
      <c r="H19" s="369">
        <f t="shared" si="3"/>
        <v>0.90685659955110975</v>
      </c>
      <c r="I19" s="369">
        <f t="shared" si="3"/>
        <v>1.0532768617330184</v>
      </c>
      <c r="J19" s="369">
        <f t="shared" si="3"/>
        <v>0.91398056714891074</v>
      </c>
      <c r="K19" s="369">
        <f t="shared" si="3"/>
        <v>0.62297409741635223</v>
      </c>
      <c r="L19" s="369">
        <f t="shared" si="3"/>
        <v>0.55759042922113922</v>
      </c>
      <c r="M19" s="370">
        <f t="shared" si="3"/>
        <v>0.48228649070397211</v>
      </c>
    </row>
    <row r="20" spans="2:13" ht="15.6" thickBot="1" x14ac:dyDescent="0.45">
      <c r="B20" s="524" t="s">
        <v>239</v>
      </c>
      <c r="C20" s="207"/>
      <c r="D20" s="207"/>
      <c r="E20" s="207"/>
      <c r="F20" s="305">
        <v>0.9</v>
      </c>
      <c r="G20" s="305">
        <v>0.9</v>
      </c>
      <c r="H20" s="305">
        <v>0.6</v>
      </c>
      <c r="I20" s="407">
        <v>0.6</v>
      </c>
      <c r="J20" s="305">
        <v>0.6</v>
      </c>
      <c r="K20" s="305">
        <v>0.6</v>
      </c>
      <c r="L20" s="305">
        <v>0.6</v>
      </c>
      <c r="M20" s="412">
        <v>0.3</v>
      </c>
    </row>
    <row r="22" spans="2:13" x14ac:dyDescent="0.4">
      <c r="L22" t="s">
        <v>120</v>
      </c>
      <c r="M22" s="18">
        <f>M19-M20</f>
        <v>0.18228649070397213</v>
      </c>
    </row>
    <row r="23" spans="2:13" x14ac:dyDescent="0.4">
      <c r="L23" s="523" t="s">
        <v>238</v>
      </c>
      <c r="M23" s="4">
        <f>M18*M22/675</f>
        <v>1985.4378553728059</v>
      </c>
    </row>
  </sheetData>
  <mergeCells count="8">
    <mergeCell ref="O9:Q9"/>
    <mergeCell ref="O3:R3"/>
    <mergeCell ref="O10:Q10"/>
    <mergeCell ref="B1:H1"/>
    <mergeCell ref="O4:Q4"/>
    <mergeCell ref="P5:Q5"/>
    <mergeCell ref="P8:Q8"/>
    <mergeCell ref="O2:U2"/>
  </mergeCells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4C059-8288-4510-9F95-567B0956B260}">
  <dimension ref="B1:T23"/>
  <sheetViews>
    <sheetView showGridLines="0" tabSelected="1" zoomScale="115" zoomScaleNormal="115" workbookViewId="0">
      <selection activeCell="F4" sqref="F4:M4"/>
    </sheetView>
  </sheetViews>
  <sheetFormatPr defaultRowHeight="15" outlineLevelRow="1" outlineLevelCol="1" x14ac:dyDescent="0.4"/>
  <cols>
    <col min="2" max="2" width="25.875" bestFit="1" customWidth="1"/>
    <col min="3" max="4" width="8.75" hidden="1" customWidth="1" outlineLevel="1"/>
    <col min="5" max="5" width="7.25" hidden="1" customWidth="1" outlineLevel="1"/>
    <col min="6" max="6" width="10.375" bestFit="1" customWidth="1" collapsed="1"/>
    <col min="7" max="10" width="10.375" bestFit="1" customWidth="1"/>
    <col min="11" max="12" width="9.375" bestFit="1" customWidth="1"/>
    <col min="13" max="13" width="9.875" customWidth="1"/>
    <col min="15" max="15" width="3.25" customWidth="1"/>
    <col min="17" max="17" width="13" customWidth="1"/>
    <col min="18" max="18" width="5.75" bestFit="1" customWidth="1"/>
    <col min="19" max="19" width="9.375" bestFit="1" customWidth="1"/>
  </cols>
  <sheetData>
    <row r="1" spans="2:19" x14ac:dyDescent="0.4">
      <c r="B1" s="449" t="s">
        <v>199</v>
      </c>
      <c r="C1" s="449"/>
      <c r="D1" s="449"/>
      <c r="E1" s="449"/>
      <c r="F1" s="449"/>
      <c r="G1" s="449"/>
      <c r="H1" s="449"/>
    </row>
    <row r="2" spans="2:19" ht="15.6" thickBot="1" x14ac:dyDescent="0.45">
      <c r="O2" s="207" t="s">
        <v>201</v>
      </c>
      <c r="P2" s="207"/>
      <c r="Q2" s="207"/>
      <c r="R2" s="207"/>
      <c r="S2" s="207"/>
    </row>
    <row r="3" spans="2:19" ht="15.6" thickBot="1" x14ac:dyDescent="0.45">
      <c r="B3" t="s">
        <v>208</v>
      </c>
      <c r="F3" s="421">
        <f>(M7/F7)^(1/(2029-2022))-1</f>
        <v>4.9570274629996414E-2</v>
      </c>
      <c r="O3" s="420"/>
      <c r="P3" s="419"/>
      <c r="Q3" s="419"/>
      <c r="R3" s="418" t="s">
        <v>149</v>
      </c>
      <c r="S3" s="313" t="s">
        <v>185</v>
      </c>
    </row>
    <row r="4" spans="2:19" x14ac:dyDescent="0.4">
      <c r="B4" s="518" t="s">
        <v>233</v>
      </c>
      <c r="C4" s="351">
        <v>19</v>
      </c>
      <c r="D4" s="351">
        <v>20</v>
      </c>
      <c r="E4" s="351">
        <v>21</v>
      </c>
      <c r="F4" s="516">
        <v>2022</v>
      </c>
      <c r="G4" s="516">
        <v>2023</v>
      </c>
      <c r="H4" s="516">
        <v>2024</v>
      </c>
      <c r="I4" s="516">
        <v>2025</v>
      </c>
      <c r="J4" s="516">
        <v>2026</v>
      </c>
      <c r="K4" s="516">
        <v>2027</v>
      </c>
      <c r="L4" s="516">
        <v>2028</v>
      </c>
      <c r="M4" s="517">
        <v>2029</v>
      </c>
      <c r="O4" s="450" t="s">
        <v>183</v>
      </c>
      <c r="P4" s="451"/>
      <c r="Q4" s="452"/>
      <c r="R4" s="306">
        <f>1-R9</f>
        <v>0.93500000000000005</v>
      </c>
      <c r="S4" s="314">
        <f>R4*S10</f>
        <v>9129.1996047430821</v>
      </c>
    </row>
    <row r="5" spans="2:19" x14ac:dyDescent="0.4">
      <c r="B5" s="519" t="s">
        <v>234</v>
      </c>
      <c r="C5" s="350">
        <v>1720.35</v>
      </c>
      <c r="D5" s="350">
        <v>1648.7640000000001</v>
      </c>
      <c r="E5" s="350">
        <v>1837.8440000000001</v>
      </c>
      <c r="F5" s="350">
        <v>2016.058</v>
      </c>
      <c r="G5" s="350">
        <v>2107.9773597152011</v>
      </c>
      <c r="H5" s="350">
        <v>2204.9488900816</v>
      </c>
      <c r="I5" s="350">
        <v>2307.2230285858486</v>
      </c>
      <c r="J5" s="350">
        <v>2415.0626269696008</v>
      </c>
      <c r="K5" s="350">
        <v>2528.7435666075244</v>
      </c>
      <c r="L5" s="350">
        <v>2648.5554043897955</v>
      </c>
      <c r="M5" s="352">
        <v>2774.8020506211601</v>
      </c>
      <c r="O5" s="304"/>
      <c r="P5" s="453" t="s">
        <v>181</v>
      </c>
      <c r="Q5" s="454"/>
      <c r="R5" s="310">
        <f>R4-R8</f>
        <v>0.86020000000000008</v>
      </c>
      <c r="S5" s="315">
        <f>R5*S10</f>
        <v>8398.863636363636</v>
      </c>
    </row>
    <row r="6" spans="2:19" ht="15.6" thickBot="1" x14ac:dyDescent="0.45">
      <c r="B6" s="519" t="s">
        <v>235</v>
      </c>
      <c r="C6" s="350">
        <v>0</v>
      </c>
      <c r="D6" s="350">
        <v>0</v>
      </c>
      <c r="E6" s="350">
        <v>0</v>
      </c>
      <c r="F6" s="350">
        <v>40</v>
      </c>
      <c r="G6" s="350">
        <v>50</v>
      </c>
      <c r="H6" s="350">
        <v>60</v>
      </c>
      <c r="I6" s="350">
        <v>70</v>
      </c>
      <c r="J6" s="350">
        <v>80</v>
      </c>
      <c r="K6" s="350">
        <v>90</v>
      </c>
      <c r="L6" s="350">
        <v>100</v>
      </c>
      <c r="M6" s="352">
        <v>110</v>
      </c>
      <c r="O6" s="304"/>
      <c r="P6" s="25"/>
      <c r="Q6" s="309" t="s">
        <v>122</v>
      </c>
      <c r="R6" s="310">
        <f>R5*0.88</f>
        <v>0.75697600000000009</v>
      </c>
      <c r="S6" s="316">
        <v>7391</v>
      </c>
    </row>
    <row r="7" spans="2:19" ht="16.2" thickTop="1" thickBot="1" x14ac:dyDescent="0.45">
      <c r="B7" s="520" t="s">
        <v>191</v>
      </c>
      <c r="C7" s="404">
        <v>1720.35</v>
      </c>
      <c r="D7" s="404">
        <v>1648.7640000000001</v>
      </c>
      <c r="E7" s="404">
        <v>1837.8440000000001</v>
      </c>
      <c r="F7" s="404">
        <v>2056.058</v>
      </c>
      <c r="G7" s="404">
        <v>2157.9773597152011</v>
      </c>
      <c r="H7" s="404">
        <v>2264.9488900815982</v>
      </c>
      <c r="I7" s="404">
        <v>2377.2230285858486</v>
      </c>
      <c r="J7" s="404">
        <v>2495.0626269696008</v>
      </c>
      <c r="K7" s="404">
        <v>2618.7435666075244</v>
      </c>
      <c r="L7" s="404">
        <v>2748.5554043897955</v>
      </c>
      <c r="M7" s="405">
        <v>2884.8020506211587</v>
      </c>
      <c r="O7" s="304"/>
      <c r="P7" s="25"/>
      <c r="Q7" s="311" t="s">
        <v>31</v>
      </c>
      <c r="R7" s="18">
        <f>R5*0.12</f>
        <v>0.10322400000000001</v>
      </c>
      <c r="S7" s="317">
        <f>R7*S10</f>
        <v>1007.8636363636363</v>
      </c>
    </row>
    <row r="8" spans="2:19" hidden="1" outlineLevel="1" x14ac:dyDescent="0.4">
      <c r="B8" s="392" t="s">
        <v>196</v>
      </c>
      <c r="C8" s="355"/>
      <c r="D8" s="355"/>
      <c r="E8" s="355"/>
      <c r="F8" s="356">
        <v>1.2</v>
      </c>
      <c r="G8" s="356">
        <v>1.25</v>
      </c>
      <c r="H8" s="356">
        <v>1.32</v>
      </c>
      <c r="I8" s="356">
        <v>1.38</v>
      </c>
      <c r="J8" s="356">
        <v>1.45</v>
      </c>
      <c r="K8" s="356">
        <v>1.52</v>
      </c>
      <c r="L8" s="356">
        <v>1.6</v>
      </c>
      <c r="M8" s="356">
        <v>1.68</v>
      </c>
      <c r="O8" s="304"/>
      <c r="P8" s="455" t="s">
        <v>182</v>
      </c>
      <c r="Q8" s="456"/>
      <c r="R8" s="312">
        <f>R4*8%</f>
        <v>7.4800000000000005E-2</v>
      </c>
      <c r="S8" s="318">
        <f>R8*S10</f>
        <v>730.33596837944651</v>
      </c>
    </row>
    <row r="9" spans="2:19" ht="18" hidden="1" customHeight="1" outlineLevel="1" thickBot="1" x14ac:dyDescent="0.45">
      <c r="B9" s="392" t="s">
        <v>60</v>
      </c>
      <c r="C9" s="355"/>
      <c r="D9" s="355"/>
      <c r="E9" s="356">
        <f>E7/D7</f>
        <v>1.1146798450233022</v>
      </c>
      <c r="F9" s="356">
        <v>1.1200000000000001</v>
      </c>
      <c r="G9" s="356">
        <f t="shared" ref="G9:M9" si="0">G7/F7</f>
        <v>1.0495702746299964</v>
      </c>
      <c r="H9" s="356">
        <f t="shared" si="0"/>
        <v>1.0495702746299964</v>
      </c>
      <c r="I9" s="356">
        <f t="shared" si="0"/>
        <v>1.0495702746299964</v>
      </c>
      <c r="J9" s="356">
        <f t="shared" si="0"/>
        <v>1.0495702746299964</v>
      </c>
      <c r="K9" s="356">
        <f t="shared" si="0"/>
        <v>1.0495702746299964</v>
      </c>
      <c r="L9" s="356">
        <f t="shared" si="0"/>
        <v>1.0495702746299964</v>
      </c>
      <c r="M9" s="356">
        <f t="shared" si="0"/>
        <v>1.0495702746299964</v>
      </c>
      <c r="O9" s="443" t="s">
        <v>184</v>
      </c>
      <c r="P9" s="444"/>
      <c r="Q9" s="445"/>
      <c r="R9" s="308">
        <v>6.5000000000000002E-2</v>
      </c>
      <c r="S9" s="319">
        <f>R9*S10</f>
        <v>634.65023990192549</v>
      </c>
    </row>
    <row r="10" spans="2:19" ht="13.8" customHeight="1" collapsed="1" thickTop="1" thickBot="1" x14ac:dyDescent="0.45">
      <c r="B10" s="392"/>
      <c r="C10" s="355"/>
      <c r="D10" s="355"/>
      <c r="E10" s="355"/>
      <c r="F10" s="355"/>
      <c r="G10" s="355"/>
      <c r="H10" s="355"/>
      <c r="I10" s="355"/>
      <c r="J10" s="355"/>
      <c r="K10" s="355"/>
      <c r="L10" s="355"/>
      <c r="M10" s="355"/>
      <c r="O10" s="446" t="s">
        <v>200</v>
      </c>
      <c r="P10" s="447"/>
      <c r="Q10" s="448"/>
      <c r="R10" s="305">
        <v>1</v>
      </c>
      <c r="S10" s="320">
        <f>S6/R6</f>
        <v>9763.8498446450067</v>
      </c>
    </row>
    <row r="11" spans="2:19" x14ac:dyDescent="0.4">
      <c r="B11" s="393" t="s">
        <v>190</v>
      </c>
      <c r="C11" s="358"/>
      <c r="D11" s="358"/>
      <c r="E11" s="358"/>
      <c r="F11" s="359">
        <f t="shared" ref="F11:M11" si="1">F6/F7</f>
        <v>1.9454704098814331E-2</v>
      </c>
      <c r="G11" s="359">
        <f t="shared" si="1"/>
        <v>2.3169844565282531E-2</v>
      </c>
      <c r="H11" s="359">
        <f t="shared" si="1"/>
        <v>2.6490663989260442E-2</v>
      </c>
      <c r="I11" s="359">
        <f t="shared" si="1"/>
        <v>2.9446122285649096E-2</v>
      </c>
      <c r="J11" s="359">
        <f t="shared" si="1"/>
        <v>3.2063323435357879E-2</v>
      </c>
      <c r="K11" s="359">
        <f t="shared" si="1"/>
        <v>3.4367626195867411E-2</v>
      </c>
      <c r="L11" s="359">
        <f t="shared" si="1"/>
        <v>3.6382748494095181E-2</v>
      </c>
      <c r="M11" s="360">
        <f t="shared" si="1"/>
        <v>3.8130865851372604E-2</v>
      </c>
    </row>
    <row r="12" spans="2:19" x14ac:dyDescent="0.4">
      <c r="B12" s="176" t="s">
        <v>207</v>
      </c>
      <c r="F12" s="18">
        <f>機器台数case３!E6+機器台数case３!E9</f>
        <v>0</v>
      </c>
      <c r="G12" s="18">
        <v>0</v>
      </c>
      <c r="H12" s="18">
        <f>機器台数case３!I6+機器台数case３!I9</f>
        <v>0.1</v>
      </c>
      <c r="I12" s="18">
        <f>機器台数case３!K6+機器台数case３!K9</f>
        <v>0.3</v>
      </c>
      <c r="J12" s="18">
        <f>機器台数case３!M6+機器台数case３!M9</f>
        <v>0.6</v>
      </c>
      <c r="K12" s="18">
        <f>機器台数case３!O6+機器台数case３!O9</f>
        <v>0.75</v>
      </c>
      <c r="L12" s="18">
        <f>機器台数case３!Q6+機器台数case３!Q9</f>
        <v>0.9</v>
      </c>
      <c r="M12" s="353">
        <f>機器台数case３!S6+機器台数case３!S9</f>
        <v>1</v>
      </c>
      <c r="S12">
        <v>2029</v>
      </c>
    </row>
    <row r="13" spans="2:19" ht="15.6" thickBot="1" x14ac:dyDescent="0.45">
      <c r="B13" s="178" t="s">
        <v>151</v>
      </c>
      <c r="C13" s="207"/>
      <c r="D13" s="207"/>
      <c r="E13" s="207"/>
      <c r="F13" s="305">
        <f>機器台数case３!E58</f>
        <v>0.30000000000000004</v>
      </c>
      <c r="G13" s="305">
        <f>機器台数case３!G58</f>
        <v>0.30000000000000004</v>
      </c>
      <c r="H13" s="305">
        <f>機器台数case３!I58</f>
        <v>0.30000000000000004</v>
      </c>
      <c r="I13" s="305">
        <f>機器台数case３!K58</f>
        <v>0.30000000000000004</v>
      </c>
      <c r="J13" s="305">
        <f>機器台数case３!M58</f>
        <v>0.30000000000000004</v>
      </c>
      <c r="K13" s="305">
        <f>機器台数case３!O58</f>
        <v>0.30000000000000004</v>
      </c>
      <c r="L13" s="305">
        <f>機器台数case３!Q58</f>
        <v>0.30000000000000004</v>
      </c>
      <c r="M13" s="354">
        <f>機器台数case３!S58</f>
        <v>0.30000000000000004</v>
      </c>
      <c r="S13" s="4">
        <f>S10*675</f>
        <v>6590598.6451353794</v>
      </c>
    </row>
    <row r="14" spans="2:19" ht="13.2" customHeight="1" thickBot="1" x14ac:dyDescent="0.45">
      <c r="S14" s="6">
        <f>S13/case4他社!S12</f>
        <v>0.36367166305531989</v>
      </c>
    </row>
    <row r="15" spans="2:19" x14ac:dyDescent="0.4">
      <c r="B15" s="174" t="s">
        <v>193</v>
      </c>
      <c r="C15" s="200"/>
      <c r="D15" s="200"/>
      <c r="E15" s="200"/>
      <c r="F15" s="200"/>
      <c r="G15" s="200"/>
      <c r="H15" s="200"/>
      <c r="I15" s="200"/>
      <c r="J15" s="200"/>
      <c r="K15" s="200"/>
      <c r="L15" s="200"/>
      <c r="M15" s="175"/>
    </row>
    <row r="16" spans="2:19" x14ac:dyDescent="0.4">
      <c r="B16" s="362" t="s">
        <v>194</v>
      </c>
      <c r="C16" s="363"/>
      <c r="D16" s="363"/>
      <c r="E16" s="364">
        <f>計算用case３!B13</f>
        <v>6556.705233374616</v>
      </c>
      <c r="F16" s="364">
        <f>計算用case３!B13</f>
        <v>6556.705233374616</v>
      </c>
      <c r="G16" s="364">
        <f>計算用case３!C13</f>
        <v>6753.3058596127612</v>
      </c>
      <c r="H16" s="364">
        <f>計算用case３!D13</f>
        <v>6627.4056889908807</v>
      </c>
      <c r="I16" s="364">
        <f>計算用case３!E13</f>
        <v>4654.8912487321613</v>
      </c>
      <c r="J16" s="364">
        <f>計算用case３!F13</f>
        <v>4271.944769956106</v>
      </c>
      <c r="K16" s="364">
        <f>計算用case３!G13</f>
        <v>1983.993788181218</v>
      </c>
      <c r="L16" s="364">
        <f>計算用case３!H13</f>
        <v>688.76632961554094</v>
      </c>
      <c r="M16" s="365">
        <f>計算用case３!I13</f>
        <v>0</v>
      </c>
    </row>
    <row r="17" spans="2:20" x14ac:dyDescent="0.4">
      <c r="B17" s="366" t="s">
        <v>206</v>
      </c>
      <c r="C17" s="287"/>
      <c r="D17" s="287"/>
      <c r="E17" s="287">
        <v>0</v>
      </c>
      <c r="F17" s="116">
        <f>計算用case３!B14</f>
        <v>0</v>
      </c>
      <c r="G17" s="116">
        <f>計算用case３!C14</f>
        <v>0</v>
      </c>
      <c r="H17" s="116">
        <f>計算用case３!D14</f>
        <v>672.01173013912853</v>
      </c>
      <c r="I17" s="116">
        <f>計算用case３!E14</f>
        <v>2627.5467200948683</v>
      </c>
      <c r="J17" s="116">
        <f>計算用case３!F14</f>
        <v>4609.3496541146142</v>
      </c>
      <c r="K17" s="116">
        <f>計算用case３!G14</f>
        <v>5834.7298334930992</v>
      </c>
      <c r="L17" s="116">
        <f>計算用case３!H14</f>
        <v>7361.2461960356341</v>
      </c>
      <c r="M17" s="367">
        <f>計算用case３!I14</f>
        <v>8528.8864434374718</v>
      </c>
    </row>
    <row r="18" spans="2:20" x14ac:dyDescent="0.4">
      <c r="B18" s="176" t="s">
        <v>198</v>
      </c>
      <c r="F18" s="168">
        <f>F16*2090</f>
        <v>13703513.937752947</v>
      </c>
      <c r="G18" s="168">
        <f t="shared" ref="G18:M18" si="2">G16*2090+G17*465</f>
        <v>14114409.24659067</v>
      </c>
      <c r="H18" s="168">
        <f t="shared" si="2"/>
        <v>14163763.344505636</v>
      </c>
      <c r="I18" s="168">
        <f t="shared" si="2"/>
        <v>10950531.934694329</v>
      </c>
      <c r="J18" s="168">
        <f t="shared" si="2"/>
        <v>11071712.158371558</v>
      </c>
      <c r="K18" s="168">
        <f t="shared" si="2"/>
        <v>6859696.3898730371</v>
      </c>
      <c r="L18" s="168">
        <f t="shared" si="2"/>
        <v>4862501.1100530503</v>
      </c>
      <c r="M18" s="417">
        <f t="shared" si="2"/>
        <v>3965932.1961984243</v>
      </c>
    </row>
    <row r="19" spans="2:20" x14ac:dyDescent="0.4">
      <c r="B19" s="427" t="s">
        <v>108</v>
      </c>
      <c r="C19" s="368"/>
      <c r="D19" s="368" t="s">
        <v>180</v>
      </c>
      <c r="E19" s="368">
        <f>F18/0.9</f>
        <v>15226126.597503275</v>
      </c>
      <c r="F19" s="369">
        <f t="shared" ref="F19:M19" si="3">F18/$E$19</f>
        <v>0.9</v>
      </c>
      <c r="G19" s="369">
        <f t="shared" si="3"/>
        <v>0.92698620073900473</v>
      </c>
      <c r="H19" s="413">
        <f t="shared" si="3"/>
        <v>0.93022760935326509</v>
      </c>
      <c r="I19" s="369">
        <f t="shared" si="3"/>
        <v>0.71919354305710015</v>
      </c>
      <c r="J19" s="369">
        <f t="shared" si="3"/>
        <v>0.72715224633604836</v>
      </c>
      <c r="K19" s="369">
        <f t="shared" si="3"/>
        <v>0.45052143405913003</v>
      </c>
      <c r="L19" s="369">
        <f t="shared" si="3"/>
        <v>0.31935246820096619</v>
      </c>
      <c r="M19" s="415">
        <f t="shared" si="3"/>
        <v>0.26046888358650211</v>
      </c>
    </row>
    <row r="20" spans="2:20" ht="15.6" thickBot="1" x14ac:dyDescent="0.45">
      <c r="B20" s="524" t="s">
        <v>239</v>
      </c>
      <c r="C20" s="207"/>
      <c r="D20" s="207"/>
      <c r="E20" s="207"/>
      <c r="F20" s="407">
        <v>0.9</v>
      </c>
      <c r="G20" s="305">
        <v>0.9</v>
      </c>
      <c r="H20" s="407">
        <v>0.6</v>
      </c>
      <c r="I20" s="305">
        <v>0.6</v>
      </c>
      <c r="J20" s="305">
        <v>0.6</v>
      </c>
      <c r="K20" s="305">
        <v>0.6</v>
      </c>
      <c r="L20" s="305">
        <v>0.6</v>
      </c>
      <c r="M20" s="412">
        <v>0.3</v>
      </c>
    </row>
    <row r="21" spans="2:20" x14ac:dyDescent="0.4">
      <c r="R21">
        <v>100</v>
      </c>
      <c r="S21">
        <v>85</v>
      </c>
    </row>
    <row r="22" spans="2:20" x14ac:dyDescent="0.4">
      <c r="L22" t="s">
        <v>120</v>
      </c>
      <c r="M22" s="18">
        <f>M19-M20</f>
        <v>-3.953111641349788E-2</v>
      </c>
      <c r="R22">
        <v>130</v>
      </c>
      <c r="S22">
        <f>S21*1.05</f>
        <v>89.25</v>
      </c>
      <c r="T22" s="6">
        <f>S22/R22</f>
        <v>0.68653846153846154</v>
      </c>
    </row>
    <row r="23" spans="2:20" x14ac:dyDescent="0.4">
      <c r="L23" t="s">
        <v>195</v>
      </c>
      <c r="M23" s="4">
        <f>M18*M22/675</f>
        <v>-232.26329975697664</v>
      </c>
    </row>
  </sheetData>
  <dataConsolidate/>
  <mergeCells count="6">
    <mergeCell ref="O9:Q9"/>
    <mergeCell ref="O10:Q10"/>
    <mergeCell ref="B1:H1"/>
    <mergeCell ref="O4:Q4"/>
    <mergeCell ref="P5:Q5"/>
    <mergeCell ref="P8:Q8"/>
  </mergeCells>
  <phoneticPr fontId="2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9F7EB-53FB-4439-8533-EB48FB88799C}">
  <dimension ref="B1:U23"/>
  <sheetViews>
    <sheetView showGridLines="0" zoomScale="115" zoomScaleNormal="115" workbookViewId="0">
      <selection activeCell="M19" sqref="M19"/>
    </sheetView>
  </sheetViews>
  <sheetFormatPr defaultRowHeight="15" outlineLevelRow="1" outlineLevelCol="1" x14ac:dyDescent="0.4"/>
  <cols>
    <col min="2" max="2" width="32.5" bestFit="1" customWidth="1"/>
    <col min="3" max="4" width="8.75" hidden="1" customWidth="1" outlineLevel="1"/>
    <col min="5" max="5" width="7.25" hidden="1" customWidth="1" outlineLevel="1"/>
    <col min="6" max="6" width="11.625" bestFit="1" customWidth="1" collapsed="1"/>
    <col min="7" max="10" width="10.375" bestFit="1" customWidth="1"/>
    <col min="11" max="12" width="9.375" bestFit="1" customWidth="1"/>
    <col min="13" max="13" width="9.875" customWidth="1"/>
    <col min="15" max="15" width="1" customWidth="1"/>
    <col min="16" max="16" width="1.25" customWidth="1"/>
    <col min="17" max="17" width="10.25" customWidth="1"/>
    <col min="18" max="18" width="5.75" bestFit="1" customWidth="1"/>
    <col min="19" max="19" width="11.5" bestFit="1" customWidth="1"/>
  </cols>
  <sheetData>
    <row r="1" spans="2:21" x14ac:dyDescent="0.4">
      <c r="B1" s="449" t="s">
        <v>214</v>
      </c>
      <c r="C1" s="449"/>
      <c r="D1" s="449"/>
      <c r="E1" s="449"/>
      <c r="F1" s="449"/>
      <c r="G1" s="449"/>
      <c r="H1" s="449"/>
    </row>
    <row r="2" spans="2:21" ht="15.6" thickBot="1" x14ac:dyDescent="0.45">
      <c r="F2" s="18"/>
      <c r="O2" s="449" t="s">
        <v>201</v>
      </c>
      <c r="P2" s="449"/>
      <c r="Q2" s="449"/>
      <c r="R2" s="449"/>
      <c r="S2" s="449"/>
      <c r="T2" s="449"/>
      <c r="U2" s="449"/>
    </row>
    <row r="3" spans="2:21" ht="15.6" thickBot="1" x14ac:dyDescent="0.45">
      <c r="F3" s="437"/>
      <c r="G3" s="437"/>
      <c r="H3" s="437"/>
      <c r="I3" s="437"/>
      <c r="J3" s="437"/>
      <c r="K3" s="437"/>
      <c r="L3" s="437"/>
      <c r="M3" s="437"/>
      <c r="O3" s="457"/>
      <c r="P3" s="458"/>
      <c r="Q3" s="458"/>
      <c r="R3" s="459"/>
      <c r="S3" s="313" t="s">
        <v>185</v>
      </c>
    </row>
    <row r="4" spans="2:21" x14ac:dyDescent="0.4">
      <c r="B4" s="174" t="s">
        <v>213</v>
      </c>
      <c r="C4" s="351">
        <v>19</v>
      </c>
      <c r="D4" s="351">
        <v>20</v>
      </c>
      <c r="E4" s="351">
        <v>21</v>
      </c>
      <c r="F4" s="351">
        <v>22</v>
      </c>
      <c r="G4" s="351">
        <v>23</v>
      </c>
      <c r="H4" s="351">
        <v>24</v>
      </c>
      <c r="I4" s="351">
        <v>25</v>
      </c>
      <c r="J4" s="351">
        <v>26</v>
      </c>
      <c r="K4" s="351">
        <v>27</v>
      </c>
      <c r="L4" s="351">
        <v>28</v>
      </c>
      <c r="M4" s="436">
        <v>29</v>
      </c>
      <c r="O4" s="463" t="s">
        <v>212</v>
      </c>
      <c r="P4" s="464"/>
      <c r="Q4" s="465"/>
      <c r="R4" s="306">
        <f>1-R9</f>
        <v>0.93500000000000005</v>
      </c>
      <c r="S4" s="314">
        <f>R4*S10</f>
        <v>8107.3836902638413</v>
      </c>
    </row>
    <row r="5" spans="2:21" x14ac:dyDescent="0.4">
      <c r="B5" s="349" t="s">
        <v>192</v>
      </c>
      <c r="C5" s="350">
        <v>1720.35</v>
      </c>
      <c r="D5" s="350">
        <v>1648.7640000000001</v>
      </c>
      <c r="E5" s="350">
        <v>1837.8440000000001</v>
      </c>
      <c r="F5" s="350">
        <f>機器台数４!D4</f>
        <v>2031.058</v>
      </c>
      <c r="G5" s="350">
        <f>機器台数４!F4</f>
        <v>2031.058</v>
      </c>
      <c r="H5" s="350">
        <f>機器台数４!H4</f>
        <v>2031.058</v>
      </c>
      <c r="I5" s="350">
        <f>機器台数４!J4</f>
        <v>2031.058</v>
      </c>
      <c r="J5" s="350">
        <f>機器台数４!L4</f>
        <v>2031.058</v>
      </c>
      <c r="K5" s="350">
        <f>機器台数４!N4</f>
        <v>2031.058</v>
      </c>
      <c r="L5" s="350">
        <f>機器台数４!P4</f>
        <v>2031.058</v>
      </c>
      <c r="M5" s="187">
        <f>L5</f>
        <v>2031.058</v>
      </c>
      <c r="O5" s="304"/>
      <c r="P5" s="453" t="s">
        <v>181</v>
      </c>
      <c r="Q5" s="454"/>
      <c r="R5" s="310">
        <f>R4-R8</f>
        <v>0.86020000000000008</v>
      </c>
      <c r="S5" s="315">
        <f>R5*S10</f>
        <v>7458.7929950427342</v>
      </c>
    </row>
    <row r="6" spans="2:21" ht="15.6" thickBot="1" x14ac:dyDescent="0.45">
      <c r="B6" s="349" t="s">
        <v>188</v>
      </c>
      <c r="C6" s="350">
        <v>0</v>
      </c>
      <c r="D6" s="350">
        <v>0</v>
      </c>
      <c r="E6" s="350">
        <v>0</v>
      </c>
      <c r="F6" s="350">
        <f>機器台数４!D7</f>
        <v>25</v>
      </c>
      <c r="G6" s="350">
        <f>機器台数４!F7</f>
        <v>25</v>
      </c>
      <c r="H6" s="350">
        <f>機器台数４!H7</f>
        <v>25</v>
      </c>
      <c r="I6" s="350">
        <f>機器台数４!J7</f>
        <v>25</v>
      </c>
      <c r="J6" s="350">
        <f>機器台数４!L7</f>
        <v>25</v>
      </c>
      <c r="K6" s="350">
        <f>機器台数４!N7</f>
        <v>25</v>
      </c>
      <c r="L6" s="350">
        <f>機器台数４!P7</f>
        <v>25</v>
      </c>
      <c r="M6" s="187">
        <f>機器台数４!R7</f>
        <v>25</v>
      </c>
      <c r="O6" s="304"/>
      <c r="P6" s="25"/>
      <c r="Q6" s="309" t="s">
        <v>122</v>
      </c>
      <c r="R6" s="310">
        <f>R5*0.88</f>
        <v>0.75697600000000009</v>
      </c>
      <c r="S6" s="316">
        <f>F16</f>
        <v>6563.7378356376066</v>
      </c>
    </row>
    <row r="7" spans="2:21" ht="16.2" thickTop="1" thickBot="1" x14ac:dyDescent="0.45">
      <c r="B7" s="403" t="s">
        <v>191</v>
      </c>
      <c r="C7" s="404">
        <v>1720.35</v>
      </c>
      <c r="D7" s="404">
        <v>1648.7640000000001</v>
      </c>
      <c r="E7" s="404">
        <v>1837.8440000000001</v>
      </c>
      <c r="F7" s="404">
        <v>2056.058</v>
      </c>
      <c r="G7" s="404">
        <v>2157.9773597152011</v>
      </c>
      <c r="H7" s="404">
        <v>2264.9488900815982</v>
      </c>
      <c r="I7" s="404">
        <v>2377.2230285858486</v>
      </c>
      <c r="J7" s="404">
        <v>2495.0626269696008</v>
      </c>
      <c r="K7" s="404">
        <v>2618.7435666075244</v>
      </c>
      <c r="L7" s="404">
        <v>2748.5554043897955</v>
      </c>
      <c r="M7" s="435">
        <f>M5+M6</f>
        <v>2056.058</v>
      </c>
      <c r="O7" s="304"/>
      <c r="P7" s="25"/>
      <c r="Q7" s="311" t="s">
        <v>31</v>
      </c>
      <c r="R7" s="18">
        <f>R5*0.12</f>
        <v>0.10322400000000001</v>
      </c>
      <c r="S7" s="317">
        <f>R7*S10</f>
        <v>895.05515940512817</v>
      </c>
    </row>
    <row r="8" spans="2:21" ht="15.6" hidden="1" outlineLevel="1" thickBot="1" x14ac:dyDescent="0.45">
      <c r="B8" s="392" t="s">
        <v>196</v>
      </c>
      <c r="C8" s="355"/>
      <c r="D8" s="355"/>
      <c r="E8" s="355"/>
      <c r="F8" s="356">
        <v>1.2</v>
      </c>
      <c r="G8" s="356">
        <v>1.25</v>
      </c>
      <c r="H8" s="356">
        <v>1.32</v>
      </c>
      <c r="I8" s="356">
        <v>1.38</v>
      </c>
      <c r="J8" s="356">
        <v>1.45</v>
      </c>
      <c r="K8" s="356">
        <v>1.52</v>
      </c>
      <c r="L8" s="356">
        <v>1.6</v>
      </c>
      <c r="M8" s="434">
        <v>1.68</v>
      </c>
      <c r="O8" s="304"/>
      <c r="P8" s="455" t="s">
        <v>182</v>
      </c>
      <c r="Q8" s="456"/>
      <c r="R8" s="312">
        <f>R4*8%</f>
        <v>7.4800000000000005E-2</v>
      </c>
      <c r="S8" s="318">
        <f>R8*S10</f>
        <v>648.59069522110735</v>
      </c>
    </row>
    <row r="9" spans="2:21" ht="18" hidden="1" customHeight="1" outlineLevel="1" thickBot="1" x14ac:dyDescent="0.45">
      <c r="B9" s="392" t="s">
        <v>60</v>
      </c>
      <c r="C9" s="355"/>
      <c r="D9" s="355"/>
      <c r="E9" s="355"/>
      <c r="F9" s="356">
        <v>1.1200000000000001</v>
      </c>
      <c r="G9" s="356">
        <f t="shared" ref="G9:M9" si="0">G7/F7</f>
        <v>1.0495702746299964</v>
      </c>
      <c r="H9" s="356">
        <f t="shared" si="0"/>
        <v>1.0495702746299964</v>
      </c>
      <c r="I9" s="356">
        <f t="shared" si="0"/>
        <v>1.0495702746299964</v>
      </c>
      <c r="J9" s="356">
        <f t="shared" si="0"/>
        <v>1.0495702746299964</v>
      </c>
      <c r="K9" s="356">
        <f t="shared" si="0"/>
        <v>1.0495702746299964</v>
      </c>
      <c r="L9" s="356">
        <f t="shared" si="0"/>
        <v>1.0495702746299964</v>
      </c>
      <c r="M9" s="434">
        <f t="shared" si="0"/>
        <v>0.74805041103272352</v>
      </c>
      <c r="O9" s="443" t="s">
        <v>211</v>
      </c>
      <c r="P9" s="444"/>
      <c r="Q9" s="445"/>
      <c r="R9" s="308">
        <v>6.5000000000000002E-2</v>
      </c>
      <c r="S9" s="319">
        <f>R9*S10</f>
        <v>563.6149089488232</v>
      </c>
    </row>
    <row r="10" spans="2:21" ht="16.2" collapsed="1" thickTop="1" thickBot="1" x14ac:dyDescent="0.45">
      <c r="B10" s="392"/>
      <c r="C10" s="355"/>
      <c r="D10" s="355"/>
      <c r="E10" s="355"/>
      <c r="F10" s="355"/>
      <c r="G10" s="355"/>
      <c r="H10" s="355"/>
      <c r="I10" s="355"/>
      <c r="J10" s="355"/>
      <c r="K10" s="355"/>
      <c r="L10" s="355"/>
      <c r="M10" s="433"/>
      <c r="O10" s="460" t="s">
        <v>210</v>
      </c>
      <c r="P10" s="461"/>
      <c r="Q10" s="462"/>
      <c r="R10" s="305">
        <v>1</v>
      </c>
      <c r="S10" s="320">
        <f>S6/R6</f>
        <v>8670.998599212664</v>
      </c>
    </row>
    <row r="11" spans="2:21" x14ac:dyDescent="0.4">
      <c r="B11" s="393" t="s">
        <v>190</v>
      </c>
      <c r="C11" s="358"/>
      <c r="D11" s="358"/>
      <c r="E11" s="358"/>
      <c r="F11" s="359">
        <f t="shared" ref="F11:M11" si="1">F6/F7</f>
        <v>1.2159190061758958E-2</v>
      </c>
      <c r="G11" s="359">
        <f t="shared" si="1"/>
        <v>1.1584922282641266E-2</v>
      </c>
      <c r="H11" s="359">
        <f t="shared" si="1"/>
        <v>1.1037776662191851E-2</v>
      </c>
      <c r="I11" s="359">
        <f t="shared" si="1"/>
        <v>1.0516472244874678E-2</v>
      </c>
      <c r="J11" s="359">
        <f t="shared" si="1"/>
        <v>1.0019788573549338E-2</v>
      </c>
      <c r="K11" s="359">
        <f t="shared" si="1"/>
        <v>9.5465628321853915E-3</v>
      </c>
      <c r="L11" s="359">
        <f t="shared" si="1"/>
        <v>9.0956871235237952E-3</v>
      </c>
      <c r="M11" s="432">
        <f t="shared" si="1"/>
        <v>1.2159190061758958E-2</v>
      </c>
    </row>
    <row r="12" spans="2:21" x14ac:dyDescent="0.4">
      <c r="B12" s="176" t="s">
        <v>207</v>
      </c>
      <c r="F12" s="18">
        <f>機器台数４!E6+機器台数４!E9</f>
        <v>0</v>
      </c>
      <c r="G12" s="18">
        <v>0</v>
      </c>
      <c r="H12" s="18">
        <f>機器台数４!I6+機器台数４!I9</f>
        <v>9.1215919006175886E-2</v>
      </c>
      <c r="I12" s="18">
        <f>機器台数４!K6+機器台数４!K9</f>
        <v>0.15243183801235177</v>
      </c>
      <c r="J12" s="18">
        <f>機器台数４!M6+機器台数４!M9</f>
        <v>0.30486367602470354</v>
      </c>
      <c r="K12" s="18">
        <f>機器台数４!O6+機器台数４!O9</f>
        <v>0.6072955140370554</v>
      </c>
      <c r="L12" s="18">
        <f>機器台数４!Q6+機器台数４!Q9</f>
        <v>0.70972735204940707</v>
      </c>
      <c r="M12" s="431">
        <f>機器台数４!S6+機器台数４!S9</f>
        <v>1</v>
      </c>
      <c r="S12" s="4">
        <f>S10*2090</f>
        <v>18122387.072354469</v>
      </c>
    </row>
    <row r="13" spans="2:21" ht="15.6" thickBot="1" x14ac:dyDescent="0.45">
      <c r="B13" s="178" t="s">
        <v>151</v>
      </c>
      <c r="C13" s="207"/>
      <c r="D13" s="207"/>
      <c r="E13" s="207"/>
      <c r="F13" s="305">
        <f>機器台数４!E58</f>
        <v>0.30000000000000004</v>
      </c>
      <c r="G13" s="305">
        <f>機器台数４!G58</f>
        <v>0.30000000000000004</v>
      </c>
      <c r="H13" s="305">
        <f>機器台数４!I58</f>
        <v>0.30000000000000004</v>
      </c>
      <c r="I13" s="305">
        <f>機器台数４!K58</f>
        <v>0.30000000000000004</v>
      </c>
      <c r="J13" s="305">
        <f>機器台数４!M58</f>
        <v>0.30000000000000004</v>
      </c>
      <c r="K13" s="305">
        <f>機器台数４!O58</f>
        <v>0.30000000000000004</v>
      </c>
      <c r="L13" s="305">
        <f>機器台数４!Q58</f>
        <v>0.30000000000000004</v>
      </c>
      <c r="M13" s="430">
        <f>機器台数４!S58</f>
        <v>0.30000000000000004</v>
      </c>
    </row>
    <row r="14" spans="2:21" ht="15.6" thickBot="1" x14ac:dyDescent="0.45">
      <c r="M14" s="429"/>
    </row>
    <row r="15" spans="2:21" x14ac:dyDescent="0.4">
      <c r="B15" s="174" t="s">
        <v>193</v>
      </c>
      <c r="C15" s="200"/>
      <c r="D15" s="200"/>
      <c r="E15" s="200"/>
      <c r="F15" s="200"/>
      <c r="G15" s="200"/>
      <c r="H15" s="200"/>
      <c r="I15" s="200"/>
      <c r="J15" s="200"/>
      <c r="K15" s="200"/>
      <c r="L15" s="200"/>
      <c r="M15" s="313"/>
    </row>
    <row r="16" spans="2:21" x14ac:dyDescent="0.4">
      <c r="B16" s="362" t="s">
        <v>194</v>
      </c>
      <c r="C16" s="363"/>
      <c r="D16" s="363"/>
      <c r="E16" s="364">
        <f>計算用４!B13</f>
        <v>6563.7378356376066</v>
      </c>
      <c r="F16" s="364">
        <f>計算用４!B13</f>
        <v>6563.7378356376066</v>
      </c>
      <c r="G16" s="364">
        <f>計算用４!C13</f>
        <v>6443.6282998545012</v>
      </c>
      <c r="H16" s="364">
        <f>計算用４!D13</f>
        <v>5855.9567945139697</v>
      </c>
      <c r="I16" s="364">
        <f>計算用４!E13</f>
        <v>6277.2973075235604</v>
      </c>
      <c r="J16" s="364">
        <f>計算用４!F13</f>
        <v>5038.1861454106911</v>
      </c>
      <c r="K16" s="364">
        <f>計算用４!G13</f>
        <v>2577.5237819920521</v>
      </c>
      <c r="L16" s="364">
        <f>計算用４!H13</f>
        <v>1906.3316480511271</v>
      </c>
      <c r="M16" s="316">
        <f>計算用４!I13</f>
        <v>0</v>
      </c>
    </row>
    <row r="17" spans="2:13" x14ac:dyDescent="0.4">
      <c r="B17" s="366" t="s">
        <v>209</v>
      </c>
      <c r="C17" s="287"/>
      <c r="D17" s="287"/>
      <c r="E17" s="287">
        <v>0</v>
      </c>
      <c r="F17" s="116">
        <f>計算用４!B14</f>
        <v>0</v>
      </c>
      <c r="G17" s="116">
        <f>計算用４!C14</f>
        <v>0</v>
      </c>
      <c r="H17" s="116">
        <f>計算用４!D14</f>
        <v>532.26673936837585</v>
      </c>
      <c r="I17" s="116">
        <f>計算用４!E14</f>
        <v>929.9675205975916</v>
      </c>
      <c r="J17" s="116">
        <f>計算用４!F14</f>
        <v>1859.9350411951832</v>
      </c>
      <c r="K17" s="116">
        <f>計算用４!G14</f>
        <v>3707.179069890366</v>
      </c>
      <c r="L17" s="116">
        <f>計算用４!H14</f>
        <v>4331.3877544554261</v>
      </c>
      <c r="M17" s="428">
        <f>計算用４!I14</f>
        <v>6104.2761871429739</v>
      </c>
    </row>
    <row r="18" spans="2:13" x14ac:dyDescent="0.4">
      <c r="B18" s="176" t="s">
        <v>198</v>
      </c>
      <c r="F18" s="168">
        <f t="shared" ref="F18:M18" si="2">F16*2090+F17*465</f>
        <v>13718212.076482598</v>
      </c>
      <c r="G18" s="168">
        <f t="shared" si="2"/>
        <v>13467183.146695908</v>
      </c>
      <c r="H18" s="168">
        <f t="shared" si="2"/>
        <v>12486453.734340491</v>
      </c>
      <c r="I18" s="168">
        <f t="shared" si="2"/>
        <v>13551986.269802121</v>
      </c>
      <c r="J18" s="168">
        <f t="shared" si="2"/>
        <v>11394678.838064104</v>
      </c>
      <c r="K18" s="168">
        <f t="shared" si="2"/>
        <v>7110862.9718624093</v>
      </c>
      <c r="L18" s="168">
        <f t="shared" si="2"/>
        <v>5998328.4502486289</v>
      </c>
      <c r="M18" s="317">
        <f t="shared" si="2"/>
        <v>2838488.427021483</v>
      </c>
    </row>
    <row r="19" spans="2:13" x14ac:dyDescent="0.4">
      <c r="B19" s="427" t="s">
        <v>204</v>
      </c>
      <c r="C19" s="368"/>
      <c r="D19" s="368" t="s">
        <v>180</v>
      </c>
      <c r="E19" s="368">
        <f>F18/0.9</f>
        <v>15242457.862758441</v>
      </c>
      <c r="F19" s="369">
        <f t="shared" ref="F19:M19" si="3">F18/$E$19</f>
        <v>0.9</v>
      </c>
      <c r="G19" s="369">
        <f t="shared" si="3"/>
        <v>0.8835309415287923</v>
      </c>
      <c r="H19" s="369">
        <f t="shared" si="3"/>
        <v>0.81918899476496942</v>
      </c>
      <c r="I19" s="369">
        <f t="shared" si="3"/>
        <v>0.88909455363582723</v>
      </c>
      <c r="J19" s="369">
        <f t="shared" si="3"/>
        <v>0.74756177387273415</v>
      </c>
      <c r="K19" s="369">
        <f t="shared" si="3"/>
        <v>0.46651682004883366</v>
      </c>
      <c r="L19" s="369">
        <f t="shared" si="3"/>
        <v>0.39352763866936524</v>
      </c>
      <c r="M19" s="426">
        <f t="shared" si="3"/>
        <v>0.18622248803827751</v>
      </c>
    </row>
    <row r="20" spans="2:13" ht="15.6" thickBot="1" x14ac:dyDescent="0.45">
      <c r="B20" s="178" t="s">
        <v>119</v>
      </c>
      <c r="C20" s="207"/>
      <c r="D20" s="207"/>
      <c r="E20" s="207"/>
      <c r="F20" s="305">
        <v>0.9</v>
      </c>
      <c r="G20" s="305">
        <v>0.9</v>
      </c>
      <c r="H20" s="407">
        <v>0.6</v>
      </c>
      <c r="I20" s="305">
        <v>0.6</v>
      </c>
      <c r="J20" s="305">
        <v>0.6</v>
      </c>
      <c r="K20" s="305">
        <v>0.6</v>
      </c>
      <c r="L20" s="305">
        <v>0.6</v>
      </c>
      <c r="M20" s="425">
        <v>0.3</v>
      </c>
    </row>
    <row r="22" spans="2:13" x14ac:dyDescent="0.4">
      <c r="L22" t="s">
        <v>120</v>
      </c>
      <c r="M22" s="18">
        <f>M19-M20</f>
        <v>-0.11377751196172248</v>
      </c>
    </row>
    <row r="23" spans="2:13" x14ac:dyDescent="0.4">
      <c r="L23" t="s">
        <v>195</v>
      </c>
      <c r="M23" s="4">
        <f>M18*M22/675</f>
        <v>-478.45355697577423</v>
      </c>
    </row>
  </sheetData>
  <mergeCells count="8">
    <mergeCell ref="O9:Q9"/>
    <mergeCell ref="O3:R3"/>
    <mergeCell ref="O10:Q10"/>
    <mergeCell ref="B1:H1"/>
    <mergeCell ref="O4:Q4"/>
    <mergeCell ref="P5:Q5"/>
    <mergeCell ref="P8:Q8"/>
    <mergeCell ref="O2:U2"/>
  </mergeCells>
  <phoneticPr fontId="2"/>
  <conditionalFormatting sqref="G19">
    <cfRule type="expression" dxfId="448" priority="6">
      <formula>$G$19&gt;$G$20</formula>
    </cfRule>
  </conditionalFormatting>
  <conditionalFormatting sqref="M19">
    <cfRule type="expression" dxfId="447" priority="5">
      <formula>$M$19&gt;$M$20</formula>
    </cfRule>
  </conditionalFormatting>
  <conditionalFormatting sqref="L19">
    <cfRule type="expression" dxfId="446" priority="2">
      <formula>$L$19&gt;$L$20</formula>
    </cfRule>
    <cfRule type="expression" dxfId="445" priority="4">
      <formula>$L$19&gt;$L$20</formula>
    </cfRule>
  </conditionalFormatting>
  <conditionalFormatting sqref="K19">
    <cfRule type="expression" dxfId="444" priority="3">
      <formula>$K$19&gt;$K$20</formula>
    </cfRule>
  </conditionalFormatting>
  <conditionalFormatting sqref="F19">
    <cfRule type="expression" dxfId="443" priority="1">
      <formula>$F$19&gt;$F$20</formula>
    </cfRule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68851-B033-42A8-87F4-67047C71427D}">
  <dimension ref="A1"/>
  <sheetViews>
    <sheetView workbookViewId="0">
      <selection activeCell="I21" sqref="I21"/>
    </sheetView>
  </sheetViews>
  <sheetFormatPr defaultRowHeight="15" x14ac:dyDescent="0.4"/>
  <sheetData/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08A27-C0E3-43C6-A8C5-A2740D56E33F}">
  <dimension ref="A1:S25"/>
  <sheetViews>
    <sheetView workbookViewId="0">
      <selection activeCell="D9" sqref="D9"/>
    </sheetView>
  </sheetViews>
  <sheetFormatPr defaultRowHeight="15" x14ac:dyDescent="0.4"/>
  <cols>
    <col min="1" max="1" width="12.25" customWidth="1"/>
    <col min="2" max="6" width="10.5" bestFit="1" customWidth="1"/>
    <col min="7" max="7" width="9.5" bestFit="1" customWidth="1"/>
    <col min="8" max="8" width="9.375" bestFit="1" customWidth="1"/>
    <col min="9" max="9" width="9.625" bestFit="1" customWidth="1"/>
    <col min="10" max="10" width="9.375" bestFit="1" customWidth="1"/>
    <col min="15" max="15" width="5" bestFit="1" customWidth="1"/>
    <col min="16" max="16" width="9.25" customWidth="1"/>
    <col min="17" max="17" width="11.625" customWidth="1"/>
    <col min="18" max="18" width="5.75" bestFit="1" customWidth="1"/>
  </cols>
  <sheetData>
    <row r="1" spans="1:19" ht="15.6" thickBot="1" x14ac:dyDescent="0.45"/>
    <row r="2" spans="1:19" x14ac:dyDescent="0.4">
      <c r="O2" s="174"/>
      <c r="P2" s="200"/>
      <c r="Q2" s="200"/>
      <c r="R2" s="200"/>
      <c r="S2" s="313" t="s">
        <v>185</v>
      </c>
    </row>
    <row r="3" spans="1:19" x14ac:dyDescent="0.4">
      <c r="A3" t="s">
        <v>176</v>
      </c>
      <c r="B3">
        <v>2022</v>
      </c>
      <c r="C3">
        <v>2023</v>
      </c>
      <c r="D3">
        <v>2024</v>
      </c>
      <c r="E3">
        <v>2025</v>
      </c>
      <c r="F3">
        <v>2026</v>
      </c>
      <c r="G3">
        <v>2027</v>
      </c>
      <c r="H3">
        <v>2028</v>
      </c>
      <c r="I3">
        <v>2029</v>
      </c>
      <c r="O3" s="450" t="s">
        <v>183</v>
      </c>
      <c r="P3" s="451"/>
      <c r="Q3" s="452"/>
      <c r="R3" s="306">
        <f>1-R8</f>
        <v>0.93500000000000005</v>
      </c>
      <c r="S3" s="314">
        <f>R3*S9</f>
        <v>8094.604535407555</v>
      </c>
    </row>
    <row r="4" spans="1:19" x14ac:dyDescent="0.4">
      <c r="A4" t="s">
        <v>3</v>
      </c>
      <c r="B4" s="4">
        <f>ﾕﾆﾀﾘACcase1!J74</f>
        <v>4085.3315011568311</v>
      </c>
      <c r="C4" s="4">
        <f>ﾕﾆﾀﾘACcase1!O74</f>
        <v>4100.5983767916514</v>
      </c>
      <c r="D4" s="4">
        <f>ﾕﾆﾀﾘACcase1!U74</f>
        <v>4186.2188656559401</v>
      </c>
      <c r="E4" s="4">
        <f>ﾕﾆﾀﾘACcase1!Z74</f>
        <v>4069.4184232813027</v>
      </c>
      <c r="F4" s="4">
        <f>ﾕﾆﾀﾘACcase1!AE74</f>
        <v>2396.0981675897506</v>
      </c>
      <c r="G4" s="4">
        <f>ﾕﾆﾀﾘACcase1!AJ74</f>
        <v>899.20112138368506</v>
      </c>
      <c r="H4" s="4">
        <f>ﾕﾆﾀﾘACcase1!AO74</f>
        <v>314.59158930609169</v>
      </c>
      <c r="I4" s="4">
        <f>ﾕﾆﾀﾘACcase1!AT74</f>
        <v>0</v>
      </c>
      <c r="O4" s="304"/>
      <c r="P4" s="453" t="s">
        <v>181</v>
      </c>
      <c r="Q4" s="454"/>
      <c r="R4" s="310">
        <f>R3-R7</f>
        <v>0.86020000000000008</v>
      </c>
      <c r="S4" s="315">
        <f>R4*S9</f>
        <v>7447.0361725749508</v>
      </c>
    </row>
    <row r="5" spans="1:19" x14ac:dyDescent="0.4">
      <c r="A5" t="s">
        <v>57</v>
      </c>
      <c r="B5" s="4"/>
      <c r="C5" s="4"/>
      <c r="D5" s="4"/>
      <c r="E5" s="4"/>
      <c r="F5" s="4">
        <f>ﾕﾆﾀﾘACcase1!AF74</f>
        <v>1929.6249987537719</v>
      </c>
      <c r="G5" s="4">
        <f>ﾕﾆﾀﾘACcase1!AK74</f>
        <v>2515.151462865148</v>
      </c>
      <c r="H5" s="4">
        <f>ﾕﾆﾀﾘACcase1!AP74</f>
        <v>2685.868820603373</v>
      </c>
      <c r="I5" s="4">
        <f>ﾕﾆﾀﾘACcase1!AU74</f>
        <v>2231.1580750759854</v>
      </c>
      <c r="O5" s="304"/>
      <c r="P5" s="25"/>
      <c r="Q5" s="309" t="s">
        <v>122</v>
      </c>
      <c r="R5" s="310">
        <f>R4*0.88</f>
        <v>0.75697600000000009</v>
      </c>
      <c r="S5" s="316">
        <f>B13</f>
        <v>6553.3918318659562</v>
      </c>
    </row>
    <row r="6" spans="1:19" x14ac:dyDescent="0.4">
      <c r="O6" s="304"/>
      <c r="P6" s="25"/>
      <c r="Q6" s="311" t="s">
        <v>31</v>
      </c>
      <c r="R6" s="18">
        <f>R4*0.12</f>
        <v>0.10322400000000001</v>
      </c>
      <c r="S6" s="317">
        <f>R6*S9</f>
        <v>893.64434070899415</v>
      </c>
    </row>
    <row r="7" spans="1:19" x14ac:dyDescent="0.4">
      <c r="A7" t="s">
        <v>177</v>
      </c>
      <c r="B7">
        <v>2022</v>
      </c>
      <c r="C7">
        <v>2023</v>
      </c>
      <c r="D7">
        <v>2024</v>
      </c>
      <c r="E7">
        <v>2025</v>
      </c>
      <c r="F7">
        <v>2026</v>
      </c>
      <c r="G7">
        <v>2027</v>
      </c>
      <c r="H7">
        <v>2028</v>
      </c>
      <c r="I7">
        <v>2029</v>
      </c>
      <c r="O7" s="304"/>
      <c r="P7" s="455" t="s">
        <v>182</v>
      </c>
      <c r="Q7" s="456"/>
      <c r="R7" s="312">
        <f>R3*8%</f>
        <v>7.4800000000000005E-2</v>
      </c>
      <c r="S7" s="318">
        <f>R7*S9</f>
        <v>647.56836283260441</v>
      </c>
    </row>
    <row r="8" spans="1:19" ht="15.6" thickBot="1" x14ac:dyDescent="0.45">
      <c r="A8" t="s">
        <v>3</v>
      </c>
      <c r="B8" s="4">
        <f>ﾕﾆﾀﾘHPcase1!J50</f>
        <v>2468.0603307091246</v>
      </c>
      <c r="C8" s="4">
        <f>ﾕﾆﾀﾘHPcase1!O50</f>
        <v>2653.4258130468997</v>
      </c>
      <c r="D8" s="4">
        <f>ﾕﾆﾀﾘHPcase1!T50</f>
        <v>2098.313337859418</v>
      </c>
      <c r="E8" s="4">
        <f>ﾕﾆﾀﾘHPcase1!Y50</f>
        <v>2252.4689690607815</v>
      </c>
      <c r="F8" s="4">
        <f>ﾕﾆﾀﾘHPcase1!AD50</f>
        <v>1316.7212572130497</v>
      </c>
      <c r="G8" s="4">
        <f>ﾕﾆﾀﾘHPcase1!AI50</f>
        <v>1251.85525330923</v>
      </c>
      <c r="H8" s="4">
        <f>ﾕﾆﾀﾘHPcase1!AN50</f>
        <v>656.95503100638621</v>
      </c>
      <c r="I8" s="4">
        <f>ﾕﾆﾀﾘHPcase1!AS50</f>
        <v>0</v>
      </c>
      <c r="O8" s="443" t="s">
        <v>184</v>
      </c>
      <c r="P8" s="444"/>
      <c r="Q8" s="445"/>
      <c r="R8" s="308">
        <v>6.5000000000000002E-2</v>
      </c>
      <c r="S8" s="319">
        <f>R8*S9</f>
        <v>562.72651850426848</v>
      </c>
    </row>
    <row r="9" spans="1:19" ht="16.2" thickTop="1" thickBot="1" x14ac:dyDescent="0.45">
      <c r="A9" t="s">
        <v>57</v>
      </c>
      <c r="B9" s="4"/>
      <c r="C9" s="4"/>
      <c r="D9" s="4">
        <f>ﾕﾆﾀﾘHPcase1!U50</f>
        <v>609.87249071378028</v>
      </c>
      <c r="E9" s="4">
        <f>ﾕﾆﾀﾘHPcase1!Z50</f>
        <v>1695.5711865013138</v>
      </c>
      <c r="F9" s="4">
        <f>ﾕﾆﾀﾘHPcase1!AE50</f>
        <v>2199.2247331641474</v>
      </c>
      <c r="G9" s="4">
        <f>ﾕﾆﾀﾘHPcase1!AJ50</f>
        <v>2617.4477380446087</v>
      </c>
      <c r="H9" s="4">
        <f>ﾕﾆﾀﾘHPcase1!AO50</f>
        <v>3601.1427268824905</v>
      </c>
      <c r="I9" s="4">
        <f>ﾕﾆﾀﾘHPcase1!AT50</f>
        <v>5159.9579716038161</v>
      </c>
      <c r="O9" s="178" t="s">
        <v>20</v>
      </c>
      <c r="P9" s="207"/>
      <c r="Q9" s="307"/>
      <c r="R9" s="305">
        <v>1</v>
      </c>
      <c r="S9" s="320">
        <f>S5/R5</f>
        <v>8657.3310539118229</v>
      </c>
    </row>
    <row r="12" spans="1:19" x14ac:dyDescent="0.4">
      <c r="A12" t="s">
        <v>178</v>
      </c>
      <c r="B12">
        <v>2022</v>
      </c>
      <c r="C12">
        <v>2023</v>
      </c>
      <c r="D12">
        <v>2024</v>
      </c>
      <c r="E12">
        <v>2025</v>
      </c>
      <c r="F12">
        <v>2026</v>
      </c>
      <c r="G12">
        <v>2027</v>
      </c>
      <c r="H12">
        <v>2028</v>
      </c>
      <c r="I12">
        <v>2029</v>
      </c>
    </row>
    <row r="13" spans="1:19" x14ac:dyDescent="0.4">
      <c r="A13" t="s">
        <v>3</v>
      </c>
      <c r="B13" s="5">
        <f t="shared" ref="B13:I14" si="0">B4+B8</f>
        <v>6553.3918318659562</v>
      </c>
      <c r="C13" s="5">
        <f t="shared" si="0"/>
        <v>6754.0241898385511</v>
      </c>
      <c r="D13" s="5">
        <f t="shared" si="0"/>
        <v>6284.5322035153586</v>
      </c>
      <c r="E13" s="5">
        <f t="shared" si="0"/>
        <v>6321.8873923420842</v>
      </c>
      <c r="F13" s="5">
        <f t="shared" si="0"/>
        <v>3712.8194248028003</v>
      </c>
      <c r="G13" s="5">
        <f t="shared" si="0"/>
        <v>2151.0563746929151</v>
      </c>
      <c r="H13" s="5">
        <f t="shared" si="0"/>
        <v>971.5466203124779</v>
      </c>
      <c r="I13" s="5">
        <f t="shared" si="0"/>
        <v>0</v>
      </c>
    </row>
    <row r="14" spans="1:19" x14ac:dyDescent="0.4">
      <c r="A14" t="s">
        <v>57</v>
      </c>
      <c r="B14" s="5">
        <f t="shared" si="0"/>
        <v>0</v>
      </c>
      <c r="C14" s="5">
        <f t="shared" si="0"/>
        <v>0</v>
      </c>
      <c r="D14" s="5">
        <f t="shared" si="0"/>
        <v>609.87249071378028</v>
      </c>
      <c r="E14" s="5">
        <f t="shared" si="0"/>
        <v>1695.5711865013138</v>
      </c>
      <c r="F14" s="5">
        <f t="shared" si="0"/>
        <v>4128.8497319179196</v>
      </c>
      <c r="G14" s="5">
        <f t="shared" si="0"/>
        <v>5132.5992009097572</v>
      </c>
      <c r="H14" s="5">
        <f t="shared" si="0"/>
        <v>6287.011547485863</v>
      </c>
      <c r="I14" s="5">
        <f t="shared" si="0"/>
        <v>7391.116046679801</v>
      </c>
      <c r="M14" s="29"/>
      <c r="N14" s="30" t="s">
        <v>215</v>
      </c>
    </row>
    <row r="15" spans="1:19" x14ac:dyDescent="0.4">
      <c r="M15" s="33" t="s">
        <v>216</v>
      </c>
      <c r="N15" s="343">
        <v>2090</v>
      </c>
    </row>
    <row r="16" spans="1:19" x14ac:dyDescent="0.4">
      <c r="A16" t="s">
        <v>121</v>
      </c>
      <c r="B16">
        <v>2022</v>
      </c>
      <c r="C16">
        <v>2023</v>
      </c>
      <c r="D16">
        <v>2024</v>
      </c>
      <c r="E16">
        <v>2025</v>
      </c>
      <c r="F16">
        <v>2026</v>
      </c>
      <c r="G16">
        <v>2027</v>
      </c>
      <c r="H16">
        <v>2028</v>
      </c>
      <c r="I16">
        <v>2029</v>
      </c>
      <c r="M16" s="33" t="s">
        <v>217</v>
      </c>
      <c r="N16" s="343">
        <v>675</v>
      </c>
    </row>
    <row r="17" spans="1:14" x14ac:dyDescent="0.4">
      <c r="A17" t="s">
        <v>3</v>
      </c>
      <c r="B17" s="4">
        <f t="shared" ref="B17:I17" si="1">B13*2090</f>
        <v>13696588.928599849</v>
      </c>
      <c r="C17" s="4">
        <f t="shared" si="1"/>
        <v>14115910.556762572</v>
      </c>
      <c r="D17" s="4">
        <f t="shared" si="1"/>
        <v>13134672.3053471</v>
      </c>
      <c r="E17" s="4">
        <f t="shared" si="1"/>
        <v>13212744.649994956</v>
      </c>
      <c r="F17" s="4">
        <f t="shared" si="1"/>
        <v>7759792.5978378523</v>
      </c>
      <c r="G17" s="4">
        <f t="shared" si="1"/>
        <v>4495707.8231081925</v>
      </c>
      <c r="H17" s="4">
        <f t="shared" si="1"/>
        <v>2030532.4364530789</v>
      </c>
      <c r="I17" s="4">
        <f t="shared" si="1"/>
        <v>0</v>
      </c>
      <c r="M17" s="35" t="s">
        <v>218</v>
      </c>
      <c r="N17" s="344">
        <v>465</v>
      </c>
    </row>
    <row r="18" spans="1:14" x14ac:dyDescent="0.4">
      <c r="A18" t="s">
        <v>57</v>
      </c>
      <c r="B18" s="4">
        <f t="shared" ref="B18:I18" si="2">B14*675</f>
        <v>0</v>
      </c>
      <c r="C18" s="4">
        <f t="shared" si="2"/>
        <v>0</v>
      </c>
      <c r="D18" s="4">
        <f t="shared" si="2"/>
        <v>411663.93123180169</v>
      </c>
      <c r="E18" s="4">
        <f t="shared" si="2"/>
        <v>1144510.5508883868</v>
      </c>
      <c r="F18" s="4">
        <f t="shared" si="2"/>
        <v>2786973.5690445956</v>
      </c>
      <c r="G18" s="4">
        <f t="shared" si="2"/>
        <v>3464504.4606140861</v>
      </c>
      <c r="H18" s="4">
        <f t="shared" si="2"/>
        <v>4243732.7945529576</v>
      </c>
      <c r="I18" s="4">
        <f t="shared" si="2"/>
        <v>4989003.3315088656</v>
      </c>
    </row>
    <row r="19" spans="1:14" x14ac:dyDescent="0.4">
      <c r="A19" t="s">
        <v>179</v>
      </c>
      <c r="B19" s="5">
        <f t="shared" ref="B19:I19" si="3">B17+B18</f>
        <v>13696588.928599849</v>
      </c>
      <c r="C19" s="5">
        <f t="shared" si="3"/>
        <v>14115910.556762572</v>
      </c>
      <c r="D19" s="5">
        <f t="shared" si="3"/>
        <v>13546336.236578902</v>
      </c>
      <c r="E19" s="5">
        <f t="shared" si="3"/>
        <v>14357255.200883344</v>
      </c>
      <c r="F19" s="5">
        <f t="shared" si="3"/>
        <v>10546766.166882448</v>
      </c>
      <c r="G19" s="5">
        <f t="shared" si="3"/>
        <v>7960212.2837222787</v>
      </c>
      <c r="H19" s="5">
        <f t="shared" si="3"/>
        <v>6274265.2310060365</v>
      </c>
      <c r="I19" s="5">
        <f t="shared" si="3"/>
        <v>4989003.3315088656</v>
      </c>
    </row>
    <row r="20" spans="1:14" x14ac:dyDescent="0.4">
      <c r="B20" s="18">
        <v>0.9</v>
      </c>
      <c r="C20" s="6">
        <f t="shared" ref="C20:I20" si="4">C19/$B$22</f>
        <v>0.92755353667353069</v>
      </c>
      <c r="D20" s="6">
        <f t="shared" si="4"/>
        <v>0.89012692696526186</v>
      </c>
      <c r="E20" s="6">
        <f t="shared" si="4"/>
        <v>0.94341224286972369</v>
      </c>
      <c r="F20" s="6">
        <f t="shared" si="4"/>
        <v>0.69302580370020228</v>
      </c>
      <c r="G20" s="6">
        <f t="shared" si="4"/>
        <v>0.52306388785535518</v>
      </c>
      <c r="H20" s="6">
        <f t="shared" si="4"/>
        <v>0.41228065888100562</v>
      </c>
      <c r="I20" s="6">
        <f t="shared" si="4"/>
        <v>0.32782636770109924</v>
      </c>
      <c r="J20" s="18"/>
    </row>
    <row r="22" spans="1:14" x14ac:dyDescent="0.4">
      <c r="A22" t="s">
        <v>180</v>
      </c>
      <c r="B22" s="4">
        <f>B19/B20</f>
        <v>15218432.142888721</v>
      </c>
      <c r="I22" s="18">
        <v>0.3</v>
      </c>
      <c r="J22" s="18"/>
    </row>
    <row r="23" spans="1:14" x14ac:dyDescent="0.4">
      <c r="I23" s="18">
        <f>I20-I22</f>
        <v>2.7826367701099253E-2</v>
      </c>
      <c r="J23" s="18"/>
    </row>
    <row r="24" spans="1:14" x14ac:dyDescent="0.4">
      <c r="I24" s="4">
        <f>B22*I23</f>
        <v>423473.68864224938</v>
      </c>
      <c r="J24" s="4"/>
    </row>
    <row r="25" spans="1:14" x14ac:dyDescent="0.4">
      <c r="I25" s="4">
        <f>I24/675</f>
        <v>627.36842761814728</v>
      </c>
      <c r="J25" s="4"/>
    </row>
  </sheetData>
  <mergeCells count="4">
    <mergeCell ref="O3:Q3"/>
    <mergeCell ref="O8:Q8"/>
    <mergeCell ref="P7:Q7"/>
    <mergeCell ref="P4:Q4"/>
  </mergeCells>
  <phoneticPr fontId="2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5F13C-ADAD-4D20-A343-25EE5AE35658}">
  <dimension ref="A1:T74"/>
  <sheetViews>
    <sheetView workbookViewId="0">
      <selection activeCell="I6" sqref="I6"/>
    </sheetView>
  </sheetViews>
  <sheetFormatPr defaultRowHeight="15" outlineLevelRow="1" x14ac:dyDescent="0.4"/>
  <cols>
    <col min="1" max="1" width="21.25" bestFit="1" customWidth="1"/>
    <col min="2" max="2" width="12.625" customWidth="1"/>
    <col min="3" max="3" width="6.75" bestFit="1" customWidth="1"/>
    <col min="4" max="4" width="8.875" style="1" bestFit="1" customWidth="1"/>
    <col min="5" max="5" width="7.25" style="1" bestFit="1" customWidth="1"/>
    <col min="6" max="6" width="7.25" style="4" bestFit="1" customWidth="1"/>
    <col min="7" max="7" width="6.75" style="4" bestFit="1" customWidth="1"/>
    <col min="8" max="8" width="9.375" style="4" customWidth="1"/>
    <col min="9" max="9" width="6.75" style="4" bestFit="1" customWidth="1"/>
    <col min="10" max="10" width="8.375" style="4" bestFit="1" customWidth="1"/>
    <col min="11" max="11" width="6.75" style="4" bestFit="1" customWidth="1"/>
    <col min="12" max="12" width="7.625" style="4" bestFit="1" customWidth="1"/>
    <col min="13" max="13" width="6.75" style="4" bestFit="1" customWidth="1"/>
    <col min="14" max="14" width="7.25" style="4" bestFit="1" customWidth="1"/>
    <col min="15" max="15" width="7.75" style="4" bestFit="1" customWidth="1"/>
    <col min="16" max="16" width="7.25" bestFit="1" customWidth="1"/>
    <col min="17" max="17" width="7.875" bestFit="1" customWidth="1"/>
    <col min="18" max="18" width="7.25" bestFit="1" customWidth="1"/>
    <col min="19" max="19" width="6.75" bestFit="1" customWidth="1"/>
  </cols>
  <sheetData>
    <row r="1" spans="2:20" ht="15.6" thickBot="1" x14ac:dyDescent="0.45">
      <c r="B1" t="s">
        <v>167</v>
      </c>
    </row>
    <row r="2" spans="2:20" x14ac:dyDescent="0.4">
      <c r="B2" s="470" t="s">
        <v>153</v>
      </c>
      <c r="C2" s="471"/>
      <c r="D2" s="466">
        <v>22</v>
      </c>
      <c r="E2" s="192"/>
      <c r="F2" s="466">
        <v>23</v>
      </c>
      <c r="G2" s="192"/>
      <c r="H2" s="466">
        <v>24</v>
      </c>
      <c r="I2" s="199"/>
      <c r="J2" s="466">
        <v>25</v>
      </c>
      <c r="K2" s="199"/>
      <c r="L2" s="466">
        <v>26</v>
      </c>
      <c r="M2" s="199"/>
      <c r="N2" s="468">
        <v>27</v>
      </c>
      <c r="O2" s="199"/>
      <c r="P2" s="468">
        <v>28</v>
      </c>
      <c r="Q2" s="199"/>
      <c r="R2" s="466">
        <v>29</v>
      </c>
      <c r="S2" s="201"/>
    </row>
    <row r="3" spans="2:20" ht="15.6" thickBot="1" x14ac:dyDescent="0.45">
      <c r="B3" s="472"/>
      <c r="C3" s="473"/>
      <c r="D3" s="467"/>
      <c r="E3" s="193" t="s">
        <v>149</v>
      </c>
      <c r="F3" s="467"/>
      <c r="G3" s="193" t="s">
        <v>149</v>
      </c>
      <c r="H3" s="467"/>
      <c r="I3" s="193" t="s">
        <v>149</v>
      </c>
      <c r="J3" s="467"/>
      <c r="K3" s="193" t="s">
        <v>149</v>
      </c>
      <c r="L3" s="467"/>
      <c r="M3" s="193" t="s">
        <v>149</v>
      </c>
      <c r="N3" s="469"/>
      <c r="O3" s="193" t="s">
        <v>149</v>
      </c>
      <c r="P3" s="469"/>
      <c r="Q3" s="193" t="s">
        <v>149</v>
      </c>
      <c r="R3" s="467"/>
      <c r="S3" s="202" t="s">
        <v>149</v>
      </c>
    </row>
    <row r="4" spans="2:20" x14ac:dyDescent="0.4">
      <c r="B4" s="216" t="s">
        <v>144</v>
      </c>
      <c r="C4" s="220"/>
      <c r="D4" s="208">
        <v>2006.058</v>
      </c>
      <c r="E4" s="209">
        <f>D4/$D$10</f>
        <v>0.97568161987648205</v>
      </c>
      <c r="F4" s="208">
        <v>2007.9773597152011</v>
      </c>
      <c r="G4" s="209">
        <f>F4/$F$10</f>
        <v>0.93049046630415244</v>
      </c>
      <c r="H4" s="208">
        <v>1964.9488900815982</v>
      </c>
      <c r="I4" s="209">
        <f>H4/$H$10</f>
        <v>0.86754668005369706</v>
      </c>
      <c r="J4" s="208">
        <v>1877.2230285858486</v>
      </c>
      <c r="K4" s="209">
        <f>J4/J$10</f>
        <v>0.78967055510250639</v>
      </c>
      <c r="L4" s="208">
        <v>1795.0626269696008</v>
      </c>
      <c r="M4" s="209">
        <f>L4/L10</f>
        <v>0.71944591994061857</v>
      </c>
      <c r="N4" s="210">
        <v>1618.7435666075244</v>
      </c>
      <c r="O4" s="209">
        <f>N4/N10</f>
        <v>0.61813748671258439</v>
      </c>
      <c r="P4" s="210">
        <v>1248.5554043897955</v>
      </c>
      <c r="Q4" s="209">
        <f>P4/P10</f>
        <v>0.45425877258857228</v>
      </c>
      <c r="R4" s="211">
        <v>884.80205062115874</v>
      </c>
      <c r="S4" s="212">
        <f>R4/R10</f>
        <v>0.30671152997504358</v>
      </c>
    </row>
    <row r="5" spans="2:20" x14ac:dyDescent="0.4">
      <c r="B5" s="217"/>
      <c r="C5" s="219" t="s">
        <v>3</v>
      </c>
      <c r="D5" s="213">
        <f>D4</f>
        <v>2006.058</v>
      </c>
      <c r="E5" s="214">
        <f>D5/$D$10</f>
        <v>0.97568161987648205</v>
      </c>
      <c r="F5" s="213">
        <f>F4</f>
        <v>2007.9773597152011</v>
      </c>
      <c r="G5" s="214">
        <f>F5/$F$10</f>
        <v>0.93049046630415244</v>
      </c>
      <c r="H5" s="213">
        <f>H4-H6</f>
        <v>1851.7014455775181</v>
      </c>
      <c r="I5" s="214">
        <f>H5/H10</f>
        <v>0.81754668005369713</v>
      </c>
      <c r="J5" s="213">
        <f>J4-J6</f>
        <v>1520.6395742979714</v>
      </c>
      <c r="K5" s="214">
        <f>J5/J10</f>
        <v>0.63967055510250648</v>
      </c>
      <c r="L5" s="213">
        <f>L4-L6</f>
        <v>747.13632364236855</v>
      </c>
      <c r="M5" s="214">
        <f>L5/L10</f>
        <v>0.29944591994061859</v>
      </c>
      <c r="N5" s="215">
        <f>N4-N6</f>
        <v>628.49845598580589</v>
      </c>
      <c r="O5" s="214">
        <f>N5/N10</f>
        <v>0.24000000000000002</v>
      </c>
      <c r="P5" s="215">
        <f>P4-P6</f>
        <v>274.85554043897957</v>
      </c>
      <c r="Q5" s="214">
        <f>P5/P10</f>
        <v>0.1</v>
      </c>
      <c r="R5" s="326"/>
      <c r="S5" s="327"/>
    </row>
    <row r="6" spans="2:20" x14ac:dyDescent="0.4">
      <c r="B6" s="217"/>
      <c r="C6" s="222" t="s">
        <v>57</v>
      </c>
      <c r="D6" s="331"/>
      <c r="E6" s="332"/>
      <c r="F6" s="331"/>
      <c r="G6" s="332"/>
      <c r="H6" s="188">
        <f>H10*I6</f>
        <v>113.24744450408001</v>
      </c>
      <c r="I6" s="198">
        <v>0.05</v>
      </c>
      <c r="J6" s="188">
        <f>J10*K6</f>
        <v>356.58345428787726</v>
      </c>
      <c r="K6" s="198">
        <v>0.15</v>
      </c>
      <c r="L6" s="188">
        <f>L10*M6</f>
        <v>1047.9263033272323</v>
      </c>
      <c r="M6" s="198">
        <v>0.42</v>
      </c>
      <c r="N6" s="186">
        <f>N10*O6</f>
        <v>990.24511062171848</v>
      </c>
      <c r="O6" s="198">
        <f>76%-O9</f>
        <v>0.37813748671258435</v>
      </c>
      <c r="P6" s="186">
        <f>P10*Q6</f>
        <v>973.69986395081594</v>
      </c>
      <c r="Q6" s="198">
        <f>90%-Q9</f>
        <v>0.3542587725885723</v>
      </c>
      <c r="R6" s="187">
        <f>R4-R5</f>
        <v>884.80205062115874</v>
      </c>
      <c r="S6" s="204">
        <f>R6/R10</f>
        <v>0.30671152997504358</v>
      </c>
    </row>
    <row r="7" spans="2:20" x14ac:dyDescent="0.4">
      <c r="B7" s="224" t="s">
        <v>150</v>
      </c>
      <c r="C7" s="225"/>
      <c r="D7" s="189">
        <v>50</v>
      </c>
      <c r="E7" s="195">
        <f>D7/$D$10</f>
        <v>2.4318380123517915E-2</v>
      </c>
      <c r="F7" s="189">
        <v>150</v>
      </c>
      <c r="G7" s="195">
        <f>F7/$F$10</f>
        <v>6.95095336958476E-2</v>
      </c>
      <c r="H7" s="189">
        <v>300</v>
      </c>
      <c r="I7" s="194">
        <f>H7/$H$10</f>
        <v>0.13245331994630211</v>
      </c>
      <c r="J7" s="189">
        <v>500</v>
      </c>
      <c r="K7" s="194">
        <f>J7/J10</f>
        <v>0.21032944489749356</v>
      </c>
      <c r="L7" s="189">
        <v>700</v>
      </c>
      <c r="M7" s="194">
        <f>L7/L10</f>
        <v>0.28055408005938143</v>
      </c>
      <c r="N7" s="180">
        <v>1000</v>
      </c>
      <c r="O7" s="194">
        <f>N7/N10</f>
        <v>0.38186251328741566</v>
      </c>
      <c r="P7" s="180">
        <v>1500</v>
      </c>
      <c r="Q7" s="194">
        <f>P7/P10</f>
        <v>0.54574122741142772</v>
      </c>
      <c r="R7" s="181">
        <v>2000</v>
      </c>
      <c r="S7" s="203">
        <f>R7/R10</f>
        <v>0.69328847002495642</v>
      </c>
    </row>
    <row r="8" spans="2:20" x14ac:dyDescent="0.4">
      <c r="B8" s="217"/>
      <c r="C8" s="219" t="s">
        <v>3</v>
      </c>
      <c r="D8" s="213">
        <v>50</v>
      </c>
      <c r="E8" s="214">
        <f>D8/$D$10</f>
        <v>2.4318380123517915E-2</v>
      </c>
      <c r="F8" s="213">
        <v>150</v>
      </c>
      <c r="G8" s="214">
        <f>F8/$F$10</f>
        <v>6.95095336958476E-2</v>
      </c>
      <c r="H8" s="213">
        <f>H10*I8</f>
        <v>186.75255549592001</v>
      </c>
      <c r="I8" s="214">
        <f>I7-I9</f>
        <v>8.2453319946302103E-2</v>
      </c>
      <c r="J8" s="213">
        <f>J7-J9</f>
        <v>143.41654571212274</v>
      </c>
      <c r="K8" s="214">
        <f>J8/J10</f>
        <v>6.0329444897493568E-2</v>
      </c>
      <c r="L8" s="213">
        <f>L7-L9</f>
        <v>250</v>
      </c>
      <c r="M8" s="214">
        <f>L8/L10</f>
        <v>0.10019788573549337</v>
      </c>
      <c r="N8" s="330"/>
      <c r="O8" s="329"/>
      <c r="P8" s="330"/>
      <c r="Q8" s="329"/>
      <c r="R8" s="326"/>
      <c r="S8" s="327"/>
    </row>
    <row r="9" spans="2:20" ht="15.6" thickBot="1" x14ac:dyDescent="0.45">
      <c r="B9" s="226"/>
      <c r="C9" s="227" t="s">
        <v>57</v>
      </c>
      <c r="D9" s="331"/>
      <c r="E9" s="332"/>
      <c r="F9" s="331"/>
      <c r="G9" s="332"/>
      <c r="H9" s="188">
        <f>H10*I9</f>
        <v>113.24744450408001</v>
      </c>
      <c r="I9" s="194">
        <v>0.05</v>
      </c>
      <c r="J9" s="188">
        <f>J10*K9</f>
        <v>356.58345428787726</v>
      </c>
      <c r="K9" s="194">
        <v>0.15</v>
      </c>
      <c r="L9" s="188">
        <v>450</v>
      </c>
      <c r="M9" s="194">
        <f>L9/L10</f>
        <v>0.18035619432388808</v>
      </c>
      <c r="N9" s="186">
        <f>N10*O9</f>
        <v>1000</v>
      </c>
      <c r="O9" s="194">
        <f>O7</f>
        <v>0.38186251328741566</v>
      </c>
      <c r="P9" s="186">
        <f>P10*Q9</f>
        <v>1500</v>
      </c>
      <c r="Q9" s="194">
        <f>Q7</f>
        <v>0.54574122741142772</v>
      </c>
      <c r="R9" s="187">
        <f>R7-R8</f>
        <v>2000</v>
      </c>
      <c r="S9" s="203">
        <v>0.69</v>
      </c>
    </row>
    <row r="10" spans="2:20" ht="15.6" thickTop="1" x14ac:dyDescent="0.4">
      <c r="B10" s="217" t="s">
        <v>20</v>
      </c>
      <c r="C10" s="221"/>
      <c r="D10" s="190">
        <v>2056.058</v>
      </c>
      <c r="E10" s="196">
        <f>D10/$D$10</f>
        <v>1</v>
      </c>
      <c r="F10" s="190">
        <v>2157.9773597152011</v>
      </c>
      <c r="G10" s="196">
        <f>F10/$F$10</f>
        <v>1</v>
      </c>
      <c r="H10" s="190">
        <v>2264.9488900816</v>
      </c>
      <c r="I10" s="196">
        <f>H10/H10</f>
        <v>1</v>
      </c>
      <c r="J10" s="190">
        <v>2377.2230285858486</v>
      </c>
      <c r="K10" s="196">
        <f>J10/J10</f>
        <v>1</v>
      </c>
      <c r="L10" s="190">
        <v>2495.0626269696008</v>
      </c>
      <c r="M10" s="196">
        <f>L10/L10</f>
        <v>1</v>
      </c>
      <c r="N10" s="182">
        <v>2618.7435666075244</v>
      </c>
      <c r="O10" s="196">
        <f>N10/N10</f>
        <v>1</v>
      </c>
      <c r="P10" s="182">
        <v>2748.5554043897955</v>
      </c>
      <c r="Q10" s="196">
        <f>P10/P10</f>
        <v>1</v>
      </c>
      <c r="R10" s="183">
        <v>2884.8020506211587</v>
      </c>
      <c r="S10" s="205">
        <f>R10/R10</f>
        <v>1</v>
      </c>
    </row>
    <row r="11" spans="2:20" ht="15.6" thickBot="1" x14ac:dyDescent="0.45">
      <c r="B11" s="218" t="s">
        <v>146</v>
      </c>
      <c r="C11" s="223"/>
      <c r="D11" s="347">
        <f>D10</f>
        <v>2056.058</v>
      </c>
      <c r="E11" s="197"/>
      <c r="F11" s="191">
        <v>1.2543827475311427</v>
      </c>
      <c r="G11" s="197"/>
      <c r="H11" s="191">
        <v>1.3165628448173907</v>
      </c>
      <c r="I11" s="197"/>
      <c r="J11" s="191">
        <v>1.3818252266026383</v>
      </c>
      <c r="K11" s="197"/>
      <c r="L11" s="191">
        <v>1.4503226825759881</v>
      </c>
      <c r="M11" s="197"/>
      <c r="N11" s="184">
        <v>1.5222155762533929</v>
      </c>
      <c r="O11" s="197"/>
      <c r="P11" s="184">
        <v>1.5976722204143319</v>
      </c>
      <c r="Q11" s="197"/>
      <c r="R11" s="185">
        <v>1.6768692711489865</v>
      </c>
      <c r="S11" s="206"/>
    </row>
    <row r="12" spans="2:20" x14ac:dyDescent="0.4">
      <c r="B12" s="217" t="s">
        <v>186</v>
      </c>
      <c r="D12" s="6">
        <f>D11/$D$11</f>
        <v>1</v>
      </c>
      <c r="F12" s="6">
        <f>F10/$D$11</f>
        <v>1.0495702746299964</v>
      </c>
      <c r="H12" s="6">
        <f>H10/$D$11</f>
        <v>1.101597761386887</v>
      </c>
      <c r="J12" s="6">
        <f>J10/$D$11</f>
        <v>1.1562042649506232</v>
      </c>
      <c r="L12" s="6">
        <f>L10/$D$11</f>
        <v>1.2135176278925988</v>
      </c>
      <c r="N12" s="6">
        <f>N10/$D$11</f>
        <v>1.2736720299755768</v>
      </c>
      <c r="P12" s="6">
        <f>P10/$D$11</f>
        <v>1.336808302290011</v>
      </c>
      <c r="R12" s="6">
        <f>R10/$D$11</f>
        <v>1.4030742569621864</v>
      </c>
    </row>
    <row r="13" spans="2:20" x14ac:dyDescent="0.4">
      <c r="B13" s="217" t="s">
        <v>60</v>
      </c>
      <c r="D13" s="6">
        <v>1.1200000000000001</v>
      </c>
      <c r="F13" s="6">
        <f>F10/D10</f>
        <v>1.0495702746299964</v>
      </c>
      <c r="H13" s="6">
        <f>H10/F10</f>
        <v>1.0495702746299973</v>
      </c>
      <c r="J13" s="6">
        <f>J10/H10</f>
        <v>1.0495702746299955</v>
      </c>
      <c r="L13" s="6">
        <f>L10/J10</f>
        <v>1.0495702746299964</v>
      </c>
      <c r="N13" s="6">
        <f>N10/L10</f>
        <v>1.0495702746299964</v>
      </c>
      <c r="P13" s="6">
        <f>P10/N10</f>
        <v>1.0495702746299964</v>
      </c>
      <c r="R13" s="6">
        <f>R10/P10</f>
        <v>1.0495702746299964</v>
      </c>
    </row>
    <row r="14" spans="2:20" ht="15.6" thickBot="1" x14ac:dyDescent="0.45">
      <c r="B14" s="207"/>
      <c r="L14" s="6"/>
      <c r="N14" s="6"/>
    </row>
    <row r="15" spans="2:20" x14ac:dyDescent="0.4">
      <c r="B15" s="474" t="s">
        <v>9</v>
      </c>
      <c r="C15" s="475"/>
      <c r="D15" s="466">
        <v>22</v>
      </c>
      <c r="E15" s="228"/>
      <c r="F15" s="466">
        <v>23</v>
      </c>
      <c r="G15" s="192"/>
      <c r="H15" s="466">
        <v>24</v>
      </c>
      <c r="I15" s="199"/>
      <c r="J15" s="466">
        <v>25</v>
      </c>
      <c r="K15" s="199"/>
      <c r="L15" s="466">
        <v>26</v>
      </c>
      <c r="M15" s="199"/>
      <c r="N15" s="468">
        <v>27</v>
      </c>
      <c r="O15" s="199"/>
      <c r="P15" s="468">
        <v>28</v>
      </c>
      <c r="Q15" s="199"/>
      <c r="R15" s="466">
        <v>29</v>
      </c>
      <c r="S15" s="201"/>
    </row>
    <row r="16" spans="2:20" ht="15.6" thickBot="1" x14ac:dyDescent="0.45">
      <c r="B16" s="476"/>
      <c r="C16" s="477"/>
      <c r="D16" s="467"/>
      <c r="E16" s="193" t="s">
        <v>152</v>
      </c>
      <c r="F16" s="467"/>
      <c r="G16" s="193" t="s">
        <v>152</v>
      </c>
      <c r="H16" s="467"/>
      <c r="I16" s="193" t="s">
        <v>152</v>
      </c>
      <c r="J16" s="467"/>
      <c r="K16" s="193" t="s">
        <v>152</v>
      </c>
      <c r="L16" s="467"/>
      <c r="M16" s="193" t="s">
        <v>152</v>
      </c>
      <c r="N16" s="469"/>
      <c r="O16" s="193" t="s">
        <v>152</v>
      </c>
      <c r="P16" s="469"/>
      <c r="Q16" s="193" t="s">
        <v>152</v>
      </c>
      <c r="R16" s="467"/>
      <c r="S16" s="202" t="s">
        <v>152</v>
      </c>
      <c r="T16" s="394"/>
    </row>
    <row r="17" spans="1:20" x14ac:dyDescent="0.4">
      <c r="B17" s="216" t="s">
        <v>144</v>
      </c>
      <c r="C17" s="229"/>
      <c r="D17" s="208">
        <f>E17*D4</f>
        <v>1404.2405999999999</v>
      </c>
      <c r="E17" s="209">
        <v>0.7</v>
      </c>
      <c r="F17" s="208">
        <f>F4*G17</f>
        <v>1365.424604606337</v>
      </c>
      <c r="G17" s="209">
        <v>0.68</v>
      </c>
      <c r="H17" s="208">
        <f>H4*I17</f>
        <v>1336.1652452554868</v>
      </c>
      <c r="I17" s="209">
        <v>0.68</v>
      </c>
      <c r="J17" s="208">
        <f>J4*K17</f>
        <v>1220.1949685808017</v>
      </c>
      <c r="K17" s="209">
        <v>0.65</v>
      </c>
      <c r="L17" s="208">
        <f>L4*M17</f>
        <v>1112.9388287211525</v>
      </c>
      <c r="M17" s="209">
        <v>0.62</v>
      </c>
      <c r="N17" s="210">
        <f>N4*O17</f>
        <v>971.24613996451455</v>
      </c>
      <c r="O17" s="209">
        <v>0.6</v>
      </c>
      <c r="P17" s="210">
        <f>P4*Q17</f>
        <v>711.67658050218336</v>
      </c>
      <c r="Q17" s="209">
        <v>0.56999999999999995</v>
      </c>
      <c r="R17" s="208">
        <f>R4*S17</f>
        <v>353.92082024846354</v>
      </c>
      <c r="S17" s="212">
        <v>0.4</v>
      </c>
      <c r="T17" s="280"/>
    </row>
    <row r="18" spans="1:20" x14ac:dyDescent="0.4">
      <c r="B18" s="217"/>
      <c r="C18" s="219" t="s">
        <v>3</v>
      </c>
      <c r="D18" s="213">
        <f>E18*D5</f>
        <v>1404.2405999999999</v>
      </c>
      <c r="E18" s="214">
        <v>0.7</v>
      </c>
      <c r="F18" s="213">
        <f>F17</f>
        <v>1365.424604606337</v>
      </c>
      <c r="G18" s="214">
        <v>0.68</v>
      </c>
      <c r="H18" s="213">
        <f>H17-H19</f>
        <v>1336.1652452554868</v>
      </c>
      <c r="I18" s="214">
        <f>H18/H5</f>
        <v>0.72158783936076509</v>
      </c>
      <c r="J18" s="213">
        <f>J17-J19</f>
        <v>1220.1949685808017</v>
      </c>
      <c r="K18" s="214">
        <f>J18/J5</f>
        <v>0.80242221049924012</v>
      </c>
      <c r="L18" s="213">
        <f>L5*M18</f>
        <v>522.99542654965796</v>
      </c>
      <c r="M18" s="214">
        <v>0.7</v>
      </c>
      <c r="N18" s="215">
        <f>N5*O18</f>
        <v>314.24922799290295</v>
      </c>
      <c r="O18" s="214">
        <v>0.5</v>
      </c>
      <c r="P18" s="215">
        <f>P5*Q18</f>
        <v>109.94221617559184</v>
      </c>
      <c r="Q18" s="214">
        <v>0.4</v>
      </c>
      <c r="R18" s="328"/>
      <c r="S18" s="327"/>
      <c r="T18" s="280"/>
    </row>
    <row r="19" spans="1:20" x14ac:dyDescent="0.4">
      <c r="B19" s="217"/>
      <c r="C19" s="222" t="s">
        <v>57</v>
      </c>
      <c r="D19" s="331"/>
      <c r="E19" s="332"/>
      <c r="F19" s="331"/>
      <c r="G19" s="332"/>
      <c r="H19" s="331"/>
      <c r="I19" s="333"/>
      <c r="J19" s="331"/>
      <c r="K19" s="333"/>
      <c r="L19" s="188">
        <f>L17-L18</f>
        <v>589.94340217149454</v>
      </c>
      <c r="M19" s="198">
        <f>L19/L6</f>
        <v>0.56296268191607268</v>
      </c>
      <c r="N19" s="186">
        <f>N17-N18</f>
        <v>656.99691197161155</v>
      </c>
      <c r="O19" s="198">
        <f>N19/N6</f>
        <v>0.66346897846243402</v>
      </c>
      <c r="P19" s="186">
        <f>P17-P18</f>
        <v>601.7343643265915</v>
      </c>
      <c r="Q19" s="198">
        <f>P19/P6</f>
        <v>0.61798752018413206</v>
      </c>
      <c r="R19" s="188">
        <f>R17</f>
        <v>353.92082024846354</v>
      </c>
      <c r="S19" s="204">
        <v>0.4</v>
      </c>
    </row>
    <row r="20" spans="1:20" x14ac:dyDescent="0.4">
      <c r="B20" s="224" t="s">
        <v>150</v>
      </c>
      <c r="C20" s="230"/>
      <c r="D20" s="189">
        <f>D7*E20</f>
        <v>25</v>
      </c>
      <c r="E20" s="195">
        <v>0.5</v>
      </c>
      <c r="F20" s="189">
        <f>F7*G20</f>
        <v>72</v>
      </c>
      <c r="G20" s="195">
        <v>0.48</v>
      </c>
      <c r="H20" s="189">
        <f>H7*I20</f>
        <v>135</v>
      </c>
      <c r="I20" s="194">
        <v>0.45</v>
      </c>
      <c r="J20" s="189">
        <f>J7*K20</f>
        <v>215</v>
      </c>
      <c r="K20" s="194">
        <v>0.43</v>
      </c>
      <c r="L20" s="189">
        <f>L7*M20</f>
        <v>280</v>
      </c>
      <c r="M20" s="194">
        <v>0.4</v>
      </c>
      <c r="N20" s="180">
        <f>N7*O20</f>
        <v>380</v>
      </c>
      <c r="O20" s="194">
        <v>0.38</v>
      </c>
      <c r="P20" s="180">
        <f>P7*Q20</f>
        <v>525</v>
      </c>
      <c r="Q20" s="194">
        <v>0.35</v>
      </c>
      <c r="R20" s="189">
        <f>R7*S20</f>
        <v>600</v>
      </c>
      <c r="S20" s="203">
        <v>0.3</v>
      </c>
    </row>
    <row r="21" spans="1:20" x14ac:dyDescent="0.4">
      <c r="B21" s="217"/>
      <c r="C21" s="219" t="s">
        <v>3</v>
      </c>
      <c r="D21" s="213">
        <f>D20</f>
        <v>25</v>
      </c>
      <c r="E21" s="214">
        <f>E20</f>
        <v>0.5</v>
      </c>
      <c r="F21" s="213">
        <f>F20</f>
        <v>72</v>
      </c>
      <c r="G21" s="214">
        <f>F21/$F$10</f>
        <v>3.3364576174006844E-2</v>
      </c>
      <c r="H21" s="213">
        <f>H20-H22</f>
        <v>135</v>
      </c>
      <c r="I21" s="214">
        <f>H21/H8</f>
        <v>0.7228816743177009</v>
      </c>
      <c r="J21" s="213">
        <f>J8*K21</f>
        <v>61.669114656212777</v>
      </c>
      <c r="K21" s="214">
        <f>43%</f>
        <v>0.43</v>
      </c>
      <c r="L21" s="213">
        <f>L8*M21</f>
        <v>100</v>
      </c>
      <c r="M21" s="214">
        <v>0.4</v>
      </c>
      <c r="N21" s="330"/>
      <c r="O21" s="329"/>
      <c r="P21" s="330"/>
      <c r="Q21" s="329"/>
      <c r="R21" s="328"/>
      <c r="S21" s="327"/>
    </row>
    <row r="22" spans="1:20" ht="15.6" thickBot="1" x14ac:dyDescent="0.45">
      <c r="B22" s="226"/>
      <c r="C22" s="227" t="s">
        <v>57</v>
      </c>
      <c r="D22" s="331"/>
      <c r="E22" s="332"/>
      <c r="F22" s="331"/>
      <c r="G22" s="332"/>
      <c r="H22" s="331"/>
      <c r="I22" s="332"/>
      <c r="J22" s="188">
        <f>J9*K22</f>
        <v>153.33088534378723</v>
      </c>
      <c r="K22" s="194">
        <v>0.43</v>
      </c>
      <c r="L22" s="188">
        <f>L9*M22</f>
        <v>180</v>
      </c>
      <c r="M22" s="194">
        <v>0.4</v>
      </c>
      <c r="N22" s="186">
        <f>N9*O22</f>
        <v>380</v>
      </c>
      <c r="O22" s="194">
        <f>O20</f>
        <v>0.38</v>
      </c>
      <c r="P22" s="186">
        <f>P9*Q22</f>
        <v>525</v>
      </c>
      <c r="Q22" s="194">
        <f>Q20</f>
        <v>0.35</v>
      </c>
      <c r="R22" s="188">
        <f>R9*S22</f>
        <v>600</v>
      </c>
      <c r="S22" s="203">
        <f>S20</f>
        <v>0.3</v>
      </c>
    </row>
    <row r="23" spans="1:20" ht="16.2" thickTop="1" thickBot="1" x14ac:dyDescent="0.45">
      <c r="B23" s="218" t="s">
        <v>20</v>
      </c>
      <c r="C23" s="223"/>
      <c r="D23" s="231">
        <f>D17+D20</f>
        <v>1429.2405999999999</v>
      </c>
      <c r="E23" s="232">
        <f>D23/$D$10</f>
        <v>0.69513632397529634</v>
      </c>
      <c r="F23" s="231">
        <f>F17+F20</f>
        <v>1437.424604606337</v>
      </c>
      <c r="G23" s="232">
        <f>F23/$F$10</f>
        <v>0.66609809326083058</v>
      </c>
      <c r="H23" s="231">
        <f>H17+H20</f>
        <v>1471.1652452554868</v>
      </c>
      <c r="I23" s="232">
        <f>H23/H10</f>
        <v>0.64953573641234996</v>
      </c>
      <c r="J23" s="231">
        <f>J17+J20</f>
        <v>1435.1949685808017</v>
      </c>
      <c r="K23" s="232">
        <f>J23/J10</f>
        <v>0.60372752212255143</v>
      </c>
      <c r="L23" s="231">
        <f>L17+L20</f>
        <v>1392.9388287211525</v>
      </c>
      <c r="M23" s="232">
        <f>L23/L10</f>
        <v>0.55827810238693609</v>
      </c>
      <c r="N23" s="233">
        <f>N17+N20</f>
        <v>1351.2461399645144</v>
      </c>
      <c r="O23" s="232">
        <f>N23/N10</f>
        <v>0.51599024707676844</v>
      </c>
      <c r="P23" s="233">
        <f>P17+P20</f>
        <v>1236.6765805021832</v>
      </c>
      <c r="Q23" s="232">
        <f>P23/P10</f>
        <v>0.44993692996948581</v>
      </c>
      <c r="R23" s="231">
        <f>R20+R17</f>
        <v>953.92082024846354</v>
      </c>
      <c r="S23" s="234">
        <f>R23/R10</f>
        <v>0.33067115299750438</v>
      </c>
    </row>
    <row r="25" spans="1:20" ht="15.6" thickBot="1" x14ac:dyDescent="0.45">
      <c r="E25" s="237"/>
      <c r="F25" s="1"/>
      <c r="G25" s="237"/>
      <c r="H25" s="1"/>
      <c r="J25" s="1"/>
      <c r="L25" s="1"/>
      <c r="N25" s="1"/>
      <c r="P25" s="1"/>
    </row>
    <row r="26" spans="1:20" outlineLevel="1" x14ac:dyDescent="0.4">
      <c r="B26" s="174"/>
      <c r="C26" s="200"/>
      <c r="D26" s="466">
        <v>22</v>
      </c>
      <c r="E26" s="228"/>
      <c r="F26" s="466">
        <v>23</v>
      </c>
      <c r="G26" s="192"/>
      <c r="H26" s="466">
        <v>24</v>
      </c>
      <c r="I26" s="192"/>
      <c r="J26" s="466">
        <v>25</v>
      </c>
      <c r="K26" s="192"/>
      <c r="L26" s="466">
        <v>26</v>
      </c>
      <c r="M26" s="192"/>
      <c r="N26" s="468">
        <v>27</v>
      </c>
      <c r="O26" s="192"/>
      <c r="P26" s="468">
        <v>28</v>
      </c>
      <c r="Q26" s="192"/>
      <c r="R26" s="466">
        <v>29</v>
      </c>
      <c r="S26" s="258"/>
    </row>
    <row r="27" spans="1:20" outlineLevel="1" x14ac:dyDescent="0.4">
      <c r="B27" s="176"/>
      <c r="D27" s="481"/>
      <c r="E27" s="259" t="s">
        <v>149</v>
      </c>
      <c r="F27" s="481"/>
      <c r="G27" s="259" t="s">
        <v>149</v>
      </c>
      <c r="H27" s="481"/>
      <c r="I27" s="259" t="s">
        <v>149</v>
      </c>
      <c r="J27" s="481"/>
      <c r="K27" s="259" t="s">
        <v>149</v>
      </c>
      <c r="L27" s="481"/>
      <c r="M27" s="259" t="s">
        <v>149</v>
      </c>
      <c r="N27" s="480"/>
      <c r="O27" s="259" t="s">
        <v>149</v>
      </c>
      <c r="P27" s="480"/>
      <c r="Q27" s="259" t="s">
        <v>149</v>
      </c>
      <c r="R27" s="481"/>
      <c r="S27" s="260" t="s">
        <v>149</v>
      </c>
    </row>
    <row r="28" spans="1:20" outlineLevel="1" x14ac:dyDescent="0.4">
      <c r="B28" s="176"/>
      <c r="C28" t="s">
        <v>3</v>
      </c>
      <c r="D28" s="239">
        <f>D17</f>
        <v>1404.2405999999999</v>
      </c>
      <c r="E28" s="240"/>
      <c r="F28" s="239">
        <f>F18</f>
        <v>1365.424604606337</v>
      </c>
      <c r="G28" s="240"/>
      <c r="H28" s="239">
        <f>H18</f>
        <v>1336.1652452554868</v>
      </c>
      <c r="I28" s="240"/>
      <c r="J28" s="239">
        <f>J18</f>
        <v>1220.1949685808017</v>
      </c>
      <c r="K28" s="240"/>
      <c r="L28" s="239">
        <f>L18</f>
        <v>522.99542654965796</v>
      </c>
      <c r="M28" s="240"/>
      <c r="N28" s="168">
        <f>N18</f>
        <v>314.24922799290295</v>
      </c>
      <c r="O28" s="168"/>
      <c r="P28" s="280">
        <f>P18</f>
        <v>109.94221617559184</v>
      </c>
      <c r="R28" s="395"/>
      <c r="S28" s="323"/>
    </row>
    <row r="29" spans="1:20" outlineLevel="1" x14ac:dyDescent="0.4">
      <c r="B29" s="478" t="s">
        <v>154</v>
      </c>
      <c r="C29" s="479"/>
      <c r="D29" s="239">
        <f t="shared" ref="D29:D37" si="0">D$17*E29</f>
        <v>294.89052599999997</v>
      </c>
      <c r="E29" s="240">
        <v>0.21</v>
      </c>
      <c r="F29" s="239">
        <f t="shared" ref="F29:F37" si="1">F$17*G29</f>
        <v>286.73916696733073</v>
      </c>
      <c r="G29" s="240">
        <v>0.21</v>
      </c>
      <c r="H29" s="239">
        <f t="shared" ref="H29:H37" si="2">H$17*I29</f>
        <v>280.59470150365223</v>
      </c>
      <c r="I29" s="240">
        <v>0.21</v>
      </c>
      <c r="J29" s="239">
        <f>J$17*K29</f>
        <v>256.24094340196837</v>
      </c>
      <c r="K29" s="240">
        <v>0.21</v>
      </c>
      <c r="L29" s="239">
        <f>L$28*M29</f>
        <v>109.82903957542817</v>
      </c>
      <c r="M29" s="240">
        <v>0.21</v>
      </c>
      <c r="N29" s="239">
        <f>N$28*O29</f>
        <v>65.992337878509616</v>
      </c>
      <c r="O29" s="240">
        <v>0.21</v>
      </c>
      <c r="P29" s="239">
        <f>P$28*Q29</f>
        <v>23.087865396874285</v>
      </c>
      <c r="Q29" s="240">
        <v>0.21</v>
      </c>
      <c r="R29" s="324"/>
      <c r="S29" s="345"/>
    </row>
    <row r="30" spans="1:20" ht="18" customHeight="1" outlineLevel="1" x14ac:dyDescent="0.4">
      <c r="B30" s="268" t="s">
        <v>155</v>
      </c>
      <c r="C30" s="396"/>
      <c r="D30" s="270">
        <f t="shared" si="0"/>
        <v>91.275638999999998</v>
      </c>
      <c r="E30" s="271">
        <v>6.5000000000000002E-2</v>
      </c>
      <c r="F30" s="239">
        <f t="shared" si="1"/>
        <v>88.752599299411912</v>
      </c>
      <c r="G30" s="271">
        <v>6.5000000000000002E-2</v>
      </c>
      <c r="H30" s="270">
        <f t="shared" si="2"/>
        <v>86.850740941606645</v>
      </c>
      <c r="I30" s="271">
        <v>6.5000000000000002E-2</v>
      </c>
      <c r="J30" s="270">
        <f>J$17*K30</f>
        <v>79.312672957752113</v>
      </c>
      <c r="K30" s="271">
        <v>6.5000000000000002E-2</v>
      </c>
      <c r="L30" s="270">
        <f>L$28*M30</f>
        <v>33.99470272572777</v>
      </c>
      <c r="M30" s="271">
        <v>6.5000000000000002E-2</v>
      </c>
      <c r="N30" s="270">
        <f>N$28*O30</f>
        <v>20.426199819538692</v>
      </c>
      <c r="O30" s="271">
        <v>6.5000000000000002E-2</v>
      </c>
      <c r="P30" s="270">
        <f>P$28*Q30</f>
        <v>7.1462440514134693</v>
      </c>
      <c r="Q30" s="271">
        <v>6.5000000000000002E-2</v>
      </c>
      <c r="R30" s="325"/>
      <c r="S30" s="346"/>
    </row>
    <row r="31" spans="1:20" outlineLevel="1" x14ac:dyDescent="0.4">
      <c r="A31" s="6">
        <f t="shared" ref="A31:A37" si="3">E31/(SUM($E$31:$E$37))</f>
        <v>0.45517241379310341</v>
      </c>
      <c r="B31" s="372" t="s">
        <v>156</v>
      </c>
      <c r="C31" s="397"/>
      <c r="D31" s="239">
        <f t="shared" si="0"/>
        <v>463.39939799999996</v>
      </c>
      <c r="E31" s="240">
        <v>0.33</v>
      </c>
      <c r="F31" s="239">
        <f t="shared" si="1"/>
        <v>450.59011952009121</v>
      </c>
      <c r="G31" s="240">
        <v>0.33</v>
      </c>
      <c r="H31" s="239">
        <f t="shared" si="2"/>
        <v>440.93453093431066</v>
      </c>
      <c r="I31" s="240">
        <v>0.33</v>
      </c>
      <c r="J31" s="239">
        <f>J$17*K31</f>
        <v>402.66433963166457</v>
      </c>
      <c r="K31" s="240">
        <v>0.33</v>
      </c>
      <c r="L31" s="239">
        <f>L$28*M31</f>
        <v>172.58849076138713</v>
      </c>
      <c r="M31" s="240">
        <v>0.33</v>
      </c>
      <c r="N31" s="239">
        <f>N$28*O31</f>
        <v>103.70224523765798</v>
      </c>
      <c r="O31" s="240">
        <v>0.33</v>
      </c>
      <c r="P31" s="239">
        <f>P$28*Q31</f>
        <v>36.280931337945312</v>
      </c>
      <c r="Q31" s="240">
        <v>0.33</v>
      </c>
      <c r="R31" s="324"/>
      <c r="S31" s="345"/>
    </row>
    <row r="32" spans="1:20" ht="25.2" outlineLevel="1" x14ac:dyDescent="0.4">
      <c r="A32" s="6">
        <f t="shared" si="3"/>
        <v>0.10206896551724136</v>
      </c>
      <c r="B32" s="372" t="s">
        <v>157</v>
      </c>
      <c r="D32" s="239">
        <f t="shared" si="0"/>
        <v>103.91380439999999</v>
      </c>
      <c r="E32" s="240">
        <v>7.3999999999999996E-2</v>
      </c>
      <c r="F32" s="239">
        <f t="shared" si="1"/>
        <v>101.04142074086893</v>
      </c>
      <c r="G32" s="240">
        <v>7.3999999999999996E-2</v>
      </c>
      <c r="H32" s="239">
        <f t="shared" si="2"/>
        <v>98.876228148906009</v>
      </c>
      <c r="I32" s="240">
        <v>7.3999999999999996E-2</v>
      </c>
      <c r="J32" s="239">
        <f>J$28*K32</f>
        <v>90.294427674979318</v>
      </c>
      <c r="K32" s="240">
        <v>7.3999999999999996E-2</v>
      </c>
      <c r="L32" s="239">
        <f>L28*M32</f>
        <v>38.701661564674687</v>
      </c>
      <c r="M32" s="240">
        <v>7.3999999999999996E-2</v>
      </c>
      <c r="N32" s="239">
        <f>N28*O32</f>
        <v>23.254442871474815</v>
      </c>
      <c r="O32" s="240">
        <v>7.3999999999999996E-2</v>
      </c>
      <c r="P32" s="239">
        <f>P28*Q32</f>
        <v>8.1357239969937964</v>
      </c>
      <c r="Q32" s="240">
        <v>7.3999999999999996E-2</v>
      </c>
      <c r="R32" s="324"/>
      <c r="S32" s="345"/>
    </row>
    <row r="33" spans="1:19" outlineLevel="1" x14ac:dyDescent="0.4">
      <c r="A33" s="6">
        <f t="shared" si="3"/>
        <v>5.5172413793103441E-2</v>
      </c>
      <c r="B33" s="482" t="s">
        <v>158</v>
      </c>
      <c r="C33" s="483"/>
      <c r="D33" s="239">
        <f t="shared" si="0"/>
        <v>56.169623999999999</v>
      </c>
      <c r="E33" s="240">
        <v>0.04</v>
      </c>
      <c r="F33" s="239">
        <f t="shared" si="1"/>
        <v>54.616984184253482</v>
      </c>
      <c r="G33" s="240">
        <v>0.04</v>
      </c>
      <c r="H33" s="239">
        <f t="shared" si="2"/>
        <v>53.446609810219471</v>
      </c>
      <c r="I33" s="240">
        <v>0.04</v>
      </c>
      <c r="J33" s="239">
        <f>J$17*K33</f>
        <v>48.80779874323207</v>
      </c>
      <c r="K33" s="240">
        <v>0.04</v>
      </c>
      <c r="L33" s="239">
        <f>L$17*M33</f>
        <v>44.517553148846098</v>
      </c>
      <c r="M33" s="240">
        <v>0.04</v>
      </c>
      <c r="N33" s="239">
        <f>N$28*O33</f>
        <v>12.569969119716118</v>
      </c>
      <c r="O33" s="240">
        <v>0.04</v>
      </c>
      <c r="P33" s="239">
        <f>P$28*Q33</f>
        <v>4.3976886470236733</v>
      </c>
      <c r="Q33" s="240">
        <v>0.04</v>
      </c>
      <c r="R33" s="324"/>
      <c r="S33" s="345"/>
    </row>
    <row r="34" spans="1:19" outlineLevel="1" x14ac:dyDescent="0.4">
      <c r="A34" s="6">
        <f t="shared" si="3"/>
        <v>0.11034482758620688</v>
      </c>
      <c r="B34" s="371" t="s">
        <v>159</v>
      </c>
      <c r="D34" s="239">
        <f t="shared" si="0"/>
        <v>112.339248</v>
      </c>
      <c r="E34" s="240">
        <v>0.08</v>
      </c>
      <c r="F34" s="239">
        <f t="shared" si="1"/>
        <v>109.23396836850696</v>
      </c>
      <c r="G34" s="240">
        <v>0.08</v>
      </c>
      <c r="H34" s="239">
        <f t="shared" si="2"/>
        <v>106.89321962043894</v>
      </c>
      <c r="I34" s="240">
        <v>0.08</v>
      </c>
      <c r="J34" s="239">
        <f>J$17*K34</f>
        <v>97.615597486464139</v>
      </c>
      <c r="K34" s="240">
        <v>0.08</v>
      </c>
      <c r="L34" s="239">
        <f>L$17*M34</f>
        <v>89.035106297692195</v>
      </c>
      <c r="M34" s="240">
        <v>0.08</v>
      </c>
      <c r="N34" s="239">
        <f>N$28*O34</f>
        <v>25.139938239432237</v>
      </c>
      <c r="O34" s="240">
        <v>0.08</v>
      </c>
      <c r="P34" s="239">
        <f>P$28*Q34</f>
        <v>8.7953772940473467</v>
      </c>
      <c r="Q34" s="240">
        <v>0.08</v>
      </c>
      <c r="R34" s="324"/>
      <c r="S34" s="345"/>
    </row>
    <row r="35" spans="1:19" outlineLevel="1" x14ac:dyDescent="0.4">
      <c r="A35" s="6">
        <f t="shared" si="3"/>
        <v>0.22620689655172413</v>
      </c>
      <c r="B35" s="371" t="s">
        <v>160</v>
      </c>
      <c r="D35" s="239">
        <f t="shared" si="0"/>
        <v>230.29545839999997</v>
      </c>
      <c r="E35" s="240">
        <v>0.16400000000000001</v>
      </c>
      <c r="F35" s="239">
        <f t="shared" si="1"/>
        <v>223.92963515543929</v>
      </c>
      <c r="G35" s="240">
        <v>0.16400000000000001</v>
      </c>
      <c r="H35" s="239">
        <f t="shared" si="2"/>
        <v>219.13110022189983</v>
      </c>
      <c r="I35" s="240">
        <v>0.16400000000000001</v>
      </c>
      <c r="J35" s="239">
        <f>J$17*K35</f>
        <v>200.1119748472515</v>
      </c>
      <c r="K35" s="240">
        <v>0.16400000000000001</v>
      </c>
      <c r="L35" s="239">
        <f>L$17*M35</f>
        <v>182.52196791026901</v>
      </c>
      <c r="M35" s="240">
        <v>0.16400000000000001</v>
      </c>
      <c r="N35" s="239">
        <f>N$28*O35</f>
        <v>51.536873390836085</v>
      </c>
      <c r="O35" s="240">
        <v>0.16400000000000001</v>
      </c>
      <c r="P35" s="239">
        <f>P$28*Q35</f>
        <v>18.030523452797063</v>
      </c>
      <c r="Q35" s="240">
        <v>0.16400000000000001</v>
      </c>
      <c r="R35" s="324"/>
      <c r="S35" s="345"/>
    </row>
    <row r="36" spans="1:19" outlineLevel="1" x14ac:dyDescent="0.4">
      <c r="A36" s="6">
        <f t="shared" si="3"/>
        <v>4.6896551724137932E-2</v>
      </c>
      <c r="B36" s="371" t="s">
        <v>161</v>
      </c>
      <c r="D36" s="239">
        <f t="shared" si="0"/>
        <v>47.744180399999998</v>
      </c>
      <c r="E36" s="240">
        <v>3.4000000000000002E-2</v>
      </c>
      <c r="F36" s="239">
        <f t="shared" si="1"/>
        <v>46.424436556615461</v>
      </c>
      <c r="G36" s="240">
        <v>3.4000000000000002E-2</v>
      </c>
      <c r="H36" s="239">
        <f t="shared" si="2"/>
        <v>45.429618338686552</v>
      </c>
      <c r="I36" s="240">
        <v>3.4000000000000002E-2</v>
      </c>
      <c r="J36" s="239">
        <f>J$17*K36</f>
        <v>41.486628931747262</v>
      </c>
      <c r="K36" s="240">
        <v>3.4000000000000002E-2</v>
      </c>
      <c r="L36" s="239">
        <f>L$17*M36</f>
        <v>37.839920176519186</v>
      </c>
      <c r="M36" s="240">
        <v>3.4000000000000002E-2</v>
      </c>
      <c r="N36" s="239">
        <f>N$28*O36</f>
        <v>10.6844737517587</v>
      </c>
      <c r="O36" s="240">
        <v>3.4000000000000002E-2</v>
      </c>
      <c r="P36" s="239">
        <f>P$28*Q36</f>
        <v>3.7380353499701227</v>
      </c>
      <c r="Q36" s="240">
        <v>3.4000000000000002E-2</v>
      </c>
      <c r="R36" s="324"/>
      <c r="S36" s="345"/>
    </row>
    <row r="37" spans="1:19" outlineLevel="1" x14ac:dyDescent="0.4">
      <c r="A37" s="6">
        <f t="shared" si="3"/>
        <v>4.1379310344827579E-3</v>
      </c>
      <c r="B37" s="371" t="s">
        <v>16</v>
      </c>
      <c r="D37" s="239">
        <f t="shared" si="0"/>
        <v>4.2127217999999997</v>
      </c>
      <c r="E37" s="240">
        <v>3.0000000000000001E-3</v>
      </c>
      <c r="F37" s="239">
        <f t="shared" si="1"/>
        <v>4.0962738138190113</v>
      </c>
      <c r="G37" s="240">
        <v>3.0000000000000001E-3</v>
      </c>
      <c r="H37" s="239">
        <f t="shared" si="2"/>
        <v>4.0084957357664601</v>
      </c>
      <c r="I37" s="240">
        <v>3.0000000000000001E-3</v>
      </c>
      <c r="J37" s="239">
        <f>J$17*K37</f>
        <v>3.6605849057424051</v>
      </c>
      <c r="K37" s="240">
        <v>3.0000000000000001E-3</v>
      </c>
      <c r="L37" s="239">
        <f>L$17*M37</f>
        <v>3.3388164861634575</v>
      </c>
      <c r="M37" s="240">
        <v>3.0000000000000001E-3</v>
      </c>
      <c r="N37" s="239">
        <f>N$28*O37</f>
        <v>0.94274768397870889</v>
      </c>
      <c r="O37" s="240">
        <v>3.0000000000000001E-3</v>
      </c>
      <c r="P37" s="239">
        <f>P$28*Q37</f>
        <v>0.32982664852677551</v>
      </c>
      <c r="Q37" s="240">
        <v>3.0000000000000001E-3</v>
      </c>
      <c r="R37" s="324"/>
      <c r="S37" s="345"/>
    </row>
    <row r="38" spans="1:19" outlineLevel="1" x14ac:dyDescent="0.4">
      <c r="B38" s="176"/>
      <c r="C38" t="s">
        <v>57</v>
      </c>
      <c r="F38" s="168"/>
      <c r="G38" s="168"/>
      <c r="H38" s="168"/>
      <c r="I38" s="122"/>
      <c r="J38" s="168"/>
      <c r="K38" s="168"/>
      <c r="L38" s="168">
        <f>L19</f>
        <v>589.94340217149454</v>
      </c>
      <c r="M38" s="168"/>
      <c r="N38" s="239">
        <f>N19</f>
        <v>656.99691197161155</v>
      </c>
      <c r="O38" s="168"/>
      <c r="P38" s="280">
        <f>P19</f>
        <v>601.7343643265915</v>
      </c>
      <c r="R38" s="280">
        <f>R19</f>
        <v>353.92082024846354</v>
      </c>
      <c r="S38" s="238"/>
    </row>
    <row r="39" spans="1:19" outlineLevel="1" x14ac:dyDescent="0.4">
      <c r="B39" s="478" t="s">
        <v>154</v>
      </c>
      <c r="C39" s="479"/>
      <c r="D39" s="398"/>
      <c r="E39" s="398"/>
      <c r="F39" s="252"/>
      <c r="G39" s="252"/>
      <c r="H39" s="252"/>
      <c r="I39" s="252"/>
      <c r="J39" s="252"/>
      <c r="K39" s="252"/>
      <c r="L39" s="252"/>
      <c r="M39" s="252"/>
      <c r="N39" s="239">
        <f t="shared" ref="N39:N48" si="4">N$38*O39</f>
        <v>65.699691197161158</v>
      </c>
      <c r="O39" s="263">
        <v>0.1</v>
      </c>
      <c r="P39" s="239">
        <f t="shared" ref="P39:P47" si="5">P$38*Q39</f>
        <v>90.260154648988717</v>
      </c>
      <c r="Q39" s="240">
        <v>0.15</v>
      </c>
      <c r="R39" s="239">
        <f t="shared" ref="R39:R48" si="6">R$38*S39</f>
        <v>75.031213892674273</v>
      </c>
      <c r="S39" s="257">
        <v>0.21199999999999999</v>
      </c>
    </row>
    <row r="40" spans="1:19" outlineLevel="1" x14ac:dyDescent="0.4">
      <c r="B40" s="478" t="s">
        <v>155</v>
      </c>
      <c r="C40" s="479"/>
      <c r="D40" s="398"/>
      <c r="E40" s="398"/>
      <c r="F40" s="252"/>
      <c r="G40" s="252"/>
      <c r="H40" s="252"/>
      <c r="I40" s="252"/>
      <c r="J40" s="252"/>
      <c r="K40" s="252"/>
      <c r="L40" s="252"/>
      <c r="M40" s="252"/>
      <c r="N40" s="303">
        <f t="shared" si="4"/>
        <v>19.709907359148346</v>
      </c>
      <c r="O40" s="263">
        <v>0.03</v>
      </c>
      <c r="P40" s="239">
        <f t="shared" si="5"/>
        <v>30.086718216329576</v>
      </c>
      <c r="Q40" s="240">
        <v>0.05</v>
      </c>
      <c r="R40" s="239">
        <f t="shared" si="6"/>
        <v>23.004853316150133</v>
      </c>
      <c r="S40" s="257">
        <v>6.5000000000000002E-2</v>
      </c>
    </row>
    <row r="41" spans="1:19" outlineLevel="1" x14ac:dyDescent="0.4">
      <c r="B41" s="372" t="s">
        <v>156</v>
      </c>
      <c r="C41" s="397"/>
      <c r="D41" s="398"/>
      <c r="E41" s="398"/>
      <c r="F41" s="252"/>
      <c r="G41" s="252"/>
      <c r="H41" s="252"/>
      <c r="I41" s="255"/>
      <c r="J41" s="252"/>
      <c r="K41" s="252"/>
      <c r="L41" s="261">
        <f t="shared" ref="L41:L47" si="7">L$38*M41</f>
        <v>266.99335545430779</v>
      </c>
      <c r="M41" s="243">
        <v>0.45257452574525742</v>
      </c>
      <c r="N41" s="239">
        <f t="shared" si="4"/>
        <v>258.6858572909361</v>
      </c>
      <c r="O41" s="263">
        <f t="shared" ref="O41:O47" si="8">M41*87%</f>
        <v>0.39373983739837393</v>
      </c>
      <c r="P41" s="239">
        <f t="shared" si="5"/>
        <v>217.86371564778489</v>
      </c>
      <c r="Q41" s="240">
        <f t="shared" ref="Q41:Q47" si="9">M41*0.8</f>
        <v>0.36205962059620594</v>
      </c>
      <c r="R41" s="239">
        <f t="shared" si="6"/>
        <v>116.79387068199297</v>
      </c>
      <c r="S41" s="257">
        <v>0.33</v>
      </c>
    </row>
    <row r="42" spans="1:19" ht="25.2" outlineLevel="1" x14ac:dyDescent="0.4">
      <c r="B42" s="372" t="s">
        <v>157</v>
      </c>
      <c r="D42" s="398"/>
      <c r="E42" s="398"/>
      <c r="F42" s="252"/>
      <c r="G42" s="252"/>
      <c r="H42" s="252"/>
      <c r="I42" s="255"/>
      <c r="J42" s="252"/>
      <c r="K42" s="252"/>
      <c r="L42" s="261">
        <f t="shared" si="7"/>
        <v>61.552360389166765</v>
      </c>
      <c r="M42" s="243">
        <v>0.10433604336043359</v>
      </c>
      <c r="N42" s="239">
        <f t="shared" si="4"/>
        <v>59.637158716772703</v>
      </c>
      <c r="O42" s="240">
        <f t="shared" si="8"/>
        <v>9.0772357723577224E-2</v>
      </c>
      <c r="P42" s="239">
        <f t="shared" si="5"/>
        <v>50.226066182273755</v>
      </c>
      <c r="Q42" s="240">
        <f t="shared" si="9"/>
        <v>8.3468834688346871E-2</v>
      </c>
      <c r="R42" s="239">
        <f t="shared" si="6"/>
        <v>26.544061518634766</v>
      </c>
      <c r="S42" s="257">
        <v>7.4999999999999997E-2</v>
      </c>
    </row>
    <row r="43" spans="1:19" outlineLevel="1" x14ac:dyDescent="0.4">
      <c r="B43" s="482" t="s">
        <v>158</v>
      </c>
      <c r="C43" s="483"/>
      <c r="D43" s="398"/>
      <c r="E43" s="398"/>
      <c r="F43" s="252"/>
      <c r="G43" s="252"/>
      <c r="H43" s="252"/>
      <c r="I43" s="255"/>
      <c r="J43" s="252"/>
      <c r="K43" s="252"/>
      <c r="L43" s="261">
        <f t="shared" si="7"/>
        <v>31.975252150216505</v>
      </c>
      <c r="M43" s="243">
        <v>5.4200542005420051E-2</v>
      </c>
      <c r="N43" s="239">
        <f t="shared" si="4"/>
        <v>30.980342190531275</v>
      </c>
      <c r="O43" s="240">
        <f t="shared" si="8"/>
        <v>4.7154471544715443E-2</v>
      </c>
      <c r="P43" s="239">
        <f t="shared" si="5"/>
        <v>26.091462951830525</v>
      </c>
      <c r="Q43" s="240">
        <f t="shared" si="9"/>
        <v>4.3360433604336043E-2</v>
      </c>
      <c r="R43" s="239">
        <f t="shared" si="6"/>
        <v>14.156832809938543</v>
      </c>
      <c r="S43" s="257">
        <v>0.04</v>
      </c>
    </row>
    <row r="44" spans="1:19" outlineLevel="1" x14ac:dyDescent="0.4">
      <c r="B44" s="371" t="s">
        <v>159</v>
      </c>
      <c r="D44" s="398"/>
      <c r="E44" s="398"/>
      <c r="F44" s="252"/>
      <c r="G44" s="252"/>
      <c r="H44" s="252"/>
      <c r="I44" s="255"/>
      <c r="J44" s="252"/>
      <c r="K44" s="252"/>
      <c r="L44" s="261">
        <f t="shared" si="7"/>
        <v>65.549266907943831</v>
      </c>
      <c r="M44" s="243">
        <v>0.1111111111111111</v>
      </c>
      <c r="N44" s="239">
        <f t="shared" si="4"/>
        <v>63.509701490589116</v>
      </c>
      <c r="O44" s="240">
        <f t="shared" si="8"/>
        <v>9.6666666666666665E-2</v>
      </c>
      <c r="P44" s="239">
        <f t="shared" si="5"/>
        <v>53.487499051252577</v>
      </c>
      <c r="Q44" s="240">
        <f t="shared" si="9"/>
        <v>8.8888888888888892E-2</v>
      </c>
      <c r="R44" s="239">
        <f t="shared" si="6"/>
        <v>28.313665619877085</v>
      </c>
      <c r="S44" s="257">
        <v>0.08</v>
      </c>
    </row>
    <row r="45" spans="1:19" outlineLevel="1" x14ac:dyDescent="0.4">
      <c r="B45" s="371" t="s">
        <v>160</v>
      </c>
      <c r="D45" s="398"/>
      <c r="E45" s="398"/>
      <c r="F45" s="252"/>
      <c r="G45" s="252"/>
      <c r="H45" s="252"/>
      <c r="I45" s="255"/>
      <c r="J45" s="252"/>
      <c r="K45" s="252"/>
      <c r="L45" s="261">
        <f t="shared" si="7"/>
        <v>134.29605903090933</v>
      </c>
      <c r="M45" s="243">
        <v>0.22764227642276422</v>
      </c>
      <c r="N45" s="239">
        <f t="shared" si="4"/>
        <v>130.11743720023134</v>
      </c>
      <c r="O45" s="240">
        <f t="shared" si="8"/>
        <v>0.19804878048780486</v>
      </c>
      <c r="P45" s="239">
        <f t="shared" si="5"/>
        <v>109.58414439768822</v>
      </c>
      <c r="Q45" s="240">
        <f t="shared" si="9"/>
        <v>0.1821138211382114</v>
      </c>
      <c r="R45" s="239">
        <f t="shared" si="6"/>
        <v>58.396935340996485</v>
      </c>
      <c r="S45" s="257">
        <v>0.16500000000000001</v>
      </c>
    </row>
    <row r="46" spans="1:19" outlineLevel="1" x14ac:dyDescent="0.4">
      <c r="B46" s="371" t="s">
        <v>161</v>
      </c>
      <c r="D46" s="398"/>
      <c r="E46" s="398"/>
      <c r="F46" s="252"/>
      <c r="G46" s="252"/>
      <c r="H46" s="252"/>
      <c r="I46" s="252"/>
      <c r="J46" s="252"/>
      <c r="K46" s="252"/>
      <c r="L46" s="261">
        <f t="shared" si="7"/>
        <v>27.178964327684028</v>
      </c>
      <c r="M46" s="243">
        <v>4.607046070460704E-2</v>
      </c>
      <c r="N46" s="239">
        <f t="shared" si="4"/>
        <v>26.333290861951582</v>
      </c>
      <c r="O46" s="240">
        <f t="shared" si="8"/>
        <v>4.0081300813008126E-2</v>
      </c>
      <c r="P46" s="239">
        <f t="shared" si="5"/>
        <v>22.177743509055944</v>
      </c>
      <c r="Q46" s="240">
        <f t="shared" si="9"/>
        <v>3.6856368563685633E-2</v>
      </c>
      <c r="R46" s="239">
        <f t="shared" si="6"/>
        <v>10.97154542770237</v>
      </c>
      <c r="S46" s="257">
        <v>3.1E-2</v>
      </c>
    </row>
    <row r="47" spans="1:19" ht="15.6" outlineLevel="1" thickBot="1" x14ac:dyDescent="0.45">
      <c r="B47" s="244" t="s">
        <v>16</v>
      </c>
      <c r="C47" s="207"/>
      <c r="D47" s="253"/>
      <c r="E47" s="253"/>
      <c r="F47" s="254"/>
      <c r="G47" s="254"/>
      <c r="H47" s="254"/>
      <c r="I47" s="254"/>
      <c r="J47" s="254"/>
      <c r="K47" s="254"/>
      <c r="L47" s="262">
        <f t="shared" si="7"/>
        <v>2.3981439112662377</v>
      </c>
      <c r="M47" s="245">
        <v>4.0650406504065036E-3</v>
      </c>
      <c r="N47" s="265">
        <f t="shared" si="4"/>
        <v>2.3235256642898454</v>
      </c>
      <c r="O47" s="264">
        <f t="shared" si="8"/>
        <v>3.5365853658536582E-3</v>
      </c>
      <c r="P47" s="265">
        <f t="shared" si="5"/>
        <v>1.9568597213872894</v>
      </c>
      <c r="Q47" s="264">
        <f t="shared" si="9"/>
        <v>3.2520325203252032E-3</v>
      </c>
      <c r="R47" s="265">
        <f t="shared" si="6"/>
        <v>1.0617624607453906</v>
      </c>
      <c r="S47" s="266">
        <v>3.0000000000000001E-3</v>
      </c>
    </row>
    <row r="48" spans="1:19" x14ac:dyDescent="0.4">
      <c r="B48" s="236"/>
      <c r="N48" s="4">
        <f t="shared" si="4"/>
        <v>656.99691197161144</v>
      </c>
      <c r="O48" s="6">
        <f>SUM(O39:O47)</f>
        <v>0.99999999999999989</v>
      </c>
      <c r="R48" s="4">
        <f t="shared" si="6"/>
        <v>354.27474106871199</v>
      </c>
      <c r="S48" s="6">
        <f>SUM(S39:S47)</f>
        <v>1.0009999999999999</v>
      </c>
    </row>
    <row r="49" spans="2:19" ht="15.6" thickBot="1" x14ac:dyDescent="0.45">
      <c r="B49" s="236"/>
    </row>
    <row r="50" spans="2:19" x14ac:dyDescent="0.4">
      <c r="B50" s="474" t="s">
        <v>29</v>
      </c>
      <c r="C50" s="475"/>
      <c r="D50" s="466">
        <v>22</v>
      </c>
      <c r="E50" s="228"/>
      <c r="F50" s="466">
        <v>23</v>
      </c>
      <c r="G50" s="192"/>
      <c r="H50" s="466">
        <v>24</v>
      </c>
      <c r="I50" s="199"/>
      <c r="J50" s="466">
        <v>25</v>
      </c>
      <c r="K50" s="199"/>
      <c r="L50" s="466">
        <v>26</v>
      </c>
      <c r="M50" s="199"/>
      <c r="N50" s="466">
        <v>27</v>
      </c>
      <c r="O50" s="199"/>
      <c r="P50" s="466">
        <v>28</v>
      </c>
      <c r="Q50" s="199"/>
      <c r="R50" s="466">
        <v>29</v>
      </c>
      <c r="S50" s="201"/>
    </row>
    <row r="51" spans="2:19" ht="15.6" thickBot="1" x14ac:dyDescent="0.45">
      <c r="B51" s="476"/>
      <c r="C51" s="477"/>
      <c r="D51" s="467"/>
      <c r="E51" s="193" t="s">
        <v>151</v>
      </c>
      <c r="F51" s="467"/>
      <c r="G51" s="193" t="s">
        <v>151</v>
      </c>
      <c r="H51" s="467"/>
      <c r="I51" s="193" t="s">
        <v>151</v>
      </c>
      <c r="J51" s="467"/>
      <c r="K51" s="193" t="s">
        <v>151</v>
      </c>
      <c r="L51" s="467"/>
      <c r="M51" s="193" t="s">
        <v>151</v>
      </c>
      <c r="N51" s="469"/>
      <c r="O51" s="193" t="s">
        <v>151</v>
      </c>
      <c r="P51" s="469"/>
      <c r="Q51" s="193" t="s">
        <v>151</v>
      </c>
      <c r="R51" s="467"/>
      <c r="S51" s="235" t="s">
        <v>151</v>
      </c>
    </row>
    <row r="52" spans="2:19" x14ac:dyDescent="0.4">
      <c r="B52" s="216" t="s">
        <v>144</v>
      </c>
      <c r="C52" s="229"/>
      <c r="D52" s="208">
        <f>D4-D17</f>
        <v>601.81740000000013</v>
      </c>
      <c r="E52" s="209">
        <v>0.3</v>
      </c>
      <c r="F52" s="208">
        <f>F4-F17</f>
        <v>642.55275510886418</v>
      </c>
      <c r="G52" s="209">
        <f>1-G17</f>
        <v>0.31999999999999995</v>
      </c>
      <c r="H52" s="208">
        <f t="shared" ref="H52:H58" si="10">H4-H17</f>
        <v>628.78364482611141</v>
      </c>
      <c r="I52" s="209">
        <f t="shared" ref="I52:I58" si="11">1-I17</f>
        <v>0.31999999999999995</v>
      </c>
      <c r="J52" s="208">
        <f>J4-J17</f>
        <v>657.02806000504688</v>
      </c>
      <c r="K52" s="209">
        <f>1-K17</f>
        <v>0.35</v>
      </c>
      <c r="L52" s="208">
        <f>L4-L17</f>
        <v>682.12379824844834</v>
      </c>
      <c r="M52" s="209">
        <f>1-M17</f>
        <v>0.38</v>
      </c>
      <c r="N52" s="210">
        <f>N4-N17</f>
        <v>647.49742664300982</v>
      </c>
      <c r="O52" s="209">
        <f>1-O17</f>
        <v>0.4</v>
      </c>
      <c r="P52" s="210">
        <f>P4-P17</f>
        <v>536.87882388761216</v>
      </c>
      <c r="Q52" s="209">
        <f>1-Q17</f>
        <v>0.43000000000000005</v>
      </c>
      <c r="R52" s="208">
        <f>R4-R17</f>
        <v>530.8812303726952</v>
      </c>
      <c r="S52" s="212">
        <f>1-S17</f>
        <v>0.6</v>
      </c>
    </row>
    <row r="53" spans="2:19" x14ac:dyDescent="0.4">
      <c r="B53" s="217"/>
      <c r="C53" s="219" t="s">
        <v>3</v>
      </c>
      <c r="D53" s="213">
        <f>D52</f>
        <v>601.81740000000013</v>
      </c>
      <c r="E53" s="214">
        <v>0.3</v>
      </c>
      <c r="F53" s="213">
        <f>F52</f>
        <v>642.55275510886418</v>
      </c>
      <c r="G53" s="214">
        <f>G52</f>
        <v>0.31999999999999995</v>
      </c>
      <c r="H53" s="213">
        <f t="shared" si="10"/>
        <v>515.53620032203139</v>
      </c>
      <c r="I53" s="214">
        <f t="shared" si="11"/>
        <v>0.27841216063923491</v>
      </c>
      <c r="J53" s="213">
        <f>J5-J18</f>
        <v>300.44460571716968</v>
      </c>
      <c r="K53" s="214">
        <f>1-K18</f>
        <v>0.19757778950075988</v>
      </c>
      <c r="L53" s="213">
        <f>L5*M53</f>
        <v>224.14089709271059</v>
      </c>
      <c r="M53" s="214">
        <f>1-M18</f>
        <v>0.30000000000000004</v>
      </c>
      <c r="N53" s="215">
        <f>N5-N18</f>
        <v>314.24922799290295</v>
      </c>
      <c r="O53" s="214">
        <f>1-O18</f>
        <v>0.5</v>
      </c>
      <c r="P53" s="215">
        <f>P5-P18</f>
        <v>164.91332426338772</v>
      </c>
      <c r="Q53" s="214">
        <f>1-Q18</f>
        <v>0.6</v>
      </c>
      <c r="R53" s="328"/>
      <c r="S53" s="327"/>
    </row>
    <row r="54" spans="2:19" x14ac:dyDescent="0.4">
      <c r="B54" s="217"/>
      <c r="C54" s="222" t="s">
        <v>57</v>
      </c>
      <c r="D54" s="331"/>
      <c r="E54" s="332"/>
      <c r="F54" s="331"/>
      <c r="G54" s="332"/>
      <c r="H54" s="188">
        <f t="shared" si="10"/>
        <v>113.24744450408001</v>
      </c>
      <c r="I54" s="198">
        <f t="shared" si="11"/>
        <v>1</v>
      </c>
      <c r="J54" s="188">
        <f>J6-J19</f>
        <v>356.58345428787726</v>
      </c>
      <c r="K54" s="198">
        <f>1-K19</f>
        <v>1</v>
      </c>
      <c r="L54" s="188">
        <f>L52-L53</f>
        <v>457.98290115573775</v>
      </c>
      <c r="M54" s="198">
        <f>1-M19</f>
        <v>0.43703731808392732</v>
      </c>
      <c r="N54" s="186">
        <f>N6-N19</f>
        <v>333.24819865010693</v>
      </c>
      <c r="O54" s="198">
        <f>1-O19</f>
        <v>0.33653102153756598</v>
      </c>
      <c r="P54" s="186">
        <f>P6-P19</f>
        <v>371.96549962422444</v>
      </c>
      <c r="Q54" s="198">
        <f>1-Q19</f>
        <v>0.38201247981586794</v>
      </c>
      <c r="R54" s="188">
        <f>R6-R19</f>
        <v>530.8812303726952</v>
      </c>
      <c r="S54" s="204">
        <f>1-S19</f>
        <v>0.6</v>
      </c>
    </row>
    <row r="55" spans="2:19" x14ac:dyDescent="0.4">
      <c r="B55" s="224" t="s">
        <v>150</v>
      </c>
      <c r="C55" s="230"/>
      <c r="D55" s="189">
        <f>D7-D20</f>
        <v>25</v>
      </c>
      <c r="E55" s="195">
        <f>1-E20</f>
        <v>0.5</v>
      </c>
      <c r="F55" s="189">
        <f>F7-F20</f>
        <v>78</v>
      </c>
      <c r="G55" s="195">
        <f>1-G20</f>
        <v>0.52</v>
      </c>
      <c r="H55" s="189">
        <f t="shared" si="10"/>
        <v>165</v>
      </c>
      <c r="I55" s="194">
        <f t="shared" si="11"/>
        <v>0.55000000000000004</v>
      </c>
      <c r="J55" s="189">
        <f>J56+J57</f>
        <v>285</v>
      </c>
      <c r="K55" s="194">
        <f>J55/J7</f>
        <v>0.56999999999999995</v>
      </c>
      <c r="L55" s="189">
        <f>L7-L20</f>
        <v>420</v>
      </c>
      <c r="M55" s="194">
        <f>1-M20</f>
        <v>0.6</v>
      </c>
      <c r="N55" s="180">
        <f>N7-N20</f>
        <v>620</v>
      </c>
      <c r="O55" s="194">
        <f>1-O20</f>
        <v>0.62</v>
      </c>
      <c r="P55" s="180">
        <f>P7-P20</f>
        <v>975</v>
      </c>
      <c r="Q55" s="194">
        <f>1-Q20</f>
        <v>0.65</v>
      </c>
      <c r="R55" s="189">
        <f>R7-R20</f>
        <v>1400</v>
      </c>
      <c r="S55" s="203">
        <f>1-S20</f>
        <v>0.7</v>
      </c>
    </row>
    <row r="56" spans="2:19" x14ac:dyDescent="0.4">
      <c r="B56" s="217"/>
      <c r="C56" s="219" t="s">
        <v>3</v>
      </c>
      <c r="D56" s="213">
        <f>D55</f>
        <v>25</v>
      </c>
      <c r="E56" s="214">
        <f>E55</f>
        <v>0.5</v>
      </c>
      <c r="F56" s="213">
        <f>F55</f>
        <v>78</v>
      </c>
      <c r="G56" s="214">
        <f>G55</f>
        <v>0.52</v>
      </c>
      <c r="H56" s="213">
        <f t="shared" si="10"/>
        <v>51.752555495920006</v>
      </c>
      <c r="I56" s="214">
        <f t="shared" si="11"/>
        <v>0.2771183256822991</v>
      </c>
      <c r="J56" s="213">
        <f>J8*K56</f>
        <v>81.747431055909971</v>
      </c>
      <c r="K56" s="214">
        <f>1-K21</f>
        <v>0.57000000000000006</v>
      </c>
      <c r="L56" s="213">
        <f>L8*M56</f>
        <v>150</v>
      </c>
      <c r="M56" s="214">
        <v>0.6</v>
      </c>
      <c r="N56" s="330"/>
      <c r="O56" s="329"/>
      <c r="P56" s="330"/>
      <c r="Q56" s="329"/>
      <c r="R56" s="328"/>
      <c r="S56" s="327"/>
    </row>
    <row r="57" spans="2:19" ht="15.6" thickBot="1" x14ac:dyDescent="0.45">
      <c r="B57" s="226"/>
      <c r="C57" s="227" t="s">
        <v>57</v>
      </c>
      <c r="D57" s="331"/>
      <c r="E57" s="332"/>
      <c r="F57" s="331"/>
      <c r="G57" s="332"/>
      <c r="H57" s="188">
        <f t="shared" si="10"/>
        <v>113.24744450408001</v>
      </c>
      <c r="I57" s="194">
        <f t="shared" si="11"/>
        <v>1</v>
      </c>
      <c r="J57" s="188">
        <f>J9*K57</f>
        <v>203.25256894409006</v>
      </c>
      <c r="K57" s="194">
        <f>1-K22</f>
        <v>0.57000000000000006</v>
      </c>
      <c r="L57" s="188">
        <f>L9-L22</f>
        <v>270</v>
      </c>
      <c r="M57" s="194">
        <f>1-M22</f>
        <v>0.6</v>
      </c>
      <c r="N57" s="186">
        <f>N9-N22</f>
        <v>620</v>
      </c>
      <c r="O57" s="194">
        <f>1-O22</f>
        <v>0.62</v>
      </c>
      <c r="P57" s="186">
        <f>P9-P22</f>
        <v>975</v>
      </c>
      <c r="Q57" s="194">
        <f>1-Q22</f>
        <v>0.65</v>
      </c>
      <c r="R57" s="188">
        <f>R9-R22</f>
        <v>1400</v>
      </c>
      <c r="S57" s="203">
        <f>1-S22</f>
        <v>0.7</v>
      </c>
    </row>
    <row r="58" spans="2:19" ht="16.2" thickTop="1" thickBot="1" x14ac:dyDescent="0.45">
      <c r="B58" s="218" t="s">
        <v>20</v>
      </c>
      <c r="C58" s="223"/>
      <c r="D58" s="231">
        <f>D52+D55</f>
        <v>626.81740000000013</v>
      </c>
      <c r="E58" s="232">
        <f>D58/$D$10</f>
        <v>0.30486367602470366</v>
      </c>
      <c r="F58" s="231">
        <f>F52+F55</f>
        <v>720.55275510886418</v>
      </c>
      <c r="G58" s="232">
        <f>F58/F10</f>
        <v>0.33390190673916942</v>
      </c>
      <c r="H58" s="231">
        <f t="shared" si="10"/>
        <v>793.78364482611323</v>
      </c>
      <c r="I58" s="232">
        <f t="shared" si="11"/>
        <v>0.35046426358765004</v>
      </c>
      <c r="J58" s="231">
        <f>J10-J23</f>
        <v>942.02806000504688</v>
      </c>
      <c r="K58" s="232">
        <f>1-K23</f>
        <v>0.39627247787744857</v>
      </c>
      <c r="L58" s="231">
        <f>L10-L23</f>
        <v>1102.1237982484483</v>
      </c>
      <c r="M58" s="232">
        <f>1-M23</f>
        <v>0.44172189761306391</v>
      </c>
      <c r="N58" s="233">
        <f>N10-N23</f>
        <v>1267.4974266430099</v>
      </c>
      <c r="O58" s="232">
        <f>1-O23</f>
        <v>0.48400975292323156</v>
      </c>
      <c r="P58" s="233">
        <f>P10-P23</f>
        <v>1511.8788238876123</v>
      </c>
      <c r="Q58" s="232">
        <f>1-Q23</f>
        <v>0.55006307003051425</v>
      </c>
      <c r="R58" s="231">
        <f>R10-R23</f>
        <v>1930.8812303726952</v>
      </c>
      <c r="S58" s="234">
        <f>1-S23</f>
        <v>0.66932884700249562</v>
      </c>
    </row>
    <row r="60" spans="2:19" x14ac:dyDescent="0.4">
      <c r="D60" s="4"/>
      <c r="P60" s="4"/>
    </row>
    <row r="61" spans="2:19" x14ac:dyDescent="0.4">
      <c r="B61" s="29"/>
      <c r="C61" s="335" t="s">
        <v>3</v>
      </c>
      <c r="D61" s="293">
        <f>D52*E61</f>
        <v>601.81740000000013</v>
      </c>
      <c r="E61" s="294">
        <v>1</v>
      </c>
      <c r="F61" s="293">
        <f>F52*G61</f>
        <v>642.55275510886418</v>
      </c>
      <c r="G61" s="294">
        <v>1</v>
      </c>
      <c r="H61" s="293">
        <f>H52-H68</f>
        <v>515.53620032203139</v>
      </c>
      <c r="I61" s="294">
        <v>1</v>
      </c>
      <c r="J61" s="293">
        <f>J52-J68</f>
        <v>300.44460571716962</v>
      </c>
      <c r="K61" s="294">
        <v>1</v>
      </c>
      <c r="L61" s="293">
        <f>L53</f>
        <v>224.14089709271059</v>
      </c>
      <c r="M61" s="294">
        <v>1</v>
      </c>
      <c r="N61" s="293">
        <f>N53</f>
        <v>314.24922799290295</v>
      </c>
      <c r="O61" s="294">
        <v>1</v>
      </c>
      <c r="P61" s="293">
        <f>P53</f>
        <v>164.91332426338772</v>
      </c>
      <c r="Q61" s="294">
        <v>1</v>
      </c>
      <c r="R61" s="336"/>
      <c r="S61" s="337"/>
    </row>
    <row r="62" spans="2:19" x14ac:dyDescent="0.4">
      <c r="B62" s="33" t="s">
        <v>163</v>
      </c>
      <c r="C62" s="343"/>
      <c r="D62" s="168">
        <f t="shared" ref="D62:D67" si="12">E62*$D$52</f>
        <v>352.92641975187382</v>
      </c>
      <c r="E62" s="122">
        <v>0.58643438981969243</v>
      </c>
      <c r="F62" s="168">
        <f t="shared" ref="F62:F67" si="13">G62*F$52</f>
        <v>376.81503286922901</v>
      </c>
      <c r="G62" s="122">
        <v>0.58643438981969243</v>
      </c>
      <c r="H62" s="168">
        <f>H61*I$62</f>
        <v>302.32815706581317</v>
      </c>
      <c r="I62" s="122">
        <v>0.58643438981969243</v>
      </c>
      <c r="J62" s="168">
        <f>J61*K$62</f>
        <v>176.19104902836645</v>
      </c>
      <c r="K62" s="122">
        <v>0.58643438981969243</v>
      </c>
      <c r="L62" s="168">
        <f>L61*M$62</f>
        <v>131.44393022020222</v>
      </c>
      <c r="M62" s="122">
        <v>0.58643438981969243</v>
      </c>
      <c r="N62" s="168">
        <f>N61*O$62</f>
        <v>184.28655426932744</v>
      </c>
      <c r="O62" s="122">
        <v>0.58643438981969243</v>
      </c>
      <c r="P62" s="168">
        <f>P61*Q$62</f>
        <v>96.710844687536863</v>
      </c>
      <c r="Q62" s="122">
        <v>0.58643438981969243</v>
      </c>
      <c r="R62" s="334"/>
      <c r="S62" s="338"/>
    </row>
    <row r="63" spans="2:19" x14ac:dyDescent="0.4">
      <c r="B63" s="33" t="s">
        <v>164</v>
      </c>
      <c r="C63" s="343"/>
      <c r="D63" s="168">
        <f t="shared" si="12"/>
        <v>31.101253633991924</v>
      </c>
      <c r="E63" s="122">
        <v>5.1678887373465633E-2</v>
      </c>
      <c r="F63" s="168">
        <f t="shared" si="13"/>
        <v>33.206411462781034</v>
      </c>
      <c r="G63" s="122">
        <v>5.1678887373465633E-2</v>
      </c>
      <c r="H63" s="168">
        <f>H$61*I63</f>
        <v>26.642337233386677</v>
      </c>
      <c r="I63" s="122">
        <v>5.1678887373465633E-2</v>
      </c>
      <c r="J63" s="168">
        <f>J$61*K63</f>
        <v>15.526642940822898</v>
      </c>
      <c r="K63" s="122">
        <v>5.1678887373465633E-2</v>
      </c>
      <c r="L63" s="168">
        <f>L$61*M63</f>
        <v>11.583352176641741</v>
      </c>
      <c r="M63" s="122">
        <v>5.1678887373465633E-2</v>
      </c>
      <c r="N63" s="168">
        <f>N$61*O63</f>
        <v>16.240050460643754</v>
      </c>
      <c r="O63" s="122">
        <v>5.1678887373465633E-2</v>
      </c>
      <c r="P63" s="168">
        <f>P$61*Q63</f>
        <v>8.522537110991431</v>
      </c>
      <c r="Q63" s="122">
        <v>5.1678887373465633E-2</v>
      </c>
      <c r="R63" s="334"/>
      <c r="S63" s="338"/>
    </row>
    <row r="64" spans="2:19" x14ac:dyDescent="0.4">
      <c r="B64" s="33" t="s">
        <v>165</v>
      </c>
      <c r="C64" s="343"/>
      <c r="D64" s="168">
        <f t="shared" si="12"/>
        <v>100.70043930323205</v>
      </c>
      <c r="E64" s="122">
        <v>0.16732723132171323</v>
      </c>
      <c r="F64" s="168">
        <f t="shared" si="13"/>
        <v>107.51657349050507</v>
      </c>
      <c r="G64" s="122">
        <v>0.16732723132171323</v>
      </c>
      <c r="H64" s="168">
        <f>H$61*I64</f>
        <v>86.263245046001643</v>
      </c>
      <c r="I64" s="122">
        <v>0.16732723132171323</v>
      </c>
      <c r="J64" s="168">
        <f>J$61*K64</f>
        <v>50.272564040197764</v>
      </c>
      <c r="K64" s="122">
        <v>0.16732723132171323</v>
      </c>
      <c r="L64" s="168">
        <f>L$61*M64</f>
        <v>37.504875736488309</v>
      </c>
      <c r="M64" s="122">
        <v>0.16732723132171323</v>
      </c>
      <c r="N64" s="168">
        <f>N$61*O64</f>
        <v>52.582453265038275</v>
      </c>
      <c r="O64" s="122">
        <v>0.16732723132171323</v>
      </c>
      <c r="P64" s="168">
        <f>P$61*Q64</f>
        <v>27.594489957052581</v>
      </c>
      <c r="Q64" s="122">
        <v>0.16732723132171323</v>
      </c>
      <c r="R64" s="334"/>
      <c r="S64" s="338"/>
    </row>
    <row r="65" spans="2:19" x14ac:dyDescent="0.4">
      <c r="B65" s="33" t="s">
        <v>166</v>
      </c>
      <c r="C65" s="343"/>
      <c r="D65" s="168">
        <f t="shared" si="12"/>
        <v>77.091875930629783</v>
      </c>
      <c r="E65" s="122">
        <v>0.12809844968030132</v>
      </c>
      <c r="F65" s="168">
        <f t="shared" si="13"/>
        <v>82.310011767251808</v>
      </c>
      <c r="G65" s="122">
        <v>0.12809844968030132</v>
      </c>
      <c r="H65" s="168">
        <f>H$61*I65</f>
        <v>66.039388015325486</v>
      </c>
      <c r="I65" s="122">
        <v>0.12809844968030132</v>
      </c>
      <c r="J65" s="168">
        <f>J$61*K65</f>
        <v>38.486488207178823</v>
      </c>
      <c r="K65" s="122">
        <v>0.12809844968030132</v>
      </c>
      <c r="L65" s="168">
        <f>L$61*M65</f>
        <v>28.712101427528182</v>
      </c>
      <c r="M65" s="122">
        <v>0.12809844968030132</v>
      </c>
      <c r="N65" s="168">
        <f>N$61*O65</f>
        <v>40.254838919122413</v>
      </c>
      <c r="O65" s="122">
        <v>0.12809844968030132</v>
      </c>
      <c r="P65" s="168">
        <f>P$61*Q65</f>
        <v>21.125141169764788</v>
      </c>
      <c r="Q65" s="122">
        <v>0.12809844968030132</v>
      </c>
      <c r="R65" s="334"/>
      <c r="S65" s="338"/>
    </row>
    <row r="66" spans="2:19" x14ac:dyDescent="0.4">
      <c r="B66" s="33" t="s">
        <v>161</v>
      </c>
      <c r="C66" s="343"/>
      <c r="D66" s="168">
        <f t="shared" si="12"/>
        <v>32.100906530674813</v>
      </c>
      <c r="E66" s="122">
        <v>5.3339944193495914E-2</v>
      </c>
      <c r="F66" s="168">
        <f t="shared" si="13"/>
        <v>34.273728098883865</v>
      </c>
      <c r="G66" s="122">
        <v>5.3339944193495914E-2</v>
      </c>
      <c r="H66" s="168">
        <f>H$61*I66</f>
        <v>27.498672154904085</v>
      </c>
      <c r="I66" s="122">
        <v>5.3339944193495914E-2</v>
      </c>
      <c r="J66" s="168">
        <f>J$61*K66</f>
        <v>16.025698502190711</v>
      </c>
      <c r="K66" s="122">
        <v>5.3339944193495914E-2</v>
      </c>
      <c r="L66" s="168">
        <f>L$61*M66</f>
        <v>11.955662942405294</v>
      </c>
      <c r="M66" s="122">
        <v>5.3339944193495914E-2</v>
      </c>
      <c r="N66" s="168">
        <f>N$61*O66</f>
        <v>16.762036283990618</v>
      </c>
      <c r="O66" s="122">
        <v>5.3339944193495914E-2</v>
      </c>
      <c r="P66" s="168">
        <f>P$61*Q66</f>
        <v>8.7964675129729972</v>
      </c>
      <c r="Q66" s="122">
        <v>5.3339944193495914E-2</v>
      </c>
      <c r="R66" s="334"/>
      <c r="S66" s="338"/>
    </row>
    <row r="67" spans="2:19" ht="15.6" thickBot="1" x14ac:dyDescent="0.45">
      <c r="B67" s="33" t="s">
        <v>16</v>
      </c>
      <c r="C67" s="343"/>
      <c r="D67" s="168">
        <f t="shared" si="12"/>
        <v>7.8965048495977195</v>
      </c>
      <c r="E67" s="122">
        <v>1.3121097611331473E-2</v>
      </c>
      <c r="F67" s="168">
        <f t="shared" si="13"/>
        <v>8.4309974202133748</v>
      </c>
      <c r="G67" s="122">
        <v>1.3121097611331473E-2</v>
      </c>
      <c r="H67" s="168">
        <f>H$61*I67</f>
        <v>6.7644008066003103</v>
      </c>
      <c r="I67" s="122">
        <v>1.3121097611331473E-2</v>
      </c>
      <c r="J67" s="168">
        <f>J$61*K67</f>
        <v>3.9421629984129805</v>
      </c>
      <c r="K67" s="122">
        <v>1.3121097611331473E-2</v>
      </c>
      <c r="L67" s="168">
        <f>L$61*M67</f>
        <v>2.9409745894448585</v>
      </c>
      <c r="M67" s="122">
        <v>1.3121097611331473E-2</v>
      </c>
      <c r="N67" s="168">
        <f>N$61*O67</f>
        <v>4.1232947947804384</v>
      </c>
      <c r="O67" s="122">
        <v>1.3121097611331473E-2</v>
      </c>
      <c r="P67" s="168">
        <f>P$61*Q67</f>
        <v>2.1638438250690695</v>
      </c>
      <c r="Q67" s="122">
        <v>1.3121097611331473E-2</v>
      </c>
      <c r="R67" s="334"/>
      <c r="S67" s="338"/>
    </row>
    <row r="68" spans="2:19" x14ac:dyDescent="0.4">
      <c r="B68" s="339"/>
      <c r="C68" s="246" t="s">
        <v>57</v>
      </c>
      <c r="D68" s="249"/>
      <c r="E68" s="249"/>
      <c r="F68" s="250"/>
      <c r="G68" s="250"/>
      <c r="H68" s="248">
        <f>H6</f>
        <v>113.24744450408001</v>
      </c>
      <c r="I68" s="247">
        <v>1</v>
      </c>
      <c r="J68" s="248">
        <f>J6</f>
        <v>356.58345428787726</v>
      </c>
      <c r="K68" s="247">
        <v>1</v>
      </c>
      <c r="L68" s="248">
        <f>L54</f>
        <v>457.98290115573775</v>
      </c>
      <c r="M68" s="247">
        <v>1</v>
      </c>
      <c r="N68" s="248">
        <f>N54</f>
        <v>333.24819865010693</v>
      </c>
      <c r="O68" s="247">
        <v>1</v>
      </c>
      <c r="P68" s="248">
        <f>P54</f>
        <v>371.96549962422444</v>
      </c>
      <c r="Q68" s="247">
        <v>1</v>
      </c>
      <c r="R68" s="248">
        <f>R54</f>
        <v>530.8812303726952</v>
      </c>
      <c r="S68" s="340">
        <v>1</v>
      </c>
    </row>
    <row r="69" spans="2:19" x14ac:dyDescent="0.4">
      <c r="B69" s="33" t="s">
        <v>163</v>
      </c>
      <c r="C69" s="343"/>
      <c r="D69" s="398"/>
      <c r="E69" s="398"/>
      <c r="F69" s="252"/>
      <c r="G69" s="252"/>
      <c r="H69" s="168">
        <f t="shared" ref="H69:H74" si="14">H$68*I69</f>
        <v>66.412196016389643</v>
      </c>
      <c r="I69" s="122">
        <v>0.58643438981969243</v>
      </c>
      <c r="J69" s="168">
        <f t="shared" ref="J69:J74" si="15">J$68*K69</f>
        <v>209.11280043510948</v>
      </c>
      <c r="K69" s="122">
        <v>0.58643438981969243</v>
      </c>
      <c r="L69" s="168">
        <f t="shared" ref="L69:L74" si="16">L$68*M69</f>
        <v>268.57692318711759</v>
      </c>
      <c r="M69" s="122">
        <v>0.58643438981969243</v>
      </c>
      <c r="N69" s="168">
        <f t="shared" ref="N69:N74" si="17">N$68*O69</f>
        <v>195.42820403388711</v>
      </c>
      <c r="O69" s="122">
        <v>0.58643438981969243</v>
      </c>
      <c r="P69" s="168">
        <f t="shared" ref="P69:P74" si="18">P$68*Q69</f>
        <v>218.1333608061091</v>
      </c>
      <c r="Q69" s="122">
        <v>0.58643438981969243</v>
      </c>
      <c r="R69" s="168">
        <f t="shared" ref="R69:R74" si="19">R$68*S69</f>
        <v>311.32701040033908</v>
      </c>
      <c r="S69" s="68">
        <v>0.58643438981969243</v>
      </c>
    </row>
    <row r="70" spans="2:19" x14ac:dyDescent="0.4">
      <c r="B70" s="33" t="s">
        <v>164</v>
      </c>
      <c r="C70" s="343"/>
      <c r="D70" s="398"/>
      <c r="E70" s="398"/>
      <c r="F70" s="252"/>
      <c r="G70" s="252"/>
      <c r="H70" s="168">
        <f t="shared" si="14"/>
        <v>5.8525019298591507</v>
      </c>
      <c r="I70" s="122">
        <v>5.1678887373465633E-2</v>
      </c>
      <c r="J70" s="168">
        <f t="shared" si="15"/>
        <v>18.427836173384541</v>
      </c>
      <c r="K70" s="122">
        <v>5.1678887373465633E-2</v>
      </c>
      <c r="L70" s="168">
        <f t="shared" si="16"/>
        <v>23.668046767800416</v>
      </c>
      <c r="M70" s="122">
        <v>5.1678887373465633E-2</v>
      </c>
      <c r="N70" s="168">
        <f t="shared" si="17"/>
        <v>17.221896125449177</v>
      </c>
      <c r="O70" s="122">
        <v>5.1678887373465633E-2</v>
      </c>
      <c r="P70" s="168">
        <f t="shared" si="18"/>
        <v>19.222763161895166</v>
      </c>
      <c r="Q70" s="122">
        <v>5.1678887373465633E-2</v>
      </c>
      <c r="R70" s="168">
        <f t="shared" si="19"/>
        <v>27.435351313117376</v>
      </c>
      <c r="S70" s="68">
        <v>5.1678887373465633E-2</v>
      </c>
    </row>
    <row r="71" spans="2:19" x14ac:dyDescent="0.4">
      <c r="B71" s="33" t="s">
        <v>165</v>
      </c>
      <c r="C71" s="343"/>
      <c r="D71" s="398"/>
      <c r="E71" s="398"/>
      <c r="F71" s="252"/>
      <c r="G71" s="252"/>
      <c r="H71" s="168">
        <f t="shared" si="14"/>
        <v>18.949381343127076</v>
      </c>
      <c r="I71" s="122">
        <v>0.16732723132171323</v>
      </c>
      <c r="J71" s="168">
        <f t="shared" si="15"/>
        <v>59.666122141123196</v>
      </c>
      <c r="K71" s="122">
        <v>0.16732723132171323</v>
      </c>
      <c r="L71" s="168">
        <f t="shared" si="16"/>
        <v>76.633010843075454</v>
      </c>
      <c r="M71" s="122">
        <v>0.16732723132171323</v>
      </c>
      <c r="N71" s="168">
        <f t="shared" si="17"/>
        <v>55.761498423070684</v>
      </c>
      <c r="O71" s="122">
        <v>0.16732723132171323</v>
      </c>
      <c r="P71" s="168">
        <f t="shared" si="18"/>
        <v>62.239957199319235</v>
      </c>
      <c r="Q71" s="122">
        <v>0.16732723132171323</v>
      </c>
      <c r="R71" s="168">
        <f t="shared" si="19"/>
        <v>88.830886438927706</v>
      </c>
      <c r="S71" s="68">
        <v>0.16732723132171323</v>
      </c>
    </row>
    <row r="72" spans="2:19" x14ac:dyDescent="0.4">
      <c r="B72" s="33" t="s">
        <v>166</v>
      </c>
      <c r="C72" s="343"/>
      <c r="D72" s="398"/>
      <c r="E72" s="398"/>
      <c r="F72" s="252"/>
      <c r="G72" s="252"/>
      <c r="H72" s="168">
        <f t="shared" si="14"/>
        <v>14.506822071228608</v>
      </c>
      <c r="I72" s="122">
        <v>0.12809844968030132</v>
      </c>
      <c r="J72" s="168">
        <f t="shared" si="15"/>
        <v>45.677787675923668</v>
      </c>
      <c r="K72" s="122">
        <v>0.12809844968030132</v>
      </c>
      <c r="L72" s="168">
        <f t="shared" si="16"/>
        <v>58.666899618136682</v>
      </c>
      <c r="M72" s="122">
        <v>0.12809844968030132</v>
      </c>
      <c r="N72" s="168">
        <f t="shared" si="17"/>
        <v>42.688577605831782</v>
      </c>
      <c r="O72" s="122">
        <v>0.12809844968030132</v>
      </c>
      <c r="P72" s="168">
        <f t="shared" si="18"/>
        <v>47.64820383642185</v>
      </c>
      <c r="Q72" s="122">
        <v>0.12809844968030132</v>
      </c>
      <c r="R72" s="168">
        <f t="shared" si="19"/>
        <v>68.005062575113143</v>
      </c>
      <c r="S72" s="68">
        <v>0.12809844968030132</v>
      </c>
    </row>
    <row r="73" spans="2:19" x14ac:dyDescent="0.4">
      <c r="B73" s="33" t="s">
        <v>161</v>
      </c>
      <c r="C73" s="343"/>
      <c r="D73" s="398"/>
      <c r="E73" s="398"/>
      <c r="F73" s="252"/>
      <c r="G73" s="252"/>
      <c r="H73" s="168">
        <f t="shared" si="14"/>
        <v>6.0406123699036529</v>
      </c>
      <c r="I73" s="122">
        <v>5.3339944193495914E-2</v>
      </c>
      <c r="J73" s="168">
        <f t="shared" si="15"/>
        <v>19.020141552039373</v>
      </c>
      <c r="K73" s="122">
        <v>5.3339944193495914E-2</v>
      </c>
      <c r="L73" s="168">
        <f t="shared" si="16"/>
        <v>24.428782389222405</v>
      </c>
      <c r="M73" s="122">
        <v>5.3339944193495914E-2</v>
      </c>
      <c r="N73" s="168">
        <f t="shared" si="17"/>
        <v>17.775440318579744</v>
      </c>
      <c r="O73" s="122">
        <v>5.3339944193495914E-2</v>
      </c>
      <c r="P73" s="168">
        <f t="shared" si="18"/>
        <v>19.840618991861955</v>
      </c>
      <c r="Q73" s="122">
        <v>5.3339944193495914E-2</v>
      </c>
      <c r="R73" s="168">
        <f t="shared" si="19"/>
        <v>28.31717520145401</v>
      </c>
      <c r="S73" s="68">
        <v>5.3339944193495914E-2</v>
      </c>
    </row>
    <row r="74" spans="2:19" x14ac:dyDescent="0.4">
      <c r="B74" s="35" t="s">
        <v>16</v>
      </c>
      <c r="C74" s="344"/>
      <c r="D74" s="341"/>
      <c r="E74" s="341"/>
      <c r="F74" s="342"/>
      <c r="G74" s="342"/>
      <c r="H74" s="114">
        <f t="shared" si="14"/>
        <v>1.4859307735718779</v>
      </c>
      <c r="I74" s="289">
        <v>1.3121097611331473E-2</v>
      </c>
      <c r="J74" s="114">
        <f t="shared" si="15"/>
        <v>4.6787663102969921</v>
      </c>
      <c r="K74" s="289">
        <v>1.3121097611331473E-2</v>
      </c>
      <c r="L74" s="114">
        <f t="shared" si="16"/>
        <v>6.0092383503852087</v>
      </c>
      <c r="M74" s="289">
        <v>1.3121097611331473E-2</v>
      </c>
      <c r="N74" s="114">
        <f t="shared" si="17"/>
        <v>4.372582143288434</v>
      </c>
      <c r="O74" s="289">
        <v>1.3121097611331473E-2</v>
      </c>
      <c r="P74" s="114">
        <f t="shared" si="18"/>
        <v>4.8805956286171295</v>
      </c>
      <c r="Q74" s="289">
        <v>1.3121097611331473E-2</v>
      </c>
      <c r="R74" s="114">
        <f t="shared" si="19"/>
        <v>6.9657444437438842</v>
      </c>
      <c r="S74" s="117">
        <v>1.3121097611331473E-2</v>
      </c>
    </row>
  </sheetData>
  <mergeCells count="40">
    <mergeCell ref="N26:N27"/>
    <mergeCell ref="L50:L51"/>
    <mergeCell ref="N50:N51"/>
    <mergeCell ref="L26:L27"/>
    <mergeCell ref="B43:C43"/>
    <mergeCell ref="B50:C51"/>
    <mergeCell ref="B39:C39"/>
    <mergeCell ref="B33:C33"/>
    <mergeCell ref="B40:C40"/>
    <mergeCell ref="P50:P51"/>
    <mergeCell ref="R50:R51"/>
    <mergeCell ref="B2:C3"/>
    <mergeCell ref="B15:C16"/>
    <mergeCell ref="D50:D51"/>
    <mergeCell ref="F50:F51"/>
    <mergeCell ref="H50:H51"/>
    <mergeCell ref="J50:J51"/>
    <mergeCell ref="B29:C29"/>
    <mergeCell ref="P2:P3"/>
    <mergeCell ref="P26:P27"/>
    <mergeCell ref="R26:R27"/>
    <mergeCell ref="D26:D27"/>
    <mergeCell ref="F26:F27"/>
    <mergeCell ref="H26:H27"/>
    <mergeCell ref="J26:J27"/>
    <mergeCell ref="R2:R3"/>
    <mergeCell ref="D15:D16"/>
    <mergeCell ref="F15:F16"/>
    <mergeCell ref="H15:H16"/>
    <mergeCell ref="J15:J16"/>
    <mergeCell ref="L15:L16"/>
    <mergeCell ref="N15:N16"/>
    <mergeCell ref="P15:P16"/>
    <mergeCell ref="R15:R16"/>
    <mergeCell ref="N2:N3"/>
    <mergeCell ref="D2:D3"/>
    <mergeCell ref="F2:F3"/>
    <mergeCell ref="H2:H3"/>
    <mergeCell ref="J2:J3"/>
    <mergeCell ref="L2:L3"/>
  </mergeCells>
  <phoneticPr fontId="2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7243B-BCC2-4D2F-98B7-9B657FDBED47}">
  <dimension ref="A1:AU76"/>
  <sheetViews>
    <sheetView topLeftCell="R62" workbookViewId="0">
      <selection activeCell="AF74" sqref="AF74"/>
    </sheetView>
  </sheetViews>
  <sheetFormatPr defaultRowHeight="15" x14ac:dyDescent="0.4"/>
  <cols>
    <col min="1" max="1" width="15.5" bestFit="1" customWidth="1"/>
    <col min="2" max="2" width="12.625" customWidth="1"/>
    <col min="3" max="3" width="17.125" style="1" bestFit="1" customWidth="1"/>
    <col min="4" max="4" width="17.125" style="1" customWidth="1"/>
    <col min="5" max="5" width="9.375" style="4" customWidth="1"/>
    <col min="6" max="6" width="8.75" style="4"/>
    <col min="7" max="7" width="7.25" style="4" customWidth="1"/>
    <col min="8" max="8" width="10.375" style="4" bestFit="1" customWidth="1"/>
    <col min="9" max="9" width="8.25" style="4" hidden="1" customWidth="1"/>
    <col min="10" max="10" width="12.375" style="4" bestFit="1" customWidth="1"/>
    <col min="11" max="11" width="0" style="4" hidden="1" customWidth="1"/>
    <col min="12" max="12" width="8.75" style="272"/>
    <col min="13" max="13" width="8.75" style="4"/>
    <col min="14" max="14" width="0" style="4" hidden="1" customWidth="1"/>
    <col min="15" max="15" width="8.75" style="4"/>
    <col min="16" max="16" width="0" style="4" hidden="1" customWidth="1"/>
    <col min="17" max="17" width="8.75" style="4" hidden="1" customWidth="1"/>
    <col min="18" max="19" width="8.75" style="4"/>
    <col min="20" max="20" width="9.375" style="4" hidden="1" customWidth="1"/>
    <col min="22" max="22" width="0" hidden="1" customWidth="1"/>
    <col min="25" max="25" width="0" hidden="1" customWidth="1"/>
    <col min="27" max="27" width="0" hidden="1" customWidth="1"/>
    <col min="44" max="44" width="0" hidden="1" customWidth="1"/>
    <col min="46" max="46" width="0" hidden="1" customWidth="1"/>
  </cols>
  <sheetData>
    <row r="1" spans="1:47" x14ac:dyDescent="0.4">
      <c r="G1" s="4" t="s">
        <v>42</v>
      </c>
      <c r="L1" s="272" t="s">
        <v>64</v>
      </c>
      <c r="R1" s="272" t="s">
        <v>19</v>
      </c>
      <c r="U1" s="4"/>
      <c r="V1" s="4"/>
      <c r="W1" s="272" t="s">
        <v>32</v>
      </c>
      <c r="X1" s="4"/>
      <c r="Y1" s="4"/>
      <c r="Z1" s="4"/>
      <c r="AA1" s="4"/>
      <c r="AB1" s="272" t="s">
        <v>172</v>
      </c>
      <c r="AC1" s="4"/>
      <c r="AD1" s="4"/>
      <c r="AE1" s="4"/>
      <c r="AF1" s="4"/>
      <c r="AG1" s="272" t="s">
        <v>173</v>
      </c>
      <c r="AH1" s="4"/>
      <c r="AI1" s="4"/>
      <c r="AJ1" s="4"/>
      <c r="AK1" s="4"/>
      <c r="AL1" s="272" t="s">
        <v>174</v>
      </c>
      <c r="AM1" s="4"/>
      <c r="AN1" s="4"/>
      <c r="AO1" s="4"/>
      <c r="AP1" s="4"/>
      <c r="AQ1" s="272" t="s">
        <v>43</v>
      </c>
      <c r="AR1" s="4"/>
      <c r="AS1" s="4"/>
      <c r="AT1" s="4"/>
      <c r="AU1" s="4"/>
    </row>
    <row r="2" spans="1:47" ht="18" customHeight="1" x14ac:dyDescent="0.4">
      <c r="C2" s="2" t="s">
        <v>4</v>
      </c>
      <c r="D2" s="2" t="s">
        <v>168</v>
      </c>
      <c r="G2" s="4">
        <f>機器台数case1!D29</f>
        <v>294.89052599999997</v>
      </c>
      <c r="H2" s="4" t="s">
        <v>169</v>
      </c>
      <c r="I2" s="4" t="s">
        <v>170</v>
      </c>
      <c r="J2" s="4" t="s">
        <v>171</v>
      </c>
      <c r="K2" s="4" t="s">
        <v>84</v>
      </c>
      <c r="L2" s="272">
        <f>機器台数case1!F29</f>
        <v>286.73916696733073</v>
      </c>
      <c r="M2" s="4" t="s">
        <v>169</v>
      </c>
      <c r="N2" s="4" t="s">
        <v>170</v>
      </c>
      <c r="O2" s="4" t="s">
        <v>171</v>
      </c>
      <c r="P2" s="4" t="s">
        <v>84</v>
      </c>
      <c r="R2" s="272">
        <f>機器台数case1!H29</f>
        <v>280.59470150365223</v>
      </c>
      <c r="S2" s="4" t="s">
        <v>169</v>
      </c>
      <c r="T2" s="4" t="s">
        <v>170</v>
      </c>
      <c r="U2" s="4" t="s">
        <v>171</v>
      </c>
      <c r="V2" s="4" t="s">
        <v>84</v>
      </c>
      <c r="W2" s="272">
        <f>機器台数case1!J29</f>
        <v>256.24094340196837</v>
      </c>
      <c r="X2" s="4" t="s">
        <v>169</v>
      </c>
      <c r="Y2" s="4" t="s">
        <v>170</v>
      </c>
      <c r="Z2" s="4" t="s">
        <v>171</v>
      </c>
      <c r="AA2" s="4" t="s">
        <v>84</v>
      </c>
      <c r="AB2" s="272">
        <f>機器台数case1!L29</f>
        <v>109.82903957542817</v>
      </c>
      <c r="AC2" s="4" t="s">
        <v>169</v>
      </c>
      <c r="AD2" s="4" t="s">
        <v>170</v>
      </c>
      <c r="AE2" s="4" t="s">
        <v>171</v>
      </c>
      <c r="AF2" s="4" t="s">
        <v>84</v>
      </c>
      <c r="AG2" s="272">
        <f>機器台数case1!N29</f>
        <v>65.992337878509616</v>
      </c>
      <c r="AH2" s="4" t="s">
        <v>169</v>
      </c>
      <c r="AI2" s="4" t="s">
        <v>170</v>
      </c>
      <c r="AJ2" s="4" t="s">
        <v>171</v>
      </c>
      <c r="AK2" s="4" t="s">
        <v>84</v>
      </c>
      <c r="AL2" s="272">
        <f>機器台数case1!S29</f>
        <v>0</v>
      </c>
      <c r="AM2" s="4" t="s">
        <v>169</v>
      </c>
      <c r="AN2" s="4" t="s">
        <v>170</v>
      </c>
      <c r="AO2" s="4" t="s">
        <v>171</v>
      </c>
      <c r="AP2" s="4" t="s">
        <v>84</v>
      </c>
      <c r="AQ2" s="272">
        <f>機器台数case1!X29</f>
        <v>0</v>
      </c>
      <c r="AR2" s="4" t="s">
        <v>169</v>
      </c>
      <c r="AS2" s="4" t="s">
        <v>170</v>
      </c>
      <c r="AT2" s="4" t="s">
        <v>171</v>
      </c>
      <c r="AU2" s="4" t="s">
        <v>84</v>
      </c>
    </row>
    <row r="3" spans="1:47" x14ac:dyDescent="0.4">
      <c r="B3" t="s">
        <v>2</v>
      </c>
      <c r="C3" s="1" t="s">
        <v>8</v>
      </c>
      <c r="D3" s="1" t="s">
        <v>8</v>
      </c>
      <c r="F3" s="4" t="s">
        <v>21</v>
      </c>
      <c r="G3" s="4">
        <v>0</v>
      </c>
      <c r="H3" s="4">
        <f>G2*(1-G$3)</f>
        <v>294.89052599999997</v>
      </c>
      <c r="I3" s="4">
        <f>G2*G$3</f>
        <v>0</v>
      </c>
      <c r="J3" s="4">
        <f>SUM(J4:J10)</f>
        <v>726.03063855301298</v>
      </c>
      <c r="K3" s="4">
        <f>SUM(K4:K10)</f>
        <v>0</v>
      </c>
      <c r="L3" s="272">
        <v>0</v>
      </c>
      <c r="M3" s="4">
        <f>L2*(1-L$3)</f>
        <v>286.73916696733073</v>
      </c>
      <c r="N3" s="4">
        <f>L2*L$3</f>
        <v>0</v>
      </c>
      <c r="O3" s="4">
        <f>SUM(O4:O10)</f>
        <v>705.961711674149</v>
      </c>
      <c r="P3" s="4">
        <f>SUM(P4:P10)</f>
        <v>0</v>
      </c>
      <c r="Q3" s="4" t="s">
        <v>21</v>
      </c>
      <c r="R3" s="272">
        <v>0</v>
      </c>
      <c r="S3" s="4">
        <f>R2*(1-R$3)</f>
        <v>280.59470150365223</v>
      </c>
      <c r="U3" s="4">
        <f>SUM(U4:U10)</f>
        <v>690.83382593067358</v>
      </c>
      <c r="V3" s="4">
        <f>SUM(V4:V10)</f>
        <v>0</v>
      </c>
      <c r="W3" s="272">
        <v>0</v>
      </c>
      <c r="X3" s="4">
        <f>W2*(1-W$3)</f>
        <v>256.24094340196837</v>
      </c>
      <c r="Y3" s="4">
        <f>W2*W$3</f>
        <v>0</v>
      </c>
      <c r="Z3" s="4">
        <f>SUM(Z4:Z10)</f>
        <v>630.87403412057245</v>
      </c>
      <c r="AA3" s="4">
        <f>SUM(AA4:AA10)</f>
        <v>0</v>
      </c>
      <c r="AB3" s="6">
        <f>機器台数case1!L13</f>
        <v>1.0495702746299964</v>
      </c>
      <c r="AC3" s="4">
        <f>機器台数case1!L29</f>
        <v>109.82903957542817</v>
      </c>
      <c r="AD3" s="4">
        <v>0</v>
      </c>
      <c r="AE3" s="4">
        <f>SUM(AE4:AE10)</f>
        <v>270.40288074433511</v>
      </c>
      <c r="AF3" s="4">
        <f>SUM(AF4:AF10)</f>
        <v>0</v>
      </c>
      <c r="AG3" s="6">
        <f>機器台数case1!N13</f>
        <v>1.0495702746299964</v>
      </c>
      <c r="AH3" s="4">
        <f>機器台数case1!N29</f>
        <v>65.992337878509616</v>
      </c>
      <c r="AI3" s="4">
        <f>機器台数case1!N39</f>
        <v>65.699691197161158</v>
      </c>
      <c r="AJ3" s="4">
        <f>SUM(AJ4:AJ10)</f>
        <v>162.47541031392961</v>
      </c>
      <c r="AK3" s="4">
        <f>SUM(AK4:AK10)</f>
        <v>137.49166848350725</v>
      </c>
      <c r="AL3" s="6">
        <f>機器台数case1!S13</f>
        <v>0</v>
      </c>
      <c r="AM3" s="4">
        <f>機器台数case1!P29</f>
        <v>23.087865396874285</v>
      </c>
      <c r="AN3" s="4">
        <f>機器台数case1!P39</f>
        <v>90.260154648988717</v>
      </c>
      <c r="AO3" s="4">
        <f>SUM(AO4:AO10)</f>
        <v>56.843120341270819</v>
      </c>
      <c r="AP3" s="4">
        <f>SUM(AP4:AP10)</f>
        <v>188.89006986390652</v>
      </c>
      <c r="AQ3" s="6">
        <f>機器台数case1!X13</f>
        <v>0</v>
      </c>
      <c r="AR3" s="4">
        <f>機器台数case1!R29</f>
        <v>0</v>
      </c>
      <c r="AS3" s="4">
        <f>機器台数case1!R39</f>
        <v>75.031213892674273</v>
      </c>
      <c r="AT3" s="4">
        <f>SUM(AT4:AT10)</f>
        <v>0</v>
      </c>
      <c r="AU3" s="4">
        <f>SUM(AU4:AU10)</f>
        <v>157.02001940143748</v>
      </c>
    </row>
    <row r="4" spans="1:47" x14ac:dyDescent="0.4">
      <c r="A4" t="s">
        <v>0</v>
      </c>
      <c r="B4">
        <v>1.5</v>
      </c>
      <c r="C4" s="1">
        <v>2.1</v>
      </c>
      <c r="D4" s="1">
        <f t="shared" ref="D4:D10" si="0">C4*0.85</f>
        <v>1.7849999999999999</v>
      </c>
      <c r="E4" s="4">
        <v>39305</v>
      </c>
      <c r="F4" s="6">
        <v>0.12088750280650926</v>
      </c>
      <c r="H4" s="4">
        <f t="shared" ref="H4:H10" si="1">F4*H$3</f>
        <v>35.64857928943799</v>
      </c>
      <c r="I4" s="4">
        <f t="shared" ref="I4:I10" si="2">$F4*I$3</f>
        <v>0</v>
      </c>
      <c r="J4" s="267">
        <f t="shared" ref="J4:K10" si="3">C4*H4</f>
        <v>74.862016507819789</v>
      </c>
      <c r="K4" s="267">
        <f t="shared" si="3"/>
        <v>0</v>
      </c>
      <c r="L4" s="273"/>
      <c r="M4" s="4">
        <f>F$4*M$3</f>
        <v>34.663181851499317</v>
      </c>
      <c r="N4" s="4">
        <f t="shared" ref="N4:N10" si="4">$F4*N$3</f>
        <v>0</v>
      </c>
      <c r="O4" s="4">
        <f>C$4*M$4</f>
        <v>72.792681888148564</v>
      </c>
      <c r="P4" s="267">
        <f>D$4*N$4</f>
        <v>0</v>
      </c>
      <c r="Q4" s="6">
        <f t="shared" ref="Q4:Q10" si="5">E4/$A$6</f>
        <v>0.12088750280650926</v>
      </c>
      <c r="R4" s="273">
        <f>SUM(S4:S10)</f>
        <v>280.59470150365223</v>
      </c>
      <c r="S4" s="4">
        <f t="shared" ref="S4:T10" si="6">$F4*S$3</f>
        <v>33.920392765514386</v>
      </c>
      <c r="T4" s="4">
        <f t="shared" si="6"/>
        <v>0</v>
      </c>
      <c r="U4" s="4">
        <f t="shared" ref="U4:U10" si="7">$C4*S4</f>
        <v>71.232824807580215</v>
      </c>
      <c r="V4" s="4">
        <f t="shared" ref="V4:V10" si="8">$D4*T4</f>
        <v>0</v>
      </c>
      <c r="W4" s="273">
        <f>SUM(X4:X10)</f>
        <v>256.24094340196837</v>
      </c>
      <c r="X4" s="4">
        <f t="shared" ref="X4:Y10" si="9">$F4*X$3</f>
        <v>30.97632776464803</v>
      </c>
      <c r="Y4" s="4">
        <f t="shared" si="9"/>
        <v>0</v>
      </c>
      <c r="Z4" s="4">
        <f t="shared" ref="Z4:Z10" si="10">$C4*X4</f>
        <v>65.050288305760859</v>
      </c>
      <c r="AA4" s="4">
        <f t="shared" ref="AA4:AA10" si="11">$D4*Y4</f>
        <v>0</v>
      </c>
      <c r="AB4" s="273">
        <f>SUM(AC4:AC10)</f>
        <v>109.82903957542818</v>
      </c>
      <c r="AC4" s="4">
        <f t="shared" ref="AC4:AD10" si="12">$F4*AC$3</f>
        <v>13.276958329910789</v>
      </c>
      <c r="AD4" s="4">
        <f t="shared" si="12"/>
        <v>0</v>
      </c>
      <c r="AE4" s="4">
        <f t="shared" ref="AE4:AE10" si="13">$C4*AC4</f>
        <v>27.881612492812657</v>
      </c>
      <c r="AF4" s="4">
        <f t="shared" ref="AF4:AF10" si="14">$D4*AD4</f>
        <v>0</v>
      </c>
      <c r="AG4" s="273">
        <f>SUM(AH4:AH10)</f>
        <v>65.992337878509616</v>
      </c>
      <c r="AH4" s="4">
        <f t="shared" ref="AH4:AI10" si="15">$F4*AH$3</f>
        <v>7.9776489304964384</v>
      </c>
      <c r="AI4" s="4">
        <f t="shared" si="15"/>
        <v>7.9422716039836105</v>
      </c>
      <c r="AJ4" s="4">
        <f t="shared" ref="AJ4:AJ10" si="16">$C4*AH4</f>
        <v>16.753062754042521</v>
      </c>
      <c r="AK4" s="4">
        <f t="shared" ref="AK4:AK10" si="17">$D4*AI4</f>
        <v>14.176954813110743</v>
      </c>
      <c r="AL4" s="273">
        <f>SUM(AM4:AM10)</f>
        <v>23.087865396874285</v>
      </c>
      <c r="AM4" s="4">
        <f t="shared" ref="AM4:AN10" si="18">$F4*AM$3</f>
        <v>2.791034392960948</v>
      </c>
      <c r="AN4" s="4">
        <f t="shared" si="18"/>
        <v>10.911324698445583</v>
      </c>
      <c r="AO4" s="4">
        <f t="shared" ref="AO4:AO10" si="19">$C4*AM4</f>
        <v>5.8611722252179907</v>
      </c>
      <c r="AP4" s="4">
        <f t="shared" ref="AP4:AP10" si="20">$D4*AN4</f>
        <v>19.476714586725365</v>
      </c>
      <c r="AQ4" s="273">
        <f>SUM(AR4:AR10)</f>
        <v>0</v>
      </c>
      <c r="AR4" s="4">
        <f t="shared" ref="AR4:AS10" si="21">$F4*AR$3</f>
        <v>0</v>
      </c>
      <c r="AS4" s="4">
        <f t="shared" si="21"/>
        <v>9.0703360800264576</v>
      </c>
      <c r="AT4" s="4">
        <f t="shared" ref="AT4:AT10" si="22">$C4*AR4</f>
        <v>0</v>
      </c>
      <c r="AU4" s="4">
        <f t="shared" ref="AU4:AU10" si="23">$D4*AS4</f>
        <v>16.190549902847227</v>
      </c>
    </row>
    <row r="5" spans="1:47" x14ac:dyDescent="0.4">
      <c r="A5" t="s">
        <v>1</v>
      </c>
      <c r="B5">
        <v>2</v>
      </c>
      <c r="C5" s="1">
        <v>2.1</v>
      </c>
      <c r="D5" s="1">
        <f t="shared" si="0"/>
        <v>1.7849999999999999</v>
      </c>
      <c r="E5" s="4">
        <v>92478</v>
      </c>
      <c r="F5" s="6">
        <v>0.28442779505254706</v>
      </c>
      <c r="H5" s="4">
        <f t="shared" si="1"/>
        <v>83.875062092065789</v>
      </c>
      <c r="I5" s="4">
        <f t="shared" si="2"/>
        <v>0</v>
      </c>
      <c r="J5" s="267">
        <f t="shared" si="3"/>
        <v>176.13763039333816</v>
      </c>
      <c r="K5" s="267">
        <f t="shared" si="3"/>
        <v>0</v>
      </c>
      <c r="L5" s="273"/>
      <c r="M5" s="4">
        <f t="shared" ref="M5:M10" si="24">$F5*M$3</f>
        <v>81.556589015722011</v>
      </c>
      <c r="N5" s="4">
        <f t="shared" si="4"/>
        <v>0</v>
      </c>
      <c r="O5" s="4">
        <f t="shared" ref="O5:O10" si="25">$C5*$M5</f>
        <v>171.26883693301622</v>
      </c>
      <c r="P5" s="267">
        <f t="shared" ref="P5:P10" si="26">$D5*$N5</f>
        <v>0</v>
      </c>
      <c r="Q5" s="6">
        <f t="shared" si="5"/>
        <v>0.28442779505254706</v>
      </c>
      <c r="R5" s="273">
        <f>SUM(S4:S10)</f>
        <v>280.59470150365223</v>
      </c>
      <c r="S5" s="4">
        <f t="shared" si="6"/>
        <v>79.808932252111418</v>
      </c>
      <c r="T5" s="4">
        <f t="shared" si="6"/>
        <v>0</v>
      </c>
      <c r="U5" s="4">
        <f t="shared" si="7"/>
        <v>167.598757729434</v>
      </c>
      <c r="V5" s="267">
        <f t="shared" si="8"/>
        <v>0</v>
      </c>
      <c r="W5" s="273">
        <f>SUM(X4:X10)</f>
        <v>256.24094340196837</v>
      </c>
      <c r="X5" s="4">
        <f t="shared" si="9"/>
        <v>72.882046534006363</v>
      </c>
      <c r="Y5" s="4">
        <f t="shared" si="9"/>
        <v>0</v>
      </c>
      <c r="Z5" s="4">
        <f t="shared" si="10"/>
        <v>153.05229772141337</v>
      </c>
      <c r="AA5" s="267">
        <f t="shared" si="11"/>
        <v>0</v>
      </c>
      <c r="AB5" s="273">
        <f>SUM(AC4:AC10)</f>
        <v>109.82903957542818</v>
      </c>
      <c r="AC5" s="4">
        <f t="shared" si="12"/>
        <v>31.238431559177965</v>
      </c>
      <c r="AD5" s="4">
        <f t="shared" si="12"/>
        <v>0</v>
      </c>
      <c r="AE5" s="4">
        <f t="shared" si="13"/>
        <v>65.600706274273733</v>
      </c>
      <c r="AF5" s="267">
        <f t="shared" si="14"/>
        <v>0</v>
      </c>
      <c r="AG5" s="273">
        <f>SUM(AH4:AH10)</f>
        <v>65.992337878509616</v>
      </c>
      <c r="AH5" s="4">
        <f t="shared" si="15"/>
        <v>18.770055153147172</v>
      </c>
      <c r="AI5" s="4">
        <f t="shared" si="15"/>
        <v>18.686818302841782</v>
      </c>
      <c r="AJ5" s="4">
        <f t="shared" si="16"/>
        <v>39.417115821609066</v>
      </c>
      <c r="AK5" s="267">
        <f t="shared" si="17"/>
        <v>33.355970670572582</v>
      </c>
      <c r="AL5" s="273">
        <f>SUM(AM4:AM10)</f>
        <v>23.087865396874285</v>
      </c>
      <c r="AM5" s="4">
        <f t="shared" si="18"/>
        <v>6.5668306473029521</v>
      </c>
      <c r="AN5" s="4">
        <f t="shared" si="18"/>
        <v>25.672496767913767</v>
      </c>
      <c r="AO5" s="4">
        <f t="shared" si="19"/>
        <v>13.790344359336199</v>
      </c>
      <c r="AP5" s="267">
        <f t="shared" si="20"/>
        <v>45.825406730726073</v>
      </c>
      <c r="AQ5" s="273">
        <f>SUM(AR4:AR10)</f>
        <v>0</v>
      </c>
      <c r="AR5" s="4">
        <f t="shared" si="21"/>
        <v>0</v>
      </c>
      <c r="AS5" s="4">
        <f t="shared" si="21"/>
        <v>21.34096272760938</v>
      </c>
      <c r="AT5" s="4">
        <f t="shared" si="22"/>
        <v>0</v>
      </c>
      <c r="AU5" s="267">
        <f t="shared" si="23"/>
        <v>38.093618468782743</v>
      </c>
    </row>
    <row r="6" spans="1:47" x14ac:dyDescent="0.4">
      <c r="A6" s="5">
        <f>SUM(E4:E10)</f>
        <v>325137</v>
      </c>
      <c r="B6">
        <v>2.5</v>
      </c>
      <c r="C6" s="1">
        <v>2.2999999999999998</v>
      </c>
      <c r="D6" s="1">
        <f t="shared" si="0"/>
        <v>1.9549999999999998</v>
      </c>
      <c r="E6" s="4">
        <v>79805</v>
      </c>
      <c r="F6" s="6">
        <v>0.24545037937853889</v>
      </c>
      <c r="H6" s="4">
        <f t="shared" si="1"/>
        <v>72.380991481836872</v>
      </c>
      <c r="I6" s="4">
        <f t="shared" si="2"/>
        <v>0</v>
      </c>
      <c r="J6" s="267">
        <f t="shared" si="3"/>
        <v>166.4762804082248</v>
      </c>
      <c r="K6" s="267">
        <f t="shared" si="3"/>
        <v>0</v>
      </c>
      <c r="L6" s="273"/>
      <c r="M6" s="4">
        <f t="shared" si="24"/>
        <v>70.380237314817535</v>
      </c>
      <c r="N6" s="4">
        <f t="shared" si="4"/>
        <v>0</v>
      </c>
      <c r="O6" s="4">
        <f t="shared" si="25"/>
        <v>161.87454582408031</v>
      </c>
      <c r="P6" s="267">
        <f t="shared" si="26"/>
        <v>0</v>
      </c>
      <c r="Q6" s="6">
        <f t="shared" si="5"/>
        <v>0.24545037937853889</v>
      </c>
      <c r="R6" s="273"/>
      <c r="S6" s="4">
        <f t="shared" si="6"/>
        <v>68.87207593567932</v>
      </c>
      <c r="T6" s="4">
        <f t="shared" si="6"/>
        <v>0</v>
      </c>
      <c r="U6" s="4">
        <f t="shared" si="7"/>
        <v>158.40577465206243</v>
      </c>
      <c r="V6" s="267">
        <f t="shared" si="8"/>
        <v>0</v>
      </c>
      <c r="W6" s="273"/>
      <c r="X6" s="4">
        <f t="shared" si="9"/>
        <v>62.89443677032785</v>
      </c>
      <c r="Y6" s="4">
        <f t="shared" si="9"/>
        <v>0</v>
      </c>
      <c r="Z6" s="4">
        <f t="shared" si="10"/>
        <v>144.65720457175405</v>
      </c>
      <c r="AA6" s="267">
        <f t="shared" si="11"/>
        <v>0</v>
      </c>
      <c r="AB6" s="273"/>
      <c r="AC6" s="4">
        <f t="shared" si="12"/>
        <v>26.957579430569407</v>
      </c>
      <c r="AD6" s="4">
        <f t="shared" si="12"/>
        <v>0</v>
      </c>
      <c r="AE6" s="4">
        <f t="shared" si="13"/>
        <v>62.002432690309632</v>
      </c>
      <c r="AF6" s="267">
        <f t="shared" si="14"/>
        <v>0</v>
      </c>
      <c r="AG6" s="273"/>
      <c r="AH6" s="4">
        <f t="shared" si="15"/>
        <v>16.197844368356908</v>
      </c>
      <c r="AI6" s="4">
        <f t="shared" si="15"/>
        <v>16.126014129396058</v>
      </c>
      <c r="AJ6" s="4">
        <f t="shared" si="16"/>
        <v>37.255042047220883</v>
      </c>
      <c r="AK6" s="267">
        <f t="shared" si="17"/>
        <v>31.526357622969289</v>
      </c>
      <c r="AL6" s="273"/>
      <c r="AM6" s="4">
        <f t="shared" si="18"/>
        <v>5.6669253207034336</v>
      </c>
      <c r="AN6" s="4">
        <f t="shared" si="18"/>
        <v>22.154389201359873</v>
      </c>
      <c r="AO6" s="4">
        <f t="shared" si="19"/>
        <v>13.033928237617896</v>
      </c>
      <c r="AP6" s="267">
        <f t="shared" si="20"/>
        <v>43.311830888658548</v>
      </c>
      <c r="AQ6" s="273"/>
      <c r="AR6" s="4">
        <f t="shared" si="21"/>
        <v>0</v>
      </c>
      <c r="AS6" s="4">
        <f t="shared" si="21"/>
        <v>18.416439915189198</v>
      </c>
      <c r="AT6" s="4">
        <f t="shared" si="22"/>
        <v>0</v>
      </c>
      <c r="AU6" s="267">
        <f t="shared" si="23"/>
        <v>36.004140034194876</v>
      </c>
    </row>
    <row r="7" spans="1:47" x14ac:dyDescent="0.4">
      <c r="A7" s="237">
        <f>A6/$E$75</f>
        <v>0.2149519735184976</v>
      </c>
      <c r="B7">
        <v>3</v>
      </c>
      <c r="C7" s="1">
        <v>2.2000000000000002</v>
      </c>
      <c r="D7" s="1">
        <f t="shared" si="0"/>
        <v>1.87</v>
      </c>
      <c r="E7" s="4">
        <v>64156</v>
      </c>
      <c r="F7" s="6">
        <v>0.19731989899642305</v>
      </c>
      <c r="H7" s="4">
        <f t="shared" si="1"/>
        <v>58.187768805322058</v>
      </c>
      <c r="I7" s="4">
        <f t="shared" si="2"/>
        <v>0</v>
      </c>
      <c r="J7" s="267">
        <f t="shared" si="3"/>
        <v>128.01309137170853</v>
      </c>
      <c r="K7" s="267">
        <f t="shared" si="3"/>
        <v>0</v>
      </c>
      <c r="L7" s="273"/>
      <c r="M7" s="4">
        <f t="shared" si="24"/>
        <v>56.579343464312181</v>
      </c>
      <c r="N7" s="4">
        <f t="shared" si="4"/>
        <v>0</v>
      </c>
      <c r="O7" s="4">
        <f t="shared" si="25"/>
        <v>124.47455562148681</v>
      </c>
      <c r="P7" s="267">
        <f t="shared" si="26"/>
        <v>0</v>
      </c>
      <c r="Q7" s="6">
        <f t="shared" si="5"/>
        <v>0.19731989899642305</v>
      </c>
      <c r="R7" s="273"/>
      <c r="S7" s="4">
        <f t="shared" si="6"/>
        <v>55.366918159632135</v>
      </c>
      <c r="T7" s="4">
        <f t="shared" si="6"/>
        <v>0</v>
      </c>
      <c r="U7" s="4">
        <f t="shared" si="7"/>
        <v>121.8072199511907</v>
      </c>
      <c r="V7" s="267">
        <f t="shared" si="8"/>
        <v>0</v>
      </c>
      <c r="W7" s="273"/>
      <c r="X7" s="4">
        <f t="shared" si="9"/>
        <v>50.561437070824553</v>
      </c>
      <c r="Y7" s="4">
        <f t="shared" si="9"/>
        <v>0</v>
      </c>
      <c r="Z7" s="4">
        <f t="shared" si="10"/>
        <v>111.23516155581403</v>
      </c>
      <c r="AA7" s="267">
        <f t="shared" si="11"/>
        <v>0</v>
      </c>
      <c r="AB7" s="273"/>
      <c r="AC7" s="4">
        <f t="shared" si="12"/>
        <v>21.671454995897637</v>
      </c>
      <c r="AD7" s="4">
        <f t="shared" si="12"/>
        <v>0</v>
      </c>
      <c r="AE7" s="4">
        <f t="shared" si="13"/>
        <v>47.677200990974804</v>
      </c>
      <c r="AF7" s="267">
        <f t="shared" si="14"/>
        <v>0</v>
      </c>
      <c r="AG7" s="273"/>
      <c r="AH7" s="4">
        <f t="shared" si="15"/>
        <v>13.02160144472534</v>
      </c>
      <c r="AI7" s="4">
        <f t="shared" si="15"/>
        <v>12.963856431120025</v>
      </c>
      <c r="AJ7" s="4">
        <f t="shared" si="16"/>
        <v>28.647523178395751</v>
      </c>
      <c r="AK7" s="267">
        <f t="shared" si="17"/>
        <v>24.242411526194449</v>
      </c>
      <c r="AL7" s="273"/>
      <c r="AM7" s="4">
        <f t="shared" si="18"/>
        <v>4.5556952681542446</v>
      </c>
      <c r="AN7" s="4">
        <f t="shared" si="18"/>
        <v>17.810124598739979</v>
      </c>
      <c r="AO7" s="4">
        <f t="shared" si="19"/>
        <v>10.022529589939339</v>
      </c>
      <c r="AP7" s="267">
        <f t="shared" si="20"/>
        <v>33.304932999643761</v>
      </c>
      <c r="AQ7" s="273"/>
      <c r="AR7" s="4">
        <f t="shared" si="21"/>
        <v>0</v>
      </c>
      <c r="AS7" s="4">
        <f t="shared" si="21"/>
        <v>14.805151546881502</v>
      </c>
      <c r="AT7" s="4">
        <f t="shared" si="22"/>
        <v>0</v>
      </c>
      <c r="AU7" s="267">
        <f t="shared" si="23"/>
        <v>27.685633392668411</v>
      </c>
    </row>
    <row r="8" spans="1:47" x14ac:dyDescent="0.4">
      <c r="A8" s="18">
        <f>SUM(F4:F10)</f>
        <v>1</v>
      </c>
      <c r="B8">
        <v>3.5</v>
      </c>
      <c r="C8" s="1">
        <v>2.5</v>
      </c>
      <c r="D8" s="1">
        <f t="shared" si="0"/>
        <v>2.125</v>
      </c>
      <c r="E8" s="4">
        <v>16575</v>
      </c>
      <c r="F8" s="6">
        <v>5.097851059707139E-2</v>
      </c>
      <c r="H8" s="4">
        <f t="shared" si="1"/>
        <v>15.033079804666954</v>
      </c>
      <c r="I8" s="4">
        <f t="shared" si="2"/>
        <v>0</v>
      </c>
      <c r="J8" s="267">
        <f t="shared" si="3"/>
        <v>37.582699511667386</v>
      </c>
      <c r="K8" s="267">
        <f t="shared" si="3"/>
        <v>0</v>
      </c>
      <c r="L8" s="273"/>
      <c r="M8" s="4">
        <f t="shared" si="24"/>
        <v>14.617535661839492</v>
      </c>
      <c r="N8" s="4">
        <f t="shared" si="4"/>
        <v>0</v>
      </c>
      <c r="O8" s="4">
        <f t="shared" si="25"/>
        <v>36.543839154598729</v>
      </c>
      <c r="P8" s="267">
        <f t="shared" si="26"/>
        <v>0</v>
      </c>
      <c r="Q8" s="6">
        <f t="shared" si="5"/>
        <v>5.097851059707139E-2</v>
      </c>
      <c r="R8" s="273"/>
      <c r="S8" s="4">
        <f t="shared" si="6"/>
        <v>14.304299964086018</v>
      </c>
      <c r="T8" s="4">
        <f t="shared" si="6"/>
        <v>0</v>
      </c>
      <c r="U8" s="4">
        <f t="shared" si="7"/>
        <v>35.760749910215047</v>
      </c>
      <c r="V8" s="267">
        <f t="shared" si="8"/>
        <v>0</v>
      </c>
      <c r="W8" s="273"/>
      <c r="X8" s="4">
        <f t="shared" si="9"/>
        <v>13.062781648620815</v>
      </c>
      <c r="Y8" s="4">
        <f t="shared" si="9"/>
        <v>0</v>
      </c>
      <c r="Z8" s="4">
        <f t="shared" si="10"/>
        <v>32.65695412155204</v>
      </c>
      <c r="AA8" s="267">
        <f t="shared" si="11"/>
        <v>0</v>
      </c>
      <c r="AB8" s="273"/>
      <c r="AC8" s="4">
        <f t="shared" si="12"/>
        <v>5.5989208578621383</v>
      </c>
      <c r="AD8" s="4">
        <f t="shared" si="12"/>
        <v>0</v>
      </c>
      <c r="AE8" s="4">
        <f t="shared" si="13"/>
        <v>13.997302144655347</v>
      </c>
      <c r="AF8" s="267">
        <f t="shared" si="14"/>
        <v>0</v>
      </c>
      <c r="AG8" s="273"/>
      <c r="AH8" s="4">
        <f t="shared" si="15"/>
        <v>3.364191095865118</v>
      </c>
      <c r="AI8" s="4">
        <f t="shared" si="15"/>
        <v>3.349272403918798</v>
      </c>
      <c r="AJ8" s="4">
        <f t="shared" si="16"/>
        <v>8.4104777396627952</v>
      </c>
      <c r="AK8" s="267">
        <f t="shared" si="17"/>
        <v>7.1172038583274455</v>
      </c>
      <c r="AL8" s="273"/>
      <c r="AM8" s="4">
        <f t="shared" si="18"/>
        <v>1.1769849907983136</v>
      </c>
      <c r="AN8" s="4">
        <f t="shared" si="18"/>
        <v>4.6013282502667741</v>
      </c>
      <c r="AO8" s="4">
        <f t="shared" si="19"/>
        <v>2.9424624769957841</v>
      </c>
      <c r="AP8" s="267">
        <f t="shared" si="20"/>
        <v>9.777822531816895</v>
      </c>
      <c r="AQ8" s="273"/>
      <c r="AR8" s="4">
        <f t="shared" si="21"/>
        <v>0</v>
      </c>
      <c r="AS8" s="4">
        <f t="shared" si="21"/>
        <v>3.8249795325388254</v>
      </c>
      <c r="AT8" s="4">
        <f t="shared" si="22"/>
        <v>0</v>
      </c>
      <c r="AU8" s="267">
        <f t="shared" si="23"/>
        <v>8.1280815066450032</v>
      </c>
    </row>
    <row r="9" spans="1:47" x14ac:dyDescent="0.4">
      <c r="B9">
        <v>4</v>
      </c>
      <c r="C9" s="1">
        <v>3.4</v>
      </c>
      <c r="D9" s="1">
        <f t="shared" si="0"/>
        <v>2.8899999999999997</v>
      </c>
      <c r="E9" s="4">
        <v>15110</v>
      </c>
      <c r="F9" s="6">
        <v>4.6472717654404146E-2</v>
      </c>
      <c r="H9" s="4">
        <f t="shared" si="1"/>
        <v>13.704364153756723</v>
      </c>
      <c r="I9" s="4">
        <f t="shared" si="2"/>
        <v>0</v>
      </c>
      <c r="J9" s="267">
        <f t="shared" si="3"/>
        <v>46.594838122772856</v>
      </c>
      <c r="K9" s="267">
        <f t="shared" si="3"/>
        <v>0</v>
      </c>
      <c r="L9" s="273"/>
      <c r="M9" s="4">
        <f t="shared" si="24"/>
        <v>13.325548346931809</v>
      </c>
      <c r="N9" s="4">
        <f t="shared" si="4"/>
        <v>0</v>
      </c>
      <c r="O9" s="4">
        <f t="shared" si="25"/>
        <v>45.306864379568147</v>
      </c>
      <c r="P9" s="267">
        <f t="shared" si="26"/>
        <v>0</v>
      </c>
      <c r="Q9" s="6">
        <f t="shared" si="5"/>
        <v>4.6472717654404146E-2</v>
      </c>
      <c r="R9" s="273"/>
      <c r="S9" s="4">
        <f t="shared" si="6"/>
        <v>13.039998338301041</v>
      </c>
      <c r="T9" s="4">
        <f t="shared" si="6"/>
        <v>0</v>
      </c>
      <c r="U9" s="4">
        <f t="shared" si="7"/>
        <v>44.335994350223537</v>
      </c>
      <c r="V9" s="267">
        <f t="shared" si="8"/>
        <v>0</v>
      </c>
      <c r="W9" s="273"/>
      <c r="X9" s="4">
        <f t="shared" si="9"/>
        <v>11.908213014217829</v>
      </c>
      <c r="Y9" s="4">
        <f t="shared" si="9"/>
        <v>0</v>
      </c>
      <c r="Z9" s="4">
        <f t="shared" si="10"/>
        <v>40.487924248340619</v>
      </c>
      <c r="AA9" s="267">
        <f t="shared" si="11"/>
        <v>0</v>
      </c>
      <c r="AB9" s="273"/>
      <c r="AC9" s="4">
        <f t="shared" si="12"/>
        <v>5.1040539464432522</v>
      </c>
      <c r="AD9" s="4">
        <f t="shared" si="12"/>
        <v>0</v>
      </c>
      <c r="AE9" s="4">
        <f t="shared" si="13"/>
        <v>17.353783417907056</v>
      </c>
      <c r="AF9" s="267">
        <f t="shared" si="14"/>
        <v>0</v>
      </c>
      <c r="AG9" s="273"/>
      <c r="AH9" s="4">
        <f t="shared" si="15"/>
        <v>3.0668432855820171</v>
      </c>
      <c r="AI9" s="4">
        <f t="shared" si="15"/>
        <v>3.0532431989872122</v>
      </c>
      <c r="AJ9" s="4">
        <f t="shared" si="16"/>
        <v>10.427267170978858</v>
      </c>
      <c r="AK9" s="267">
        <f t="shared" si="17"/>
        <v>8.8238728450730424</v>
      </c>
      <c r="AL9" s="273"/>
      <c r="AM9" s="4">
        <f t="shared" si="18"/>
        <v>1.0729558498318261</v>
      </c>
      <c r="AN9" s="4">
        <f t="shared" si="18"/>
        <v>4.1946346824453062</v>
      </c>
      <c r="AO9" s="4">
        <f t="shared" si="19"/>
        <v>3.6480498894282087</v>
      </c>
      <c r="AP9" s="267">
        <f t="shared" si="20"/>
        <v>12.122494232266934</v>
      </c>
      <c r="AQ9" s="273"/>
      <c r="AR9" s="4">
        <f t="shared" si="21"/>
        <v>0</v>
      </c>
      <c r="AS9" s="4">
        <f t="shared" si="21"/>
        <v>3.4869044185014575</v>
      </c>
      <c r="AT9" s="4">
        <f t="shared" si="22"/>
        <v>0</v>
      </c>
      <c r="AU9" s="267">
        <f t="shared" si="23"/>
        <v>10.077153769469211</v>
      </c>
    </row>
    <row r="10" spans="1:47" x14ac:dyDescent="0.4">
      <c r="B10">
        <v>5</v>
      </c>
      <c r="C10" s="1">
        <v>6</v>
      </c>
      <c r="D10" s="1">
        <f t="shared" si="0"/>
        <v>5.0999999999999996</v>
      </c>
      <c r="E10" s="4">
        <v>17708</v>
      </c>
      <c r="F10" s="6">
        <v>5.4463195514506194E-2</v>
      </c>
      <c r="H10" s="4">
        <f t="shared" si="1"/>
        <v>16.06068037291357</v>
      </c>
      <c r="I10" s="4">
        <f t="shared" si="2"/>
        <v>0</v>
      </c>
      <c r="J10" s="267">
        <f t="shared" si="3"/>
        <v>96.364082237481426</v>
      </c>
      <c r="K10" s="267">
        <f t="shared" si="3"/>
        <v>0</v>
      </c>
      <c r="L10" s="273"/>
      <c r="M10" s="4">
        <f t="shared" si="24"/>
        <v>15.616731312208369</v>
      </c>
      <c r="N10" s="4">
        <f t="shared" si="4"/>
        <v>0</v>
      </c>
      <c r="O10" s="4">
        <f t="shared" si="25"/>
        <v>93.700387873250207</v>
      </c>
      <c r="P10" s="267">
        <f t="shared" si="26"/>
        <v>0</v>
      </c>
      <c r="Q10" s="6">
        <f t="shared" si="5"/>
        <v>5.4463195514506194E-2</v>
      </c>
      <c r="R10" s="273"/>
      <c r="S10" s="4">
        <f t="shared" si="6"/>
        <v>15.282084088327917</v>
      </c>
      <c r="T10" s="4">
        <f t="shared" si="6"/>
        <v>0</v>
      </c>
      <c r="U10" s="4">
        <f t="shared" si="7"/>
        <v>91.692504529967493</v>
      </c>
      <c r="V10" s="267">
        <f t="shared" si="8"/>
        <v>0</v>
      </c>
      <c r="W10" s="273"/>
      <c r="X10" s="4">
        <f t="shared" si="9"/>
        <v>13.955700599322919</v>
      </c>
      <c r="Y10" s="4">
        <f t="shared" si="9"/>
        <v>0</v>
      </c>
      <c r="Z10" s="4">
        <f t="shared" si="10"/>
        <v>83.734203595937515</v>
      </c>
      <c r="AA10" s="267">
        <f t="shared" si="11"/>
        <v>0</v>
      </c>
      <c r="AB10" s="273"/>
      <c r="AC10" s="4">
        <f t="shared" si="12"/>
        <v>5.9816404555669829</v>
      </c>
      <c r="AD10" s="4">
        <f t="shared" si="12"/>
        <v>0</v>
      </c>
      <c r="AE10" s="4">
        <f t="shared" si="13"/>
        <v>35.889842733401899</v>
      </c>
      <c r="AF10" s="267">
        <f t="shared" si="14"/>
        <v>0</v>
      </c>
      <c r="AG10" s="273"/>
      <c r="AH10" s="4">
        <f t="shared" si="15"/>
        <v>3.5941536003366221</v>
      </c>
      <c r="AI10" s="4">
        <f t="shared" si="15"/>
        <v>3.5782151269136695</v>
      </c>
      <c r="AJ10" s="4">
        <f t="shared" si="16"/>
        <v>21.564921602019734</v>
      </c>
      <c r="AK10" s="267">
        <f t="shared" si="17"/>
        <v>18.248897147259711</v>
      </c>
      <c r="AL10" s="273"/>
      <c r="AM10" s="4">
        <f t="shared" si="18"/>
        <v>1.2574389271225663</v>
      </c>
      <c r="AN10" s="4">
        <f t="shared" si="18"/>
        <v>4.9158564498174373</v>
      </c>
      <c r="AO10" s="4">
        <f t="shared" si="19"/>
        <v>7.544633562735398</v>
      </c>
      <c r="AP10" s="267">
        <f t="shared" si="20"/>
        <v>25.070867894068929</v>
      </c>
      <c r="AQ10" s="273"/>
      <c r="AR10" s="4">
        <f t="shared" si="21"/>
        <v>0</v>
      </c>
      <c r="AS10" s="4">
        <f t="shared" si="21"/>
        <v>4.0864396719274527</v>
      </c>
      <c r="AT10" s="4">
        <f t="shared" si="22"/>
        <v>0</v>
      </c>
      <c r="AU10" s="267">
        <f t="shared" si="23"/>
        <v>20.840842326830007</v>
      </c>
    </row>
    <row r="11" spans="1:47" x14ac:dyDescent="0.4">
      <c r="F11" s="6"/>
      <c r="G11" s="4" cm="1">
        <f t="array" ref="G11">機器台数case1!D30:D30</f>
        <v>91.275638999999998</v>
      </c>
      <c r="H11" s="4">
        <f>G11*(1-G$3)</f>
        <v>91.275638999999998</v>
      </c>
      <c r="I11" s="4">
        <f>G11*$G$3</f>
        <v>0</v>
      </c>
      <c r="J11" s="4">
        <f>SUM(J12:J18)</f>
        <v>208.76658126723069</v>
      </c>
      <c r="K11" s="267">
        <f t="shared" ref="K11:K42" si="27">D11*I11</f>
        <v>0</v>
      </c>
      <c r="L11" s="273">
        <f>機器台数case1!F30</f>
        <v>88.752599299411912</v>
      </c>
      <c r="M11" s="4">
        <f>L11*(1-L$3)</f>
        <v>88.752599299411912</v>
      </c>
      <c r="N11" s="4">
        <f>L11*$G$3</f>
        <v>0</v>
      </c>
      <c r="O11" s="4">
        <f>SUM(O12:O18)</f>
        <v>202.99585888759037</v>
      </c>
      <c r="P11" s="267">
        <f>SUM(P12:P18)</f>
        <v>0</v>
      </c>
      <c r="Q11" s="6"/>
      <c r="R11" s="273">
        <f>機器台数case1!H30</f>
        <v>86.850740941606645</v>
      </c>
      <c r="S11" s="4">
        <f>R11*(1-R$3)</f>
        <v>86.850740941606645</v>
      </c>
      <c r="T11" s="4">
        <f>R11*$G$3</f>
        <v>0</v>
      </c>
      <c r="U11" s="4">
        <f>SUM(U12:U18)</f>
        <v>198.6459088706585</v>
      </c>
      <c r="V11" s="267">
        <f>SUM(V12:V18)</f>
        <v>0</v>
      </c>
      <c r="W11" s="273">
        <f>機器台数case1!J30</f>
        <v>79.312672957752113</v>
      </c>
      <c r="X11" s="4">
        <f>W11*(1-W$3)</f>
        <v>79.312672957752113</v>
      </c>
      <c r="Y11" s="4">
        <f>W11*$G$3</f>
        <v>0</v>
      </c>
      <c r="Z11" s="4">
        <f>SUM(Z12:Z18)</f>
        <v>181.4047621683136</v>
      </c>
      <c r="AA11" s="267">
        <f>SUM(AA12:AA18)</f>
        <v>0</v>
      </c>
      <c r="AB11" s="273">
        <f>機器台数case1!L30</f>
        <v>33.99470272572777</v>
      </c>
      <c r="AC11" s="4">
        <f>AB11</f>
        <v>33.99470272572777</v>
      </c>
      <c r="AD11" s="4">
        <v>0</v>
      </c>
      <c r="AE11" s="4">
        <f>SUM(AE12:AE18)</f>
        <v>77.753034073483676</v>
      </c>
      <c r="AF11" s="267">
        <f>SUM(AF12:AF18)</f>
        <v>0</v>
      </c>
      <c r="AG11" s="273">
        <f>機器台数case1!N30</f>
        <v>20.426199819538692</v>
      </c>
      <c r="AH11" s="4">
        <f>機器台数case1!N30</f>
        <v>20.426199819538692</v>
      </c>
      <c r="AI11" s="4">
        <f>機器台数case1!N40</f>
        <v>19.709907359148346</v>
      </c>
      <c r="AJ11" s="4">
        <f>SUM(AJ12:AJ18)</f>
        <v>46.719014529237278</v>
      </c>
      <c r="AK11" s="267">
        <f>SUM(AK12:AK18)</f>
        <v>38.318597583236269</v>
      </c>
      <c r="AL11" s="273">
        <f>機器台数case1!S30</f>
        <v>0</v>
      </c>
      <c r="AM11" s="4">
        <f>機器台数case1!P30</f>
        <v>7.1462440514134693</v>
      </c>
      <c r="AN11" s="4">
        <f>機器台数case1!P40</f>
        <v>30.086718216329576</v>
      </c>
      <c r="AO11" s="4">
        <f>SUM(AO12:AO18)</f>
        <v>16.34496296996479</v>
      </c>
      <c r="AP11" s="267">
        <f>SUM(AP12:AP18)</f>
        <v>58.492453917935237</v>
      </c>
      <c r="AQ11" s="273">
        <f>機器台数case1!X30</f>
        <v>0</v>
      </c>
      <c r="AR11" s="4">
        <f>機器台数case1!R30</f>
        <v>0</v>
      </c>
      <c r="AS11" s="4">
        <f>機器台数case1!R40</f>
        <v>23.004853316150133</v>
      </c>
      <c r="AT11" s="4">
        <f>SUM(AT12:AT18)</f>
        <v>0</v>
      </c>
      <c r="AU11" s="267">
        <f>SUM(AU12:AU18)</f>
        <v>44.724396752366324</v>
      </c>
    </row>
    <row r="12" spans="1:47" x14ac:dyDescent="0.4">
      <c r="A12" t="s">
        <v>0</v>
      </c>
      <c r="B12">
        <v>1.5</v>
      </c>
      <c r="C12" s="1">
        <v>1.8</v>
      </c>
      <c r="D12" s="1">
        <f t="shared" ref="D12:D18" si="28">C12*0.85</f>
        <v>1.53</v>
      </c>
      <c r="E12" s="4">
        <v>5564</v>
      </c>
      <c r="F12" s="237">
        <f t="shared" ref="F12:F18" si="29">E12/$A$15</f>
        <v>7.66665748064045E-2</v>
      </c>
      <c r="H12" s="4">
        <f t="shared" ref="H12:H18" si="30">F12*H$11</f>
        <v>6.9977906053958723</v>
      </c>
      <c r="I12" s="4">
        <f t="shared" ref="I12:I18" si="31">$F12*I$11</f>
        <v>0</v>
      </c>
      <c r="J12" s="267">
        <f t="shared" ref="J12:J18" si="32">C12*H12</f>
        <v>12.59602308971257</v>
      </c>
      <c r="K12" s="267">
        <f t="shared" si="27"/>
        <v>0</v>
      </c>
      <c r="L12" s="273">
        <f>SUM(M12:M18)</f>
        <v>88.752599299411926</v>
      </c>
      <c r="M12" s="4">
        <f t="shared" ref="M12:N18" si="33">$F12*M$11</f>
        <v>6.8043577934512074</v>
      </c>
      <c r="N12" s="4">
        <f t="shared" si="33"/>
        <v>0</v>
      </c>
      <c r="O12" s="4">
        <f t="shared" ref="O12:O18" si="34">$C12*$M12</f>
        <v>12.247844028212173</v>
      </c>
      <c r="P12" s="267">
        <f t="shared" ref="P12:P18" si="35">$D12*$N12</f>
        <v>0</v>
      </c>
      <c r="Q12" s="6">
        <f t="shared" ref="Q12:Q18" si="36">E12/$A$15</f>
        <v>7.66665748064045E-2</v>
      </c>
      <c r="R12" s="273">
        <f>SUM(S12:S18)</f>
        <v>86.850740941606645</v>
      </c>
      <c r="S12" s="4">
        <f t="shared" ref="S12:T18" si="37">$F12*S$11</f>
        <v>6.6585488273913436</v>
      </c>
      <c r="T12" s="4">
        <f t="shared" si="37"/>
        <v>0</v>
      </c>
      <c r="U12" s="4">
        <f t="shared" ref="U12:U18" si="38">$C12*S12</f>
        <v>11.985387889304418</v>
      </c>
      <c r="V12" s="267">
        <f t="shared" ref="V12:V18" si="39">$D12*T12</f>
        <v>0</v>
      </c>
      <c r="W12" s="273">
        <f>SUM(X12:X18)</f>
        <v>79.312672957752127</v>
      </c>
      <c r="X12" s="4">
        <f t="shared" ref="X12:Y18" si="40">$F12*X$11</f>
        <v>6.080630974411398</v>
      </c>
      <c r="Y12" s="4">
        <f t="shared" si="40"/>
        <v>0</v>
      </c>
      <c r="Z12" s="4">
        <f t="shared" ref="Z12:Z18" si="41">$C12*X12</f>
        <v>10.945135753940516</v>
      </c>
      <c r="AA12" s="267">
        <f t="shared" ref="AA12:AA18" si="42">$D12*Y12</f>
        <v>0</v>
      </c>
      <c r="AB12" s="273">
        <f>SUM(AC12:AC18)</f>
        <v>33.99470272572777</v>
      </c>
      <c r="AC12" s="4">
        <f t="shared" ref="AC12:AD18" si="43">$F12*AC$11</f>
        <v>2.6062574195434909</v>
      </c>
      <c r="AD12" s="4">
        <f t="shared" si="43"/>
        <v>0</v>
      </c>
      <c r="AE12" s="4">
        <f t="shared" ref="AE12:AE18" si="44">$C12*AC12</f>
        <v>4.6912633551782834</v>
      </c>
      <c r="AF12" s="267">
        <f t="shared" ref="AF12:AF18" si="45">$D12*AD12</f>
        <v>0</v>
      </c>
      <c r="AG12" s="273">
        <f>SUM(AH12:AH18)</f>
        <v>20.426199819538695</v>
      </c>
      <c r="AH12" s="4">
        <f t="shared" ref="AH12:AI18" si="46">$F12*AH$11</f>
        <v>1.5660067764752292</v>
      </c>
      <c r="AI12" s="4">
        <f t="shared" si="46"/>
        <v>1.5110910869774492</v>
      </c>
      <c r="AJ12" s="4">
        <f t="shared" ref="AJ12:AJ18" si="47">$C12*AH12</f>
        <v>2.8188121976554128</v>
      </c>
      <c r="AK12" s="267">
        <f t="shared" ref="AK12:AK18" si="48">$D12*AI12</f>
        <v>2.3119693630754972</v>
      </c>
      <c r="AL12" s="273">
        <f>SUM(AM12:AM18)</f>
        <v>7.1462440514134693</v>
      </c>
      <c r="AM12" s="4">
        <f t="shared" ref="AM12:AN18" si="49">$F12*AM$11</f>
        <v>0.54787805415251389</v>
      </c>
      <c r="AN12" s="4">
        <f t="shared" si="49"/>
        <v>2.3066456328114442</v>
      </c>
      <c r="AO12" s="4">
        <f t="shared" ref="AO12:AO18" si="50">$C12*AM12</f>
        <v>0.98618049747452508</v>
      </c>
      <c r="AP12" s="267">
        <f t="shared" ref="AP12:AP18" si="51">$D12*AN12</f>
        <v>3.5291678182015098</v>
      </c>
      <c r="AQ12" s="273">
        <f>SUM(AR12:AR18)</f>
        <v>0</v>
      </c>
      <c r="AR12" s="4">
        <f t="shared" ref="AR12:AS18" si="52">$F12*AR$11</f>
        <v>0</v>
      </c>
      <c r="AS12" s="4">
        <f t="shared" si="52"/>
        <v>1.7637033076729867</v>
      </c>
      <c r="AT12" s="4">
        <f t="shared" ref="AT12:AT18" si="53">$C12*AR12</f>
        <v>0</v>
      </c>
      <c r="AU12" s="267">
        <f t="shared" ref="AU12:AU18" si="54">$D12*AS12</f>
        <v>2.6984660607396695</v>
      </c>
    </row>
    <row r="13" spans="1:47" x14ac:dyDescent="0.4">
      <c r="A13" t="s">
        <v>1</v>
      </c>
      <c r="B13">
        <v>2</v>
      </c>
      <c r="C13" s="1">
        <v>1.9</v>
      </c>
      <c r="D13" s="1">
        <f t="shared" si="28"/>
        <v>1.615</v>
      </c>
      <c r="E13" s="4">
        <v>19551</v>
      </c>
      <c r="F13" s="6">
        <f t="shared" si="29"/>
        <v>0.26939399785046986</v>
      </c>
      <c r="H13" s="4">
        <f t="shared" si="30"/>
        <v>24.589109296566264</v>
      </c>
      <c r="I13" s="4">
        <f t="shared" si="31"/>
        <v>0</v>
      </c>
      <c r="J13" s="267">
        <f t="shared" si="32"/>
        <v>46.719307663475895</v>
      </c>
      <c r="K13" s="267">
        <f t="shared" si="27"/>
        <v>0</v>
      </c>
      <c r="L13" s="273"/>
      <c r="M13" s="4">
        <f t="shared" si="33"/>
        <v>23.909417544889386</v>
      </c>
      <c r="N13" s="4">
        <f t="shared" si="33"/>
        <v>0</v>
      </c>
      <c r="O13" s="4">
        <f t="shared" si="34"/>
        <v>45.427893335289831</v>
      </c>
      <c r="P13" s="267">
        <f t="shared" si="35"/>
        <v>0</v>
      </c>
      <c r="Q13" s="6">
        <f t="shared" si="36"/>
        <v>0.26939399785046986</v>
      </c>
      <c r="R13" s="273"/>
      <c r="S13" s="4">
        <f t="shared" si="37"/>
        <v>23.397068318534895</v>
      </c>
      <c r="T13" s="4">
        <f t="shared" si="37"/>
        <v>0</v>
      </c>
      <c r="U13" s="4">
        <f t="shared" si="38"/>
        <v>44.4544298052163</v>
      </c>
      <c r="V13" s="267">
        <f t="shared" si="39"/>
        <v>0</v>
      </c>
      <c r="W13" s="273"/>
      <c r="X13" s="4">
        <f t="shared" si="40"/>
        <v>21.366358048295691</v>
      </c>
      <c r="Y13" s="4">
        <f t="shared" si="40"/>
        <v>0</v>
      </c>
      <c r="Z13" s="4">
        <f t="shared" si="41"/>
        <v>40.596080291761808</v>
      </c>
      <c r="AA13" s="267">
        <f t="shared" si="42"/>
        <v>0</v>
      </c>
      <c r="AB13" s="273"/>
      <c r="AC13" s="4">
        <f t="shared" si="43"/>
        <v>9.1579688730220692</v>
      </c>
      <c r="AD13" s="4">
        <f t="shared" si="43"/>
        <v>0</v>
      </c>
      <c r="AE13" s="4">
        <f t="shared" si="44"/>
        <v>17.400140858741931</v>
      </c>
      <c r="AF13" s="267">
        <f t="shared" si="45"/>
        <v>0</v>
      </c>
      <c r="AG13" s="273"/>
      <c r="AH13" s="4">
        <f t="shared" si="46"/>
        <v>5.5026956302780743</v>
      </c>
      <c r="AI13" s="4">
        <f t="shared" si="46"/>
        <v>5.3097307407433698</v>
      </c>
      <c r="AJ13" s="4">
        <f t="shared" si="47"/>
        <v>10.455121697528341</v>
      </c>
      <c r="AK13" s="267">
        <f t="shared" si="48"/>
        <v>8.5752151463005415</v>
      </c>
      <c r="AL13" s="273"/>
      <c r="AM13" s="4">
        <f t="shared" si="49"/>
        <v>1.9251552546254131</v>
      </c>
      <c r="AN13" s="4">
        <f t="shared" si="49"/>
        <v>8.1051813024975825</v>
      </c>
      <c r="AO13" s="4">
        <f t="shared" si="50"/>
        <v>3.6577949837882846</v>
      </c>
      <c r="AP13" s="267">
        <f t="shared" si="51"/>
        <v>13.089867803533595</v>
      </c>
      <c r="AQ13" s="273"/>
      <c r="AR13" s="4">
        <f t="shared" si="52"/>
        <v>0</v>
      </c>
      <c r="AS13" s="4">
        <f t="shared" si="52"/>
        <v>6.1973694048013233</v>
      </c>
      <c r="AT13" s="4">
        <f t="shared" si="53"/>
        <v>0</v>
      </c>
      <c r="AU13" s="267">
        <f t="shared" si="54"/>
        <v>10.008751588754137</v>
      </c>
    </row>
    <row r="14" spans="1:47" x14ac:dyDescent="0.4">
      <c r="A14" t="s">
        <v>5</v>
      </c>
      <c r="B14">
        <v>2.5</v>
      </c>
      <c r="C14" s="1">
        <v>2.1</v>
      </c>
      <c r="D14" s="1">
        <f t="shared" si="28"/>
        <v>1.7849999999999999</v>
      </c>
      <c r="E14" s="4">
        <v>20512</v>
      </c>
      <c r="F14" s="6">
        <f t="shared" si="29"/>
        <v>0.28263565464215834</v>
      </c>
      <c r="H14" s="4">
        <f t="shared" si="30"/>
        <v>25.797749981646319</v>
      </c>
      <c r="I14" s="4">
        <f t="shared" si="31"/>
        <v>0</v>
      </c>
      <c r="J14" s="267">
        <f t="shared" si="32"/>
        <v>54.175274961457276</v>
      </c>
      <c r="K14" s="267">
        <f t="shared" si="27"/>
        <v>0</v>
      </c>
      <c r="L14" s="273"/>
      <c r="M14" s="4">
        <f t="shared" si="33"/>
        <v>25.084649004182449</v>
      </c>
      <c r="N14" s="4">
        <f t="shared" si="33"/>
        <v>0</v>
      </c>
      <c r="O14" s="4">
        <f t="shared" si="34"/>
        <v>52.677762908783144</v>
      </c>
      <c r="P14" s="267">
        <f t="shared" si="35"/>
        <v>0</v>
      </c>
      <c r="Q14" s="6">
        <f t="shared" si="36"/>
        <v>0.28263565464215834</v>
      </c>
      <c r="R14" s="273"/>
      <c r="S14" s="4">
        <f t="shared" si="37"/>
        <v>24.547116022187499</v>
      </c>
      <c r="T14" s="4">
        <f t="shared" si="37"/>
        <v>0</v>
      </c>
      <c r="U14" s="4">
        <f t="shared" si="38"/>
        <v>51.548943646593749</v>
      </c>
      <c r="V14" s="267">
        <f t="shared" si="39"/>
        <v>0</v>
      </c>
      <c r="W14" s="273"/>
      <c r="X14" s="4">
        <f t="shared" si="40"/>
        <v>22.416589242833677</v>
      </c>
      <c r="Y14" s="4">
        <f t="shared" si="40"/>
        <v>0</v>
      </c>
      <c r="Z14" s="4">
        <f t="shared" si="41"/>
        <v>47.074837409950725</v>
      </c>
      <c r="AA14" s="267">
        <f t="shared" si="42"/>
        <v>0</v>
      </c>
      <c r="AB14" s="273"/>
      <c r="AC14" s="4">
        <f t="shared" si="43"/>
        <v>9.6081150592516327</v>
      </c>
      <c r="AD14" s="4">
        <f t="shared" si="43"/>
        <v>0</v>
      </c>
      <c r="AE14" s="4">
        <f t="shared" si="44"/>
        <v>20.17704162442843</v>
      </c>
      <c r="AF14" s="267">
        <f t="shared" si="45"/>
        <v>0</v>
      </c>
      <c r="AG14" s="273"/>
      <c r="AH14" s="4">
        <f t="shared" si="46"/>
        <v>5.773172357846855</v>
      </c>
      <c r="AI14" s="4">
        <f t="shared" si="46"/>
        <v>5.5707225693891873</v>
      </c>
      <c r="AJ14" s="4">
        <f t="shared" si="47"/>
        <v>12.123661951478397</v>
      </c>
      <c r="AK14" s="267">
        <f t="shared" si="48"/>
        <v>9.9437397863596981</v>
      </c>
      <c r="AL14" s="273"/>
      <c r="AM14" s="4">
        <f t="shared" si="49"/>
        <v>2.019783365703876</v>
      </c>
      <c r="AN14" s="4">
        <f t="shared" si="49"/>
        <v>8.5035792991064607</v>
      </c>
      <c r="AO14" s="4">
        <f t="shared" si="50"/>
        <v>4.2415450679781399</v>
      </c>
      <c r="AP14" s="267">
        <f t="shared" si="51"/>
        <v>15.178889048905031</v>
      </c>
      <c r="AQ14" s="273"/>
      <c r="AR14" s="4">
        <f t="shared" si="52"/>
        <v>0</v>
      </c>
      <c r="AS14" s="4">
        <f t="shared" si="52"/>
        <v>6.5019917769569195</v>
      </c>
      <c r="AT14" s="4">
        <f t="shared" si="53"/>
        <v>0</v>
      </c>
      <c r="AU14" s="267">
        <f t="shared" si="54"/>
        <v>11.606055321868102</v>
      </c>
    </row>
    <row r="15" spans="1:47" x14ac:dyDescent="0.4">
      <c r="A15" s="5">
        <f>SUM(E12:E18)</f>
        <v>72574</v>
      </c>
      <c r="B15">
        <v>3</v>
      </c>
      <c r="C15" s="1">
        <v>2.2000000000000002</v>
      </c>
      <c r="D15" s="1">
        <f t="shared" si="28"/>
        <v>1.87</v>
      </c>
      <c r="E15" s="4">
        <v>15655</v>
      </c>
      <c r="F15" s="6">
        <f t="shared" si="29"/>
        <v>0.21571086063879627</v>
      </c>
      <c r="H15" s="4">
        <f t="shared" si="30"/>
        <v>19.689146644046076</v>
      </c>
      <c r="I15" s="4">
        <f t="shared" si="31"/>
        <v>0</v>
      </c>
      <c r="J15" s="267">
        <f t="shared" si="32"/>
        <v>43.316122616901367</v>
      </c>
      <c r="K15" s="267">
        <f t="shared" si="27"/>
        <v>0</v>
      </c>
      <c r="L15" s="273"/>
      <c r="M15" s="4">
        <f t="shared" si="33"/>
        <v>19.14489957880637</v>
      </c>
      <c r="N15" s="4">
        <f t="shared" si="33"/>
        <v>0</v>
      </c>
      <c r="O15" s="4">
        <f t="shared" si="34"/>
        <v>42.118779073374021</v>
      </c>
      <c r="P15" s="267">
        <f t="shared" si="35"/>
        <v>0</v>
      </c>
      <c r="Q15" s="6">
        <f t="shared" si="36"/>
        <v>0.21571086063879627</v>
      </c>
      <c r="R15" s="273"/>
      <c r="S15" s="4">
        <f t="shared" si="37"/>
        <v>18.73464807563111</v>
      </c>
      <c r="T15" s="4">
        <f t="shared" si="37"/>
        <v>0</v>
      </c>
      <c r="U15" s="4">
        <f t="shared" si="38"/>
        <v>41.216225766388447</v>
      </c>
      <c r="V15" s="267">
        <f t="shared" si="39"/>
        <v>0</v>
      </c>
      <c r="W15" s="273"/>
      <c r="X15" s="4">
        <f t="shared" si="40"/>
        <v>17.108604943280092</v>
      </c>
      <c r="Y15" s="4">
        <f t="shared" si="40"/>
        <v>0</v>
      </c>
      <c r="Z15" s="4">
        <f t="shared" si="41"/>
        <v>37.638930875216204</v>
      </c>
      <c r="AA15" s="267">
        <f t="shared" si="42"/>
        <v>0</v>
      </c>
      <c r="AB15" s="273"/>
      <c r="AC15" s="4">
        <f t="shared" si="43"/>
        <v>7.3330265821267711</v>
      </c>
      <c r="AD15" s="4">
        <f t="shared" si="43"/>
        <v>0</v>
      </c>
      <c r="AE15" s="4">
        <f t="shared" si="44"/>
        <v>16.132658480678899</v>
      </c>
      <c r="AF15" s="267">
        <f t="shared" si="45"/>
        <v>0</v>
      </c>
      <c r="AG15" s="273"/>
      <c r="AH15" s="4">
        <f t="shared" si="46"/>
        <v>4.4061531426527161</v>
      </c>
      <c r="AI15" s="4">
        <f t="shared" si="46"/>
        <v>4.2516410795528339</v>
      </c>
      <c r="AJ15" s="4">
        <f t="shared" si="47"/>
        <v>9.6935369138359757</v>
      </c>
      <c r="AK15" s="267">
        <f t="shared" si="48"/>
        <v>7.9505688187637995</v>
      </c>
      <c r="AL15" s="273"/>
      <c r="AM15" s="4">
        <f t="shared" si="49"/>
        <v>1.5415224546652777</v>
      </c>
      <c r="AN15" s="4">
        <f t="shared" si="49"/>
        <v>6.4900318802414025</v>
      </c>
      <c r="AO15" s="4">
        <f t="shared" si="50"/>
        <v>3.3913494002636111</v>
      </c>
      <c r="AP15" s="267">
        <f t="shared" si="51"/>
        <v>12.136359616051424</v>
      </c>
      <c r="AQ15" s="273"/>
      <c r="AR15" s="4">
        <f t="shared" si="52"/>
        <v>0</v>
      </c>
      <c r="AS15" s="4">
        <f t="shared" si="52"/>
        <v>4.9623967076960112</v>
      </c>
      <c r="AT15" s="4">
        <f t="shared" si="53"/>
        <v>0</v>
      </c>
      <c r="AU15" s="267">
        <f t="shared" si="54"/>
        <v>9.2796818433915416</v>
      </c>
    </row>
    <row r="16" spans="1:47" x14ac:dyDescent="0.4">
      <c r="A16" s="237">
        <f>A15/$E$75</f>
        <v>4.7979542550160223E-2</v>
      </c>
      <c r="B16">
        <v>3.5</v>
      </c>
      <c r="C16" s="1">
        <v>2.5</v>
      </c>
      <c r="D16" s="1">
        <f t="shared" si="28"/>
        <v>2.125</v>
      </c>
      <c r="E16" s="4">
        <v>4647</v>
      </c>
      <c r="F16" s="6">
        <f t="shared" si="29"/>
        <v>6.403119574503266E-2</v>
      </c>
      <c r="H16" s="4">
        <f t="shared" si="30"/>
        <v>5.8444883075619369</v>
      </c>
      <c r="I16" s="4">
        <f t="shared" si="31"/>
        <v>0</v>
      </c>
      <c r="J16" s="267">
        <f t="shared" si="32"/>
        <v>14.611220768904843</v>
      </c>
      <c r="K16" s="267">
        <f t="shared" si="27"/>
        <v>0</v>
      </c>
      <c r="L16" s="273"/>
      <c r="M16" s="4">
        <f t="shared" si="33"/>
        <v>5.6829350586210925</v>
      </c>
      <c r="N16" s="4">
        <f t="shared" si="33"/>
        <v>0</v>
      </c>
      <c r="O16" s="4">
        <f t="shared" si="34"/>
        <v>14.20733764655273</v>
      </c>
      <c r="P16" s="267">
        <f t="shared" si="35"/>
        <v>0</v>
      </c>
      <c r="Q16" s="6">
        <f t="shared" si="36"/>
        <v>6.403119574503266E-2</v>
      </c>
      <c r="R16" s="273"/>
      <c r="S16" s="4">
        <f t="shared" si="37"/>
        <v>5.5611567938331374</v>
      </c>
      <c r="T16" s="4">
        <f t="shared" si="37"/>
        <v>0</v>
      </c>
      <c r="U16" s="4">
        <f t="shared" si="38"/>
        <v>13.902891984582844</v>
      </c>
      <c r="V16" s="267">
        <f t="shared" si="39"/>
        <v>0</v>
      </c>
      <c r="W16" s="273"/>
      <c r="X16" s="4">
        <f t="shared" si="40"/>
        <v>5.0784852872195838</v>
      </c>
      <c r="Y16" s="4">
        <f t="shared" si="40"/>
        <v>0</v>
      </c>
      <c r="Z16" s="4">
        <f t="shared" si="41"/>
        <v>12.69621321804896</v>
      </c>
      <c r="AA16" s="267">
        <f t="shared" si="42"/>
        <v>0</v>
      </c>
      <c r="AB16" s="273"/>
      <c r="AC16" s="4">
        <f t="shared" si="43"/>
        <v>2.1767214645252699</v>
      </c>
      <c r="AD16" s="4">
        <f t="shared" si="43"/>
        <v>0</v>
      </c>
      <c r="AE16" s="4">
        <f t="shared" si="44"/>
        <v>5.4418036613131751</v>
      </c>
      <c r="AF16" s="267">
        <f t="shared" si="45"/>
        <v>0</v>
      </c>
      <c r="AG16" s="273"/>
      <c r="AH16" s="4">
        <f t="shared" si="46"/>
        <v>1.3079139989720328</v>
      </c>
      <c r="AI16" s="4">
        <f t="shared" si="46"/>
        <v>1.2620489362300875</v>
      </c>
      <c r="AJ16" s="4">
        <f t="shared" si="47"/>
        <v>3.2697849974300821</v>
      </c>
      <c r="AK16" s="267">
        <f t="shared" si="48"/>
        <v>2.6818539894889359</v>
      </c>
      <c r="AL16" s="273"/>
      <c r="AM16" s="4">
        <f t="shared" si="49"/>
        <v>0.45758255169783107</v>
      </c>
      <c r="AN16" s="4">
        <f t="shared" si="49"/>
        <v>1.9264885434354388</v>
      </c>
      <c r="AO16" s="4">
        <f t="shared" si="50"/>
        <v>1.1439563792445777</v>
      </c>
      <c r="AP16" s="267">
        <f t="shared" si="51"/>
        <v>4.0937881548003077</v>
      </c>
      <c r="AQ16" s="273"/>
      <c r="AR16" s="4">
        <f t="shared" si="52"/>
        <v>0</v>
      </c>
      <c r="AS16" s="4">
        <f t="shared" si="52"/>
        <v>1.4730282657721729</v>
      </c>
      <c r="AT16" s="4">
        <f t="shared" si="53"/>
        <v>0</v>
      </c>
      <c r="AU16" s="267">
        <f t="shared" si="54"/>
        <v>3.1301850647658673</v>
      </c>
    </row>
    <row r="17" spans="1:47" x14ac:dyDescent="0.4">
      <c r="A17" s="18">
        <f>SUM(F12:F18)</f>
        <v>1</v>
      </c>
      <c r="B17">
        <v>4</v>
      </c>
      <c r="C17" s="1">
        <v>3.4</v>
      </c>
      <c r="D17" s="1">
        <f t="shared" si="28"/>
        <v>2.8899999999999997</v>
      </c>
      <c r="E17" s="4">
        <v>3913</v>
      </c>
      <c r="F17" s="6">
        <f t="shared" si="29"/>
        <v>5.3917380880205035E-2</v>
      </c>
      <c r="H17" s="4">
        <f t="shared" si="30"/>
        <v>4.9213433930470973</v>
      </c>
      <c r="I17" s="4">
        <f t="shared" si="31"/>
        <v>0</v>
      </c>
      <c r="J17" s="267">
        <f t="shared" si="32"/>
        <v>16.732567536360129</v>
      </c>
      <c r="K17" s="267">
        <f t="shared" si="27"/>
        <v>0</v>
      </c>
      <c r="L17" s="273"/>
      <c r="M17" s="4">
        <f t="shared" si="33"/>
        <v>4.7853077005346103</v>
      </c>
      <c r="N17" s="4">
        <f t="shared" si="33"/>
        <v>0</v>
      </c>
      <c r="O17" s="4">
        <f t="shared" si="34"/>
        <v>16.270046181817676</v>
      </c>
      <c r="P17" s="267">
        <f t="shared" si="35"/>
        <v>0</v>
      </c>
      <c r="Q17" s="6">
        <f t="shared" si="36"/>
        <v>5.3917380880205035E-2</v>
      </c>
      <c r="R17" s="273"/>
      <c r="S17" s="4">
        <f t="shared" si="37"/>
        <v>4.6827644790766225</v>
      </c>
      <c r="T17" s="4">
        <f t="shared" si="37"/>
        <v>0</v>
      </c>
      <c r="U17" s="4">
        <f t="shared" si="38"/>
        <v>15.921399228860516</v>
      </c>
      <c r="V17" s="267">
        <f t="shared" si="39"/>
        <v>0</v>
      </c>
      <c r="W17" s="273"/>
      <c r="X17" s="4">
        <f t="shared" si="40"/>
        <v>4.2763315964902588</v>
      </c>
      <c r="Y17" s="4">
        <f t="shared" si="40"/>
        <v>0</v>
      </c>
      <c r="Z17" s="4">
        <f t="shared" si="41"/>
        <v>14.539527428066879</v>
      </c>
      <c r="AA17" s="267">
        <f t="shared" si="42"/>
        <v>0</v>
      </c>
      <c r="AB17" s="273"/>
      <c r="AC17" s="4">
        <f t="shared" si="43"/>
        <v>1.8329053347724085</v>
      </c>
      <c r="AD17" s="4">
        <f t="shared" si="43"/>
        <v>0</v>
      </c>
      <c r="AE17" s="4">
        <f t="shared" si="44"/>
        <v>6.2318781382261887</v>
      </c>
      <c r="AF17" s="267">
        <f t="shared" si="45"/>
        <v>0</v>
      </c>
      <c r="AG17" s="273"/>
      <c r="AH17" s="4">
        <f t="shared" si="46"/>
        <v>1.1013271956052431</v>
      </c>
      <c r="AI17" s="4">
        <f t="shared" si="46"/>
        <v>1.0627065821967576</v>
      </c>
      <c r="AJ17" s="4">
        <f t="shared" si="47"/>
        <v>3.7445124650578263</v>
      </c>
      <c r="AK17" s="267">
        <f t="shared" si="48"/>
        <v>3.0712220225486293</v>
      </c>
      <c r="AL17" s="273"/>
      <c r="AM17" s="4">
        <f t="shared" si="49"/>
        <v>0.38530676238295958</v>
      </c>
      <c r="AN17" s="4">
        <f t="shared" si="49"/>
        <v>1.6221970455052448</v>
      </c>
      <c r="AO17" s="4">
        <f t="shared" si="50"/>
        <v>1.3100429921020624</v>
      </c>
      <c r="AP17" s="267">
        <f t="shared" si="51"/>
        <v>4.6881494615101573</v>
      </c>
      <c r="AQ17" s="273"/>
      <c r="AR17" s="4">
        <f t="shared" si="52"/>
        <v>0</v>
      </c>
      <c r="AS17" s="4">
        <f t="shared" si="52"/>
        <v>1.2403614383401145</v>
      </c>
      <c r="AT17" s="4">
        <f t="shared" si="53"/>
        <v>0</v>
      </c>
      <c r="AU17" s="267">
        <f t="shared" si="54"/>
        <v>3.5846445568029304</v>
      </c>
    </row>
    <row r="18" spans="1:47" x14ac:dyDescent="0.4">
      <c r="B18">
        <v>5</v>
      </c>
      <c r="C18" s="1">
        <v>6</v>
      </c>
      <c r="D18" s="1">
        <f t="shared" si="28"/>
        <v>5.0999999999999996</v>
      </c>
      <c r="E18" s="4">
        <v>2732</v>
      </c>
      <c r="F18" s="6">
        <f t="shared" si="29"/>
        <v>3.7644335436933338E-2</v>
      </c>
      <c r="H18" s="4">
        <f t="shared" si="30"/>
        <v>3.4360107717364343</v>
      </c>
      <c r="I18" s="4">
        <f t="shared" si="31"/>
        <v>0</v>
      </c>
      <c r="J18" s="267">
        <f t="shared" si="32"/>
        <v>20.616064630418606</v>
      </c>
      <c r="K18" s="267">
        <f t="shared" si="27"/>
        <v>0</v>
      </c>
      <c r="L18" s="273"/>
      <c r="M18" s="4">
        <f t="shared" si="33"/>
        <v>3.3410326189267967</v>
      </c>
      <c r="N18" s="4">
        <f t="shared" si="33"/>
        <v>0</v>
      </c>
      <c r="O18" s="4">
        <f t="shared" si="34"/>
        <v>20.046195713560781</v>
      </c>
      <c r="P18" s="267">
        <f t="shared" si="35"/>
        <v>0</v>
      </c>
      <c r="Q18" s="6">
        <f t="shared" si="36"/>
        <v>3.7644335436933338E-2</v>
      </c>
      <c r="R18" s="273"/>
      <c r="S18" s="4">
        <f t="shared" si="37"/>
        <v>3.2694384249520403</v>
      </c>
      <c r="T18" s="4">
        <f t="shared" si="37"/>
        <v>0</v>
      </c>
      <c r="U18" s="4">
        <f t="shared" si="38"/>
        <v>19.616630549712241</v>
      </c>
      <c r="V18" s="267">
        <f t="shared" si="39"/>
        <v>0</v>
      </c>
      <c r="W18" s="273"/>
      <c r="X18" s="4">
        <f t="shared" si="40"/>
        <v>2.9856728652214124</v>
      </c>
      <c r="Y18" s="4">
        <f t="shared" si="40"/>
        <v>0</v>
      </c>
      <c r="Z18" s="4">
        <f t="shared" si="41"/>
        <v>17.914037191328475</v>
      </c>
      <c r="AA18" s="267">
        <f t="shared" si="42"/>
        <v>0</v>
      </c>
      <c r="AB18" s="273"/>
      <c r="AC18" s="4">
        <f t="shared" si="43"/>
        <v>1.2797079924861281</v>
      </c>
      <c r="AD18" s="4">
        <f t="shared" si="43"/>
        <v>0</v>
      </c>
      <c r="AE18" s="4">
        <f t="shared" si="44"/>
        <v>7.6782479549167686</v>
      </c>
      <c r="AF18" s="267">
        <f t="shared" si="45"/>
        <v>0</v>
      </c>
      <c r="AG18" s="273"/>
      <c r="AH18" s="4">
        <f t="shared" si="46"/>
        <v>0.76893071770854171</v>
      </c>
      <c r="AI18" s="4">
        <f t="shared" si="46"/>
        <v>0.74196636405866123</v>
      </c>
      <c r="AJ18" s="4">
        <f t="shared" si="47"/>
        <v>4.6135843062512505</v>
      </c>
      <c r="AK18" s="267">
        <f t="shared" si="48"/>
        <v>3.784028456699172</v>
      </c>
      <c r="AL18" s="273"/>
      <c r="AM18" s="4">
        <f t="shared" si="49"/>
        <v>0.26901560818559811</v>
      </c>
      <c r="AN18" s="4">
        <f t="shared" si="49"/>
        <v>1.1325945127320032</v>
      </c>
      <c r="AO18" s="4">
        <f t="shared" si="50"/>
        <v>1.6140936491135887</v>
      </c>
      <c r="AP18" s="267">
        <f t="shared" si="51"/>
        <v>5.7762320149332158</v>
      </c>
      <c r="AQ18" s="273"/>
      <c r="AR18" s="4">
        <f t="shared" si="52"/>
        <v>0</v>
      </c>
      <c r="AS18" s="4">
        <f t="shared" si="52"/>
        <v>0.86600241491060381</v>
      </c>
      <c r="AT18" s="4">
        <f t="shared" si="53"/>
        <v>0</v>
      </c>
      <c r="AU18" s="267">
        <f t="shared" si="54"/>
        <v>4.4166123160440796</v>
      </c>
    </row>
    <row r="19" spans="1:47" x14ac:dyDescent="0.4">
      <c r="F19" s="6"/>
      <c r="G19" s="4">
        <f>機器台数case1!D31</f>
        <v>463.39939799999996</v>
      </c>
      <c r="H19" s="4">
        <f>G19*(1-G$3)</f>
        <v>463.39939799999996</v>
      </c>
      <c r="I19" s="4">
        <f>G19*$G$3</f>
        <v>0</v>
      </c>
      <c r="J19" s="4">
        <f>SUM(J20:J26)</f>
        <v>1256.9304591873051</v>
      </c>
      <c r="K19" s="267">
        <f t="shared" si="27"/>
        <v>0</v>
      </c>
      <c r="L19" s="273">
        <f>機器台数case1!F31</f>
        <v>450.59011952009121</v>
      </c>
      <c r="M19" s="4">
        <f>L19*(1-L$3)</f>
        <v>450.59011952009121</v>
      </c>
      <c r="N19" s="4">
        <f>L19*$G$3</f>
        <v>0</v>
      </c>
      <c r="O19" s="4">
        <f>SUM(O20:O26)</f>
        <v>1222.1864082647146</v>
      </c>
      <c r="P19" s="267">
        <f>I19*N19</f>
        <v>0</v>
      </c>
      <c r="Q19" s="6"/>
      <c r="R19" s="273">
        <f>機器台数case1!H31</f>
        <v>440.93453093431066</v>
      </c>
      <c r="S19" s="4">
        <f>R19*(1-R$3)</f>
        <v>440.93453093431066</v>
      </c>
      <c r="T19" s="4">
        <f>R19*$G$3</f>
        <v>0</v>
      </c>
      <c r="U19" s="4">
        <f>SUM(U20:U26)</f>
        <v>1195.9964661818619</v>
      </c>
      <c r="V19" s="4">
        <f>SUM(V20:V26)</f>
        <v>0</v>
      </c>
      <c r="W19" s="273">
        <f>機器台数case1!J31</f>
        <v>402.66433963166457</v>
      </c>
      <c r="X19" s="4">
        <f>W19*(1-W$3)</f>
        <v>402.66433963166457</v>
      </c>
      <c r="Y19" s="4">
        <f>W19*$G$3</f>
        <v>0</v>
      </c>
      <c r="Z19" s="4">
        <f>SUM(Z20:Z26)</f>
        <v>1092.1919093895353</v>
      </c>
      <c r="AA19" s="4">
        <f>SUM(AA20:AA26)</f>
        <v>0</v>
      </c>
      <c r="AB19" s="273"/>
      <c r="AC19" s="4">
        <f>機器台数case1!L31</f>
        <v>172.58849076138713</v>
      </c>
      <c r="AD19" s="4">
        <f>機器台数case1!L41</f>
        <v>266.99335545430779</v>
      </c>
      <c r="AE19" s="4">
        <f>SUM(AE20:AE26)</f>
        <v>468.13123167491534</v>
      </c>
      <c r="AF19" s="4">
        <f>SUM(AF20:AF26)</f>
        <v>615.56676588619814</v>
      </c>
      <c r="AG19" s="273">
        <f>機器台数case1!N31</f>
        <v>103.70224523765798</v>
      </c>
      <c r="AH19" s="4">
        <f>機器台数case1!N31</f>
        <v>103.70224523765798</v>
      </c>
      <c r="AI19" s="4">
        <f>機器台数case1!N41</f>
        <v>258.6858572909361</v>
      </c>
      <c r="AJ19" s="4">
        <f>SUM(AJ20:AJ26)</f>
        <v>281.28329749216459</v>
      </c>
      <c r="AK19" s="4">
        <f>SUM(AK20:AK26)</f>
        <v>596.41340617681226</v>
      </c>
      <c r="AL19" s="273">
        <f>機器台数case1!S31</f>
        <v>0</v>
      </c>
      <c r="AM19" s="4">
        <f>機器台数case1!P31</f>
        <v>36.280931337945312</v>
      </c>
      <c r="AN19" s="4">
        <f>機器台数case1!P41</f>
        <v>217.86371564778489</v>
      </c>
      <c r="AO19" s="4">
        <f>SUM(AO20:AO26)</f>
        <v>98.408862599227405</v>
      </c>
      <c r="AP19" s="4">
        <f>SUM(AP20:AP26)</f>
        <v>502.29588154754003</v>
      </c>
      <c r="AQ19" s="273">
        <f>機器台数case1!X31</f>
        <v>0</v>
      </c>
      <c r="AR19" s="4">
        <f>機器台数case1!R31</f>
        <v>0</v>
      </c>
      <c r="AS19" s="4">
        <f>機器台数case1!R41</f>
        <v>116.79387068199297</v>
      </c>
      <c r="AT19" s="4">
        <f>SUM(AT20:AT26)</f>
        <v>0</v>
      </c>
      <c r="AU19" s="4">
        <f>SUM(AU20:AU26)</f>
        <v>269.27421144511965</v>
      </c>
    </row>
    <row r="20" spans="1:47" x14ac:dyDescent="0.4">
      <c r="A20" t="s">
        <v>6</v>
      </c>
      <c r="B20">
        <v>1.5</v>
      </c>
      <c r="C20" s="1">
        <v>1.8</v>
      </c>
      <c r="D20" s="1">
        <f t="shared" ref="D20:D26" si="55">C20*0.85</f>
        <v>1.53</v>
      </c>
      <c r="E20" s="4">
        <v>32946</v>
      </c>
      <c r="F20" s="6">
        <v>6.5181005591013225E-2</v>
      </c>
      <c r="H20" s="4">
        <f t="shared" ref="H20:H26" si="56">F20*H$19</f>
        <v>30.20483875191016</v>
      </c>
      <c r="I20" s="4">
        <f t="shared" ref="I20:I26" si="57">$F20*I$19</f>
        <v>0</v>
      </c>
      <c r="J20" s="267">
        <f t="shared" ref="J20:J26" si="58">C20*H20</f>
        <v>54.368709753438289</v>
      </c>
      <c r="K20" s="267">
        <f t="shared" si="27"/>
        <v>0</v>
      </c>
      <c r="L20" s="273"/>
      <c r="M20" s="4">
        <f t="shared" ref="M20:N26" si="59">$F20*M$19</f>
        <v>29.369917099694383</v>
      </c>
      <c r="N20" s="4">
        <f t="shared" si="59"/>
        <v>0</v>
      </c>
      <c r="O20" s="4">
        <f t="shared" ref="O20:O26" si="60">$C20*$M20</f>
        <v>52.865850779449893</v>
      </c>
      <c r="P20" s="267">
        <f t="shared" ref="P20:P26" si="61">$D20*$N20</f>
        <v>0</v>
      </c>
      <c r="Q20" s="6">
        <f t="shared" ref="Q20:Q26" si="62">E20/$A$22</f>
        <v>6.5181005591013225E-2</v>
      </c>
      <c r="R20" s="273">
        <f>SUM(S20:S26)</f>
        <v>440.93453093431066</v>
      </c>
      <c r="S20" s="4">
        <f t="shared" ref="S20:T26" si="63">$F20*S$19</f>
        <v>28.740556126100095</v>
      </c>
      <c r="T20" s="4">
        <f t="shared" si="63"/>
        <v>0</v>
      </c>
      <c r="U20" s="4">
        <f t="shared" ref="U20:U26" si="64">$C20*S20</f>
        <v>51.733001026980176</v>
      </c>
      <c r="V20" s="267">
        <f t="shared" ref="V20:V26" si="65">$D20*T20</f>
        <v>0</v>
      </c>
      <c r="W20" s="273">
        <f>SUM(X20:X26)</f>
        <v>402.66433963166463</v>
      </c>
      <c r="X20" s="4">
        <f t="shared" ref="X20:Y26" si="66">$F20*X$19</f>
        <v>26.246066572833175</v>
      </c>
      <c r="Y20" s="4">
        <f t="shared" si="66"/>
        <v>0</v>
      </c>
      <c r="Z20" s="4">
        <f t="shared" ref="Z20:Z26" si="67">$C20*X20</f>
        <v>47.242919831099719</v>
      </c>
      <c r="AA20" s="267">
        <f t="shared" ref="AA20:AA26" si="68">$D20*Y20</f>
        <v>0</v>
      </c>
      <c r="AB20" s="273">
        <f>SUM(AC20:AC26)</f>
        <v>172.58849076138711</v>
      </c>
      <c r="AC20" s="4">
        <f t="shared" ref="AC20:AD26" si="69">$F20*AC$19</f>
        <v>11.249491381262509</v>
      </c>
      <c r="AD20" s="4">
        <f t="shared" si="69"/>
        <v>17.402895394630619</v>
      </c>
      <c r="AE20" s="4">
        <f t="shared" ref="AE20:AE26" si="70">$C20*AC20</f>
        <v>20.249084486272515</v>
      </c>
      <c r="AF20" s="267">
        <f t="shared" ref="AF20:AF26" si="71">$D20*AD20</f>
        <v>26.626429953784847</v>
      </c>
      <c r="AG20" s="273">
        <f>SUM(AH20:AH26)</f>
        <v>103.702245237658</v>
      </c>
      <c r="AH20" s="4">
        <f t="shared" ref="AH20:AI26" si="72">$F20*AH$19</f>
        <v>6.7594166266364093</v>
      </c>
      <c r="AI20" s="4">
        <f t="shared" si="72"/>
        <v>16.861404310396555</v>
      </c>
      <c r="AJ20" s="4">
        <f t="shared" ref="AJ20:AJ26" si="73">$C20*AH20</f>
        <v>12.166949927945536</v>
      </c>
      <c r="AK20" s="267">
        <f t="shared" ref="AK20:AK26" si="74">$D20*AI20</f>
        <v>25.797948594906728</v>
      </c>
      <c r="AL20" s="273">
        <f>SUM(AM20:AM26)</f>
        <v>36.280931337945312</v>
      </c>
      <c r="AM20" s="4">
        <f t="shared" ref="AM20:AN26" si="75">$F20*AM$19</f>
        <v>2.3648275883857801</v>
      </c>
      <c r="AN20" s="4">
        <f t="shared" si="75"/>
        <v>14.200576067717183</v>
      </c>
      <c r="AO20" s="4">
        <f t="shared" ref="AO20:AO26" si="76">$C20*AM20</f>
        <v>4.2566896590944046</v>
      </c>
      <c r="AP20" s="267">
        <f t="shared" ref="AP20:AP26" si="77">$D20*AN20</f>
        <v>21.726881383607289</v>
      </c>
      <c r="AQ20" s="273">
        <f>SUM(AR20:AR26)</f>
        <v>0</v>
      </c>
      <c r="AR20" s="4">
        <f t="shared" ref="AR20:AS26" si="78">$F20*AR$19</f>
        <v>0</v>
      </c>
      <c r="AS20" s="4">
        <f t="shared" si="78"/>
        <v>7.6127419379190595</v>
      </c>
      <c r="AT20" s="4">
        <f t="shared" ref="AT20:AT26" si="79">$C20*AR20</f>
        <v>0</v>
      </c>
      <c r="AU20" s="267">
        <f t="shared" ref="AU20:AU26" si="80">$D20*AS20</f>
        <v>11.647495165016162</v>
      </c>
    </row>
    <row r="21" spans="1:47" x14ac:dyDescent="0.4">
      <c r="A21" t="s">
        <v>17</v>
      </c>
      <c r="B21">
        <v>2</v>
      </c>
      <c r="C21" s="1">
        <v>2</v>
      </c>
      <c r="D21" s="1">
        <f t="shared" si="55"/>
        <v>1.7</v>
      </c>
      <c r="E21" s="4">
        <v>122471</v>
      </c>
      <c r="F21" s="6">
        <v>0.24229900248093794</v>
      </c>
      <c r="H21" s="4">
        <f t="shared" si="56"/>
        <v>112.28121188566713</v>
      </c>
      <c r="I21" s="4">
        <f t="shared" si="57"/>
        <v>0</v>
      </c>
      <c r="J21" s="267">
        <f t="shared" si="58"/>
        <v>224.56242377133427</v>
      </c>
      <c r="K21" s="267">
        <f t="shared" si="27"/>
        <v>0</v>
      </c>
      <c r="L21" s="273"/>
      <c r="M21" s="4">
        <f t="shared" si="59"/>
        <v>109.1775364874847</v>
      </c>
      <c r="N21" s="4">
        <f t="shared" si="59"/>
        <v>0</v>
      </c>
      <c r="O21" s="4">
        <f t="shared" si="60"/>
        <v>218.3550729749694</v>
      </c>
      <c r="P21" s="267">
        <f t="shared" si="61"/>
        <v>0</v>
      </c>
      <c r="Q21" s="6">
        <f t="shared" si="62"/>
        <v>0.24229900248093794</v>
      </c>
      <c r="R21" s="273"/>
      <c r="S21" s="4">
        <f t="shared" si="63"/>
        <v>106.83799700478374</v>
      </c>
      <c r="T21" s="4">
        <f t="shared" si="63"/>
        <v>0</v>
      </c>
      <c r="U21" s="4">
        <f t="shared" si="64"/>
        <v>213.67599400956749</v>
      </c>
      <c r="V21" s="267">
        <f t="shared" si="65"/>
        <v>0</v>
      </c>
      <c r="W21" s="273"/>
      <c r="X21" s="4">
        <f t="shared" si="66"/>
        <v>97.565167827397929</v>
      </c>
      <c r="Y21" s="4">
        <f t="shared" si="66"/>
        <v>0</v>
      </c>
      <c r="Z21" s="4">
        <f t="shared" si="67"/>
        <v>195.13033565479586</v>
      </c>
      <c r="AA21" s="267">
        <f t="shared" si="68"/>
        <v>0</v>
      </c>
      <c r="AB21" s="273"/>
      <c r="AC21" s="4">
        <f t="shared" si="69"/>
        <v>41.818019151174674</v>
      </c>
      <c r="AD21" s="4">
        <f t="shared" si="69"/>
        <v>64.692223695617272</v>
      </c>
      <c r="AE21" s="4">
        <f t="shared" si="70"/>
        <v>83.636038302349348</v>
      </c>
      <c r="AF21" s="267">
        <f t="shared" si="71"/>
        <v>109.97678028254936</v>
      </c>
      <c r="AG21" s="273"/>
      <c r="AH21" s="4">
        <f t="shared" si="72"/>
        <v>25.126950576118126</v>
      </c>
      <c r="AI21" s="4">
        <f t="shared" si="72"/>
        <v>62.679325177520084</v>
      </c>
      <c r="AJ21" s="4">
        <f t="shared" si="73"/>
        <v>50.253901152236253</v>
      </c>
      <c r="AK21" s="267">
        <f t="shared" si="74"/>
        <v>106.55485280178414</v>
      </c>
      <c r="AL21" s="273"/>
      <c r="AM21" s="4">
        <f t="shared" si="75"/>
        <v>8.7908334722635502</v>
      </c>
      <c r="AN21" s="4">
        <f t="shared" si="75"/>
        <v>52.788160978248989</v>
      </c>
      <c r="AO21" s="4">
        <f t="shared" si="76"/>
        <v>17.5816669445271</v>
      </c>
      <c r="AP21" s="267">
        <f t="shared" si="77"/>
        <v>89.739873663023275</v>
      </c>
      <c r="AQ21" s="273"/>
      <c r="AR21" s="4">
        <f t="shared" si="78"/>
        <v>0</v>
      </c>
      <c r="AS21" s="4">
        <f t="shared" si="78"/>
        <v>28.29903836213456</v>
      </c>
      <c r="AT21" s="4">
        <f t="shared" si="79"/>
        <v>0</v>
      </c>
      <c r="AU21" s="267">
        <f t="shared" si="80"/>
        <v>48.108365215628751</v>
      </c>
    </row>
    <row r="22" spans="1:47" x14ac:dyDescent="0.4">
      <c r="A22" s="5">
        <f>SUM(E20:E26)</f>
        <v>505454</v>
      </c>
      <c r="B22">
        <v>2.5</v>
      </c>
      <c r="C22" s="1">
        <v>2.2000000000000002</v>
      </c>
      <c r="D22" s="1">
        <f t="shared" si="55"/>
        <v>1.87</v>
      </c>
      <c r="E22" s="4">
        <v>82511</v>
      </c>
      <c r="F22" s="6">
        <v>0.16324136321010418</v>
      </c>
      <c r="H22" s="4">
        <f t="shared" si="56"/>
        <v>75.645949440261617</v>
      </c>
      <c r="I22" s="4">
        <f t="shared" si="57"/>
        <v>0</v>
      </c>
      <c r="J22" s="267">
        <f t="shared" si="58"/>
        <v>166.42108876857557</v>
      </c>
      <c r="K22" s="267">
        <f t="shared" si="27"/>
        <v>0</v>
      </c>
      <c r="L22" s="273"/>
      <c r="M22" s="4">
        <f t="shared" si="59"/>
        <v>73.55494535946346</v>
      </c>
      <c r="N22" s="4">
        <f t="shared" si="59"/>
        <v>0</v>
      </c>
      <c r="O22" s="4">
        <f t="shared" si="60"/>
        <v>161.82087979081962</v>
      </c>
      <c r="P22" s="267">
        <f t="shared" si="61"/>
        <v>0</v>
      </c>
      <c r="Q22" s="6">
        <f t="shared" si="62"/>
        <v>0.16324136321010418</v>
      </c>
      <c r="R22" s="273"/>
      <c r="S22" s="4">
        <f t="shared" si="63"/>
        <v>71.978753916124731</v>
      </c>
      <c r="T22" s="4">
        <f t="shared" si="63"/>
        <v>0</v>
      </c>
      <c r="U22" s="4">
        <f t="shared" si="64"/>
        <v>158.35325861547443</v>
      </c>
      <c r="V22" s="267">
        <f t="shared" si="65"/>
        <v>0</v>
      </c>
      <c r="W22" s="273"/>
      <c r="X22" s="4">
        <f t="shared" si="66"/>
        <v>65.73147571756931</v>
      </c>
      <c r="Y22" s="4">
        <f t="shared" si="66"/>
        <v>0</v>
      </c>
      <c r="Z22" s="4">
        <f t="shared" si="67"/>
        <v>144.60924657865249</v>
      </c>
      <c r="AA22" s="267">
        <f t="shared" si="68"/>
        <v>0</v>
      </c>
      <c r="AB22" s="273"/>
      <c r="AC22" s="4">
        <f t="shared" si="69"/>
        <v>28.173580506263306</v>
      </c>
      <c r="AD22" s="4">
        <f t="shared" si="69"/>
        <v>43.584359312401112</v>
      </c>
      <c r="AE22" s="4">
        <f t="shared" si="70"/>
        <v>61.981877113779277</v>
      </c>
      <c r="AF22" s="267">
        <f t="shared" si="71"/>
        <v>81.502751914190085</v>
      </c>
      <c r="AG22" s="273"/>
      <c r="AH22" s="4">
        <f t="shared" si="72"/>
        <v>16.928495880543824</v>
      </c>
      <c r="AI22" s="4">
        <f t="shared" si="72"/>
        <v>42.228231987346881</v>
      </c>
      <c r="AJ22" s="4">
        <f t="shared" si="73"/>
        <v>37.242690937196414</v>
      </c>
      <c r="AK22" s="267">
        <f t="shared" si="74"/>
        <v>78.966793816338665</v>
      </c>
      <c r="AL22" s="273"/>
      <c r="AM22" s="4">
        <f t="shared" si="75"/>
        <v>5.9225486901383819</v>
      </c>
      <c r="AN22" s="4">
        <f t="shared" si="75"/>
        <v>35.564369936362908</v>
      </c>
      <c r="AO22" s="4">
        <f t="shared" si="76"/>
        <v>13.02960711830444</v>
      </c>
      <c r="AP22" s="267">
        <f t="shared" si="77"/>
        <v>66.505371780998644</v>
      </c>
      <c r="AQ22" s="273"/>
      <c r="AR22" s="4">
        <f t="shared" si="78"/>
        <v>0</v>
      </c>
      <c r="AS22" s="4">
        <f t="shared" si="78"/>
        <v>19.065590664713152</v>
      </c>
      <c r="AT22" s="4">
        <f t="shared" si="79"/>
        <v>0</v>
      </c>
      <c r="AU22" s="267">
        <f t="shared" si="80"/>
        <v>35.652654543013597</v>
      </c>
    </row>
    <row r="23" spans="1:47" x14ac:dyDescent="0.4">
      <c r="A23" s="237">
        <f>A22/$E$75</f>
        <v>0.33416170667385958</v>
      </c>
      <c r="B23">
        <v>3</v>
      </c>
      <c r="C23" s="1">
        <v>2.7</v>
      </c>
      <c r="D23" s="1">
        <f t="shared" si="55"/>
        <v>2.2949999999999999</v>
      </c>
      <c r="E23" s="4">
        <v>111538</v>
      </c>
      <c r="F23" s="6">
        <v>0.22066894316792429</v>
      </c>
      <c r="H23" s="4">
        <f t="shared" si="56"/>
        <v>102.25785542131233</v>
      </c>
      <c r="I23" s="4">
        <f t="shared" si="57"/>
        <v>0</v>
      </c>
      <c r="J23" s="267">
        <f t="shared" si="58"/>
        <v>276.09620963754332</v>
      </c>
      <c r="K23" s="267">
        <f t="shared" si="27"/>
        <v>0</v>
      </c>
      <c r="L23" s="273"/>
      <c r="M23" s="4">
        <f t="shared" si="59"/>
        <v>99.431245476407227</v>
      </c>
      <c r="N23" s="4">
        <f t="shared" si="59"/>
        <v>0</v>
      </c>
      <c r="O23" s="4">
        <f t="shared" si="60"/>
        <v>268.46436278629955</v>
      </c>
      <c r="P23" s="267">
        <f t="shared" si="61"/>
        <v>0</v>
      </c>
      <c r="Q23" s="6">
        <f t="shared" si="62"/>
        <v>0.22066894316792429</v>
      </c>
      <c r="R23" s="273"/>
      <c r="S23" s="4">
        <f t="shared" si="63"/>
        <v>97.300556947518757</v>
      </c>
      <c r="T23" s="4">
        <f t="shared" si="63"/>
        <v>0</v>
      </c>
      <c r="U23" s="4">
        <f t="shared" si="64"/>
        <v>262.71150375830064</v>
      </c>
      <c r="V23" s="267">
        <f t="shared" si="65"/>
        <v>0</v>
      </c>
      <c r="W23" s="273"/>
      <c r="X23" s="4">
        <f t="shared" si="66"/>
        <v>88.855514277929558</v>
      </c>
      <c r="Y23" s="4">
        <f t="shared" si="66"/>
        <v>0</v>
      </c>
      <c r="Z23" s="4">
        <f t="shared" si="67"/>
        <v>239.90988855040982</v>
      </c>
      <c r="AA23" s="267">
        <f t="shared" si="68"/>
        <v>0</v>
      </c>
      <c r="AB23" s="273"/>
      <c r="AC23" s="4">
        <f t="shared" si="69"/>
        <v>38.084919859262364</v>
      </c>
      <c r="AD23" s="4">
        <f t="shared" si="69"/>
        <v>58.917141580960056</v>
      </c>
      <c r="AE23" s="4">
        <f t="shared" si="70"/>
        <v>102.82928362000838</v>
      </c>
      <c r="AF23" s="267">
        <f t="shared" si="71"/>
        <v>135.21483992830332</v>
      </c>
      <c r="AG23" s="273"/>
      <c r="AH23" s="4">
        <f t="shared" si="72"/>
        <v>22.883864860734896</v>
      </c>
      <c r="AI23" s="4">
        <f t="shared" si="72"/>
        <v>57.08393474087935</v>
      </c>
      <c r="AJ23" s="4">
        <f t="shared" si="73"/>
        <v>61.786435123984219</v>
      </c>
      <c r="AK23" s="267">
        <f t="shared" si="74"/>
        <v>131.00763023031811</v>
      </c>
      <c r="AL23" s="273"/>
      <c r="AM23" s="4">
        <f t="shared" si="75"/>
        <v>8.0060747754924169</v>
      </c>
      <c r="AN23" s="4">
        <f t="shared" si="75"/>
        <v>48.075755886633864</v>
      </c>
      <c r="AO23" s="4">
        <f t="shared" si="76"/>
        <v>21.616401893829526</v>
      </c>
      <c r="AP23" s="267">
        <f t="shared" si="77"/>
        <v>110.33385975982472</v>
      </c>
      <c r="AQ23" s="273"/>
      <c r="AR23" s="4">
        <f t="shared" si="78"/>
        <v>0</v>
      </c>
      <c r="AS23" s="4">
        <f t="shared" si="78"/>
        <v>25.772780011886606</v>
      </c>
      <c r="AT23" s="4">
        <f t="shared" si="79"/>
        <v>0</v>
      </c>
      <c r="AU23" s="267">
        <f t="shared" si="80"/>
        <v>59.148530127279763</v>
      </c>
    </row>
    <row r="24" spans="1:47" x14ac:dyDescent="0.4">
      <c r="B24">
        <v>3.5</v>
      </c>
      <c r="C24" s="1">
        <v>3</v>
      </c>
      <c r="D24" s="1">
        <f t="shared" si="55"/>
        <v>2.5499999999999998</v>
      </c>
      <c r="E24" s="4">
        <v>50267</v>
      </c>
      <c r="F24" s="6">
        <v>9.944920803871371E-2</v>
      </c>
      <c r="H24" s="4">
        <f t="shared" si="56"/>
        <v>46.084703136716691</v>
      </c>
      <c r="I24" s="4">
        <f t="shared" si="57"/>
        <v>0</v>
      </c>
      <c r="J24" s="267">
        <f t="shared" si="58"/>
        <v>138.25410941015008</v>
      </c>
      <c r="K24" s="267">
        <f t="shared" si="27"/>
        <v>0</v>
      </c>
      <c r="L24" s="273"/>
      <c r="M24" s="4">
        <f t="shared" si="59"/>
        <v>44.810830536342429</v>
      </c>
      <c r="N24" s="4">
        <f t="shared" si="59"/>
        <v>0</v>
      </c>
      <c r="O24" s="4">
        <f t="shared" si="60"/>
        <v>134.43249160902729</v>
      </c>
      <c r="P24" s="267">
        <f t="shared" si="61"/>
        <v>0</v>
      </c>
      <c r="Q24" s="6">
        <f t="shared" si="62"/>
        <v>9.944920803871371E-2</v>
      </c>
      <c r="R24" s="273"/>
      <c r="S24" s="4">
        <f t="shared" si="63"/>
        <v>43.850589898338903</v>
      </c>
      <c r="T24" s="4">
        <f t="shared" si="63"/>
        <v>0</v>
      </c>
      <c r="U24" s="4">
        <f t="shared" si="64"/>
        <v>131.5517696950167</v>
      </c>
      <c r="V24" s="267">
        <f t="shared" si="65"/>
        <v>0</v>
      </c>
      <c r="W24" s="273"/>
      <c r="X24" s="4">
        <f t="shared" si="66"/>
        <v>40.044649681800685</v>
      </c>
      <c r="Y24" s="4">
        <f t="shared" si="66"/>
        <v>0</v>
      </c>
      <c r="Z24" s="4">
        <f t="shared" si="67"/>
        <v>120.13394904540206</v>
      </c>
      <c r="AA24" s="267">
        <f t="shared" si="68"/>
        <v>0</v>
      </c>
      <c r="AB24" s="273"/>
      <c r="AC24" s="4">
        <f t="shared" si="69"/>
        <v>17.163788722816808</v>
      </c>
      <c r="AD24" s="4">
        <f t="shared" si="69"/>
        <v>26.552277751529694</v>
      </c>
      <c r="AE24" s="4">
        <f t="shared" si="70"/>
        <v>51.491366168450426</v>
      </c>
      <c r="AF24" s="267">
        <f t="shared" si="71"/>
        <v>67.708308266400721</v>
      </c>
      <c r="AG24" s="273"/>
      <c r="AH24" s="4">
        <f t="shared" si="72"/>
        <v>10.313106160721556</v>
      </c>
      <c r="AI24" s="4">
        <f t="shared" si="72"/>
        <v>25.726103638399309</v>
      </c>
      <c r="AJ24" s="4">
        <f t="shared" si="73"/>
        <v>30.939318482164669</v>
      </c>
      <c r="AK24" s="267">
        <f t="shared" si="74"/>
        <v>65.601564277918229</v>
      </c>
      <c r="AL24" s="273"/>
      <c r="AM24" s="4">
        <f t="shared" si="75"/>
        <v>3.6081098884656111</v>
      </c>
      <c r="AN24" s="4">
        <f t="shared" si="75"/>
        <v>21.666373981543728</v>
      </c>
      <c r="AO24" s="4">
        <f t="shared" si="76"/>
        <v>10.824329665396833</v>
      </c>
      <c r="AP24" s="267">
        <f t="shared" si="77"/>
        <v>55.249253652936503</v>
      </c>
      <c r="AQ24" s="273"/>
      <c r="AR24" s="4">
        <f t="shared" si="78"/>
        <v>0</v>
      </c>
      <c r="AS24" s="4">
        <f t="shared" si="78"/>
        <v>11.615057943100146</v>
      </c>
      <c r="AT24" s="4">
        <f t="shared" si="79"/>
        <v>0</v>
      </c>
      <c r="AU24" s="267">
        <f t="shared" si="80"/>
        <v>29.61839775490537</v>
      </c>
    </row>
    <row r="25" spans="1:47" x14ac:dyDescent="0.4">
      <c r="B25">
        <v>4</v>
      </c>
      <c r="C25" s="1">
        <v>3.4</v>
      </c>
      <c r="D25" s="1">
        <f t="shared" si="55"/>
        <v>2.8899999999999997</v>
      </c>
      <c r="E25" s="4">
        <v>62294</v>
      </c>
      <c r="F25" s="6">
        <v>0.12324365817660954</v>
      </c>
      <c r="H25" s="4">
        <f t="shared" si="56"/>
        <v>57.111037006358636</v>
      </c>
      <c r="I25" s="4">
        <f t="shared" si="57"/>
        <v>0</v>
      </c>
      <c r="J25" s="267">
        <f t="shared" si="58"/>
        <v>194.17752582161935</v>
      </c>
      <c r="K25" s="267">
        <f t="shared" si="27"/>
        <v>0</v>
      </c>
      <c r="L25" s="273"/>
      <c r="M25" s="4">
        <f t="shared" si="59"/>
        <v>55.532374667891759</v>
      </c>
      <c r="N25" s="4">
        <f t="shared" si="59"/>
        <v>0</v>
      </c>
      <c r="O25" s="4">
        <f t="shared" si="60"/>
        <v>188.81007387083199</v>
      </c>
      <c r="P25" s="267">
        <f t="shared" si="61"/>
        <v>0</v>
      </c>
      <c r="Q25" s="6">
        <f t="shared" si="62"/>
        <v>0.12324365817660954</v>
      </c>
      <c r="R25" s="273"/>
      <c r="S25" s="4">
        <f t="shared" si="63"/>
        <v>54.342384608731848</v>
      </c>
      <c r="T25" s="4">
        <f t="shared" si="63"/>
        <v>0</v>
      </c>
      <c r="U25" s="4">
        <f t="shared" si="64"/>
        <v>184.76410766968829</v>
      </c>
      <c r="V25" s="267">
        <f t="shared" si="65"/>
        <v>0</v>
      </c>
      <c r="W25" s="273"/>
      <c r="X25" s="4">
        <f t="shared" si="66"/>
        <v>49.625826233475081</v>
      </c>
      <c r="Y25" s="4">
        <f t="shared" si="66"/>
        <v>0</v>
      </c>
      <c r="Z25" s="4">
        <f t="shared" si="67"/>
        <v>168.72780919381526</v>
      </c>
      <c r="AA25" s="267">
        <f t="shared" si="68"/>
        <v>0</v>
      </c>
      <c r="AB25" s="273"/>
      <c r="AC25" s="4">
        <f t="shared" si="69"/>
        <v>21.270436960613328</v>
      </c>
      <c r="AD25" s="4">
        <f t="shared" si="69"/>
        <v>32.905237835036715</v>
      </c>
      <c r="AE25" s="4">
        <f t="shared" si="70"/>
        <v>72.319485666085313</v>
      </c>
      <c r="AF25" s="267">
        <f t="shared" si="71"/>
        <v>95.096137343256089</v>
      </c>
      <c r="AG25" s="273"/>
      <c r="AH25" s="4">
        <f t="shared" si="72"/>
        <v>12.780644064216855</v>
      </c>
      <c r="AI25" s="4">
        <f t="shared" si="72"/>
        <v>31.881391371087325</v>
      </c>
      <c r="AJ25" s="4">
        <f t="shared" si="73"/>
        <v>43.454189818337305</v>
      </c>
      <c r="AK25" s="267">
        <f t="shared" si="74"/>
        <v>92.137221062442364</v>
      </c>
      <c r="AL25" s="273"/>
      <c r="AM25" s="4">
        <f t="shared" si="75"/>
        <v>4.4713947001427732</v>
      </c>
      <c r="AN25" s="4">
        <f t="shared" si="75"/>
        <v>26.850321300381658</v>
      </c>
      <c r="AO25" s="4">
        <f t="shared" si="76"/>
        <v>15.202741980485428</v>
      </c>
      <c r="AP25" s="267">
        <f t="shared" si="77"/>
        <v>77.59742855810299</v>
      </c>
      <c r="AQ25" s="273"/>
      <c r="AR25" s="4">
        <f t="shared" si="78"/>
        <v>0</v>
      </c>
      <c r="AS25" s="4">
        <f t="shared" si="78"/>
        <v>14.394103875454681</v>
      </c>
      <c r="AT25" s="4">
        <f t="shared" si="79"/>
        <v>0</v>
      </c>
      <c r="AU25" s="267">
        <f t="shared" si="80"/>
        <v>41.59896020006402</v>
      </c>
    </row>
    <row r="26" spans="1:47" x14ac:dyDescent="0.4">
      <c r="B26">
        <v>5</v>
      </c>
      <c r="C26" s="1">
        <v>5.0999999999999996</v>
      </c>
      <c r="D26" s="1">
        <f t="shared" si="55"/>
        <v>4.335</v>
      </c>
      <c r="E26" s="4">
        <v>43427</v>
      </c>
      <c r="F26" s="6">
        <v>8.5916819334697123E-2</v>
      </c>
      <c r="H26" s="4">
        <f t="shared" si="56"/>
        <v>39.813802357773405</v>
      </c>
      <c r="I26" s="4">
        <f t="shared" si="57"/>
        <v>0</v>
      </c>
      <c r="J26" s="267">
        <f t="shared" si="58"/>
        <v>203.05039202464434</v>
      </c>
      <c r="K26" s="267">
        <f t="shared" si="27"/>
        <v>0</v>
      </c>
      <c r="L26" s="273"/>
      <c r="M26" s="4">
        <f t="shared" si="59"/>
        <v>38.713269892807261</v>
      </c>
      <c r="N26" s="4">
        <f t="shared" si="59"/>
        <v>0</v>
      </c>
      <c r="O26" s="4">
        <f t="shared" si="60"/>
        <v>197.43767645331701</v>
      </c>
      <c r="P26" s="267">
        <f t="shared" si="61"/>
        <v>0</v>
      </c>
      <c r="Q26" s="6">
        <f t="shared" si="62"/>
        <v>8.5916819334697123E-2</v>
      </c>
      <c r="R26" s="273"/>
      <c r="S26" s="4">
        <f t="shared" si="63"/>
        <v>37.883692432712586</v>
      </c>
      <c r="T26" s="4">
        <f t="shared" si="63"/>
        <v>0</v>
      </c>
      <c r="U26" s="4">
        <f t="shared" si="64"/>
        <v>193.20683140683417</v>
      </c>
      <c r="V26" s="267">
        <f t="shared" si="65"/>
        <v>0</v>
      </c>
      <c r="W26" s="273"/>
      <c r="X26" s="4">
        <f t="shared" si="66"/>
        <v>34.595639320658847</v>
      </c>
      <c r="Y26" s="4">
        <f t="shared" si="66"/>
        <v>0</v>
      </c>
      <c r="Z26" s="4">
        <f t="shared" si="67"/>
        <v>176.4377605353601</v>
      </c>
      <c r="AA26" s="267">
        <f t="shared" si="68"/>
        <v>0</v>
      </c>
      <c r="AB26" s="273"/>
      <c r="AC26" s="4">
        <f t="shared" si="69"/>
        <v>14.828254179994142</v>
      </c>
      <c r="AD26" s="4">
        <f t="shared" si="69"/>
        <v>22.939219884132331</v>
      </c>
      <c r="AE26" s="4">
        <f t="shared" si="70"/>
        <v>75.624096317970114</v>
      </c>
      <c r="AF26" s="267">
        <f t="shared" si="71"/>
        <v>99.441518197713663</v>
      </c>
      <c r="AG26" s="273"/>
      <c r="AH26" s="4">
        <f t="shared" si="72"/>
        <v>8.9097670686863157</v>
      </c>
      <c r="AI26" s="4">
        <f t="shared" si="72"/>
        <v>22.225466065306598</v>
      </c>
      <c r="AJ26" s="4">
        <f t="shared" si="73"/>
        <v>45.439812050300205</v>
      </c>
      <c r="AK26" s="267">
        <f t="shared" si="74"/>
        <v>96.347395393104108</v>
      </c>
      <c r="AL26" s="273"/>
      <c r="AM26" s="4">
        <f t="shared" si="75"/>
        <v>3.1171422230567987</v>
      </c>
      <c r="AN26" s="4">
        <f t="shared" si="75"/>
        <v>18.718157496896559</v>
      </c>
      <c r="AO26" s="4">
        <f t="shared" si="76"/>
        <v>15.897425337589672</v>
      </c>
      <c r="AP26" s="267">
        <f t="shared" si="77"/>
        <v>81.143212749046583</v>
      </c>
      <c r="AQ26" s="273"/>
      <c r="AR26" s="4">
        <f t="shared" si="78"/>
        <v>0</v>
      </c>
      <c r="AS26" s="4">
        <f t="shared" si="78"/>
        <v>10.03455788678477</v>
      </c>
      <c r="AT26" s="4">
        <f t="shared" si="79"/>
        <v>0</v>
      </c>
      <c r="AU26" s="267">
        <f t="shared" si="80"/>
        <v>43.499808439211975</v>
      </c>
    </row>
    <row r="27" spans="1:47" x14ac:dyDescent="0.4">
      <c r="F27" s="6"/>
      <c r="G27" s="4">
        <f>機器台数case1!D32</f>
        <v>103.91380439999999</v>
      </c>
      <c r="H27" s="4">
        <f>G27*(1-G$3)</f>
        <v>103.91380439999999</v>
      </c>
      <c r="I27" s="4">
        <f>G27*$G$3</f>
        <v>0</v>
      </c>
      <c r="J27" s="4">
        <f>SUM(J28:J34)</f>
        <v>324.94782892248475</v>
      </c>
      <c r="K27" s="267">
        <f t="shared" si="27"/>
        <v>0</v>
      </c>
      <c r="L27" s="273">
        <f>機器台数case1!F32</f>
        <v>101.04142074086893</v>
      </c>
      <c r="M27" s="4">
        <f>L27*(1-L$3)</f>
        <v>101.04142074086893</v>
      </c>
      <c r="N27" s="4">
        <f>L27*$G$3</f>
        <v>0</v>
      </c>
      <c r="O27" s="4">
        <f>SUM(O28:O34)</f>
        <v>315.9656264205517</v>
      </c>
      <c r="P27" s="4">
        <f>SUM(P28:P34)</f>
        <v>0</v>
      </c>
      <c r="Q27" s="6"/>
      <c r="R27" s="273">
        <f>機器台数case1!H32</f>
        <v>98.876228148906009</v>
      </c>
      <c r="S27" s="4">
        <f>R27*(1-R$3)</f>
        <v>98.876228148906009</v>
      </c>
      <c r="T27" s="4">
        <f>R27*$G$3</f>
        <v>0</v>
      </c>
      <c r="U27" s="4">
        <f>SUM(U28:U34)</f>
        <v>309.19487410309159</v>
      </c>
      <c r="V27" s="4">
        <f>SUM(V28:V34)</f>
        <v>0</v>
      </c>
      <c r="W27" s="273">
        <f>機器台数case1!J32</f>
        <v>90.294427674979318</v>
      </c>
      <c r="X27" s="4">
        <f>W27*(1-W$3)</f>
        <v>90.294427674979318</v>
      </c>
      <c r="Y27" s="4">
        <f>W27*$G$3</f>
        <v>0</v>
      </c>
      <c r="Z27" s="4">
        <f>SUM(Z28:Z34)</f>
        <v>282.35881080668867</v>
      </c>
      <c r="AA27" s="4">
        <f>SUM(AA28:AA34)</f>
        <v>0</v>
      </c>
      <c r="AB27" s="273"/>
      <c r="AC27" s="4">
        <f>機器台数case1!L32</f>
        <v>38.701661564674687</v>
      </c>
      <c r="AD27" s="4">
        <f>機器台数case1!L42</f>
        <v>61.552360389166765</v>
      </c>
      <c r="AE27" s="4">
        <f>SUM(AE28:AE34)</f>
        <v>121.02358270633977</v>
      </c>
      <c r="AF27" s="4">
        <f>SUM(AF28:AF34)</f>
        <v>163.60781024861581</v>
      </c>
      <c r="AG27" s="273">
        <f>機器台数case1!N32</f>
        <v>23.254442871474815</v>
      </c>
      <c r="AH27" s="4">
        <f>機器台数case1!N32</f>
        <v>23.254442871474815</v>
      </c>
      <c r="AI27" s="4">
        <f>機器台数case1!N42</f>
        <v>59.637158716772703</v>
      </c>
      <c r="AJ27" s="4">
        <f>SUM(AJ28:AJ34)</f>
        <v>72.718738068718935</v>
      </c>
      <c r="AK27" s="4">
        <f>SUM(AK28:AK34)</f>
        <v>158.51715328885399</v>
      </c>
      <c r="AL27" s="273">
        <f>機器台数case1!S32</f>
        <v>0</v>
      </c>
      <c r="AM27" s="4">
        <f>機器台数case1!P32</f>
        <v>8.1357239969937964</v>
      </c>
      <c r="AN27" s="4">
        <f>機器台数case1!P42</f>
        <v>50.226066182273755</v>
      </c>
      <c r="AO27" s="4">
        <f>SUM(AO28:AO34)</f>
        <v>25.441141961844043</v>
      </c>
      <c r="AP27" s="4">
        <f>SUM(AP28:AP34)</f>
        <v>133.50221914365648</v>
      </c>
      <c r="AQ27" s="273">
        <f>機器台数case1!X32</f>
        <v>0</v>
      </c>
      <c r="AR27" s="4">
        <f>機器台数case1!R32</f>
        <v>0</v>
      </c>
      <c r="AS27" s="4">
        <f>機器台数case1!R42</f>
        <v>26.544061518634766</v>
      </c>
      <c r="AT27" s="4">
        <f>SUM(AT28:AT34)</f>
        <v>0</v>
      </c>
      <c r="AU27" s="4">
        <f>SUM(AU28:AU34)</f>
        <v>70.554821175187911</v>
      </c>
    </row>
    <row r="28" spans="1:47" x14ac:dyDescent="0.4">
      <c r="A28" t="s">
        <v>6</v>
      </c>
      <c r="B28">
        <v>1.5</v>
      </c>
      <c r="C28" s="1">
        <v>2</v>
      </c>
      <c r="D28" s="1">
        <f t="shared" ref="D28:D34" si="81">C28*0.85</f>
        <v>1.7</v>
      </c>
      <c r="E28" s="4">
        <v>15724</v>
      </c>
      <c r="F28" s="6">
        <v>0.13545480389031986</v>
      </c>
      <c r="H28" s="4">
        <f t="shared" ref="H28:H34" si="82">F28*H$27</f>
        <v>14.075623996499056</v>
      </c>
      <c r="I28" s="4">
        <f t="shared" ref="I28:I34" si="83">$F28*I$27</f>
        <v>0</v>
      </c>
      <c r="J28" s="267">
        <f t="shared" ref="J28:J34" si="84">C28*H28</f>
        <v>28.151247992998112</v>
      </c>
      <c r="K28" s="267">
        <f t="shared" si="27"/>
        <v>0</v>
      </c>
      <c r="L28" s="273"/>
      <c r="M28" s="4">
        <f t="shared" ref="M28:N34" si="85">$F28*M$27</f>
        <v>13.686545831253698</v>
      </c>
      <c r="N28" s="4">
        <f t="shared" si="85"/>
        <v>0</v>
      </c>
      <c r="O28" s="4">
        <f t="shared" ref="O28:O34" si="86">$C28*$M28</f>
        <v>27.373091662507395</v>
      </c>
      <c r="P28" s="267">
        <f t="shared" ref="P28:P34" si="87">$D28*$N28</f>
        <v>0</v>
      </c>
      <c r="Q28" s="6">
        <f t="shared" ref="Q28:Q34" si="88">E28/$A$30</f>
        <v>0.13545480389031986</v>
      </c>
      <c r="R28" s="273">
        <f>SUM(S28:S34)</f>
        <v>98.876228148906009</v>
      </c>
      <c r="S28" s="4">
        <f t="shared" ref="S28:T34" si="89">$F28*S$27</f>
        <v>13.393260093324587</v>
      </c>
      <c r="T28" s="4">
        <f t="shared" si="89"/>
        <v>0</v>
      </c>
      <c r="U28" s="4">
        <f t="shared" ref="U28:U34" si="90">$C28*S28</f>
        <v>26.786520186649174</v>
      </c>
      <c r="V28" s="267">
        <f t="shared" ref="V28:V34" si="91">$D28*T28</f>
        <v>0</v>
      </c>
      <c r="W28" s="273">
        <f>SUM(X28:X34)</f>
        <v>90.294427674979332</v>
      </c>
      <c r="X28" s="4">
        <f t="shared" ref="X28:Y34" si="92">$F28*X$27</f>
        <v>12.230813993102993</v>
      </c>
      <c r="Y28" s="4">
        <f t="shared" si="92"/>
        <v>0</v>
      </c>
      <c r="Z28" s="4">
        <f t="shared" ref="Z28:Z34" si="93">$C28*X28</f>
        <v>24.461627986205986</v>
      </c>
      <c r="AA28" s="267">
        <f t="shared" ref="AA28:AA34" si="94">$D28*Y28</f>
        <v>0</v>
      </c>
      <c r="AB28" s="273">
        <f>SUM(AC28:AC34)</f>
        <v>38.70166156467468</v>
      </c>
      <c r="AC28" s="4">
        <f t="shared" ref="AC28:AD34" si="95">$F28*AC$27</f>
        <v>5.2423259774725395</v>
      </c>
      <c r="AD28" s="4">
        <f t="shared" si="95"/>
        <v>8.3375629055008762</v>
      </c>
      <c r="AE28" s="4">
        <f t="shared" ref="AE28:AE34" si="96">$C28*AC28</f>
        <v>10.484651954945079</v>
      </c>
      <c r="AF28" s="267">
        <f t="shared" ref="AF28:AF34" si="97">$D28*AD28</f>
        <v>14.17385693935149</v>
      </c>
      <c r="AG28" s="273">
        <f>SUM(AH28:AH34)</f>
        <v>23.254442871474815</v>
      </c>
      <c r="AH28" s="4">
        <f t="shared" ref="AH28:AI34" si="98">$F28*AH$27</f>
        <v>3.1499259987342678</v>
      </c>
      <c r="AI28" s="4">
        <f t="shared" si="98"/>
        <v>8.0781396385563262</v>
      </c>
      <c r="AJ28" s="4">
        <f t="shared" ref="AJ28:AJ34" si="99">$C28*AH28</f>
        <v>6.2998519974685356</v>
      </c>
      <c r="AK28" s="267">
        <f t="shared" ref="AK28:AK34" si="100">$D28*AI28</f>
        <v>13.732837385545754</v>
      </c>
      <c r="AL28" s="273">
        <f>SUM(AM28:AM34)</f>
        <v>8.1357239969937964</v>
      </c>
      <c r="AM28" s="4">
        <f t="shared" ref="AM28:AN34" si="101">$F28*AM$27</f>
        <v>1.1020228985185638</v>
      </c>
      <c r="AN28" s="4">
        <f t="shared" si="101"/>
        <v>6.8033619449021172</v>
      </c>
      <c r="AO28" s="4">
        <f t="shared" ref="AO28:AO34" si="102">$C28*AM28</f>
        <v>2.2040457970371277</v>
      </c>
      <c r="AP28" s="267">
        <f t="shared" ref="AP28:AP34" si="103">$D28*AN28</f>
        <v>11.565715306333599</v>
      </c>
      <c r="AQ28" s="273">
        <f>SUM(AR28:AR34)</f>
        <v>0</v>
      </c>
      <c r="AR28" s="4">
        <f t="shared" ref="AR28:AS34" si="104">$F28*AR$27</f>
        <v>0</v>
      </c>
      <c r="AS28" s="4">
        <f t="shared" si="104"/>
        <v>3.5955206474592583</v>
      </c>
      <c r="AT28" s="4">
        <f t="shared" ref="AT28:AT34" si="105">$C28*AR28</f>
        <v>0</v>
      </c>
      <c r="AU28" s="267">
        <f t="shared" ref="AU28:AU34" si="106">$D28*AS28</f>
        <v>6.112385100680739</v>
      </c>
    </row>
    <row r="29" spans="1:47" x14ac:dyDescent="0.4">
      <c r="A29" t="s">
        <v>7</v>
      </c>
      <c r="B29">
        <v>2</v>
      </c>
      <c r="C29" s="1">
        <v>2</v>
      </c>
      <c r="D29" s="1">
        <f t="shared" si="81"/>
        <v>1.7</v>
      </c>
      <c r="E29" s="4">
        <v>30745</v>
      </c>
      <c r="F29" s="6">
        <v>0.26485359613380083</v>
      </c>
      <c r="H29" s="4">
        <f t="shared" si="82"/>
        <v>27.521944783284372</v>
      </c>
      <c r="I29" s="4">
        <f t="shared" si="83"/>
        <v>0</v>
      </c>
      <c r="J29" s="267">
        <f t="shared" si="84"/>
        <v>55.043889566568744</v>
      </c>
      <c r="K29" s="267">
        <f t="shared" si="27"/>
        <v>0</v>
      </c>
      <c r="L29" s="273"/>
      <c r="M29" s="4">
        <f t="shared" si="85"/>
        <v>26.761183641687545</v>
      </c>
      <c r="N29" s="4">
        <f t="shared" si="85"/>
        <v>0</v>
      </c>
      <c r="O29" s="4">
        <f t="shared" si="86"/>
        <v>53.52236728337509</v>
      </c>
      <c r="P29" s="267">
        <f t="shared" si="87"/>
        <v>0</v>
      </c>
      <c r="Q29" s="6">
        <f t="shared" si="88"/>
        <v>0.26485359613380083</v>
      </c>
      <c r="R29" s="273"/>
      <c r="S29" s="4">
        <f t="shared" si="89"/>
        <v>26.187724597383902</v>
      </c>
      <c r="T29" s="4">
        <f t="shared" si="89"/>
        <v>0</v>
      </c>
      <c r="U29" s="4">
        <f t="shared" si="90"/>
        <v>52.375449194767803</v>
      </c>
      <c r="V29" s="267">
        <f t="shared" si="91"/>
        <v>0</v>
      </c>
      <c r="W29" s="273"/>
      <c r="X29" s="4">
        <f t="shared" si="92"/>
        <v>23.91480388056166</v>
      </c>
      <c r="Y29" s="4">
        <f t="shared" si="92"/>
        <v>0</v>
      </c>
      <c r="Z29" s="4">
        <f t="shared" si="93"/>
        <v>47.82960776112332</v>
      </c>
      <c r="AA29" s="267">
        <f t="shared" si="94"/>
        <v>0</v>
      </c>
      <c r="AB29" s="273"/>
      <c r="AC29" s="4">
        <f t="shared" si="95"/>
        <v>10.250274241757392</v>
      </c>
      <c r="AD29" s="4">
        <f t="shared" si="95"/>
        <v>16.302363999594533</v>
      </c>
      <c r="AE29" s="4">
        <f t="shared" si="96"/>
        <v>20.500548483514784</v>
      </c>
      <c r="AF29" s="267">
        <f t="shared" si="97"/>
        <v>27.714018799310704</v>
      </c>
      <c r="AG29" s="273"/>
      <c r="AH29" s="4">
        <f t="shared" si="98"/>
        <v>6.1590228205981346</v>
      </c>
      <c r="AI29" s="4">
        <f t="shared" si="98"/>
        <v>15.795115949339497</v>
      </c>
      <c r="AJ29" s="4">
        <f t="shared" si="99"/>
        <v>12.318045641196269</v>
      </c>
      <c r="AK29" s="267">
        <f t="shared" si="100"/>
        <v>26.851697113877144</v>
      </c>
      <c r="AL29" s="273"/>
      <c r="AM29" s="4">
        <f t="shared" si="101"/>
        <v>2.1547757577558668</v>
      </c>
      <c r="AN29" s="4">
        <f t="shared" si="101"/>
        <v>13.302554248029484</v>
      </c>
      <c r="AO29" s="4">
        <f t="shared" si="102"/>
        <v>4.3095515155117337</v>
      </c>
      <c r="AP29" s="267">
        <f t="shared" si="103"/>
        <v>22.614342221650123</v>
      </c>
      <c r="AQ29" s="273"/>
      <c r="AR29" s="4">
        <f t="shared" si="104"/>
        <v>0</v>
      </c>
      <c r="AS29" s="4">
        <f t="shared" si="104"/>
        <v>7.0302901492072563</v>
      </c>
      <c r="AT29" s="4">
        <f t="shared" si="105"/>
        <v>0</v>
      </c>
      <c r="AU29" s="267">
        <f t="shared" si="106"/>
        <v>11.951493253652336</v>
      </c>
    </row>
    <row r="30" spans="1:47" x14ac:dyDescent="0.4">
      <c r="A30" s="5">
        <f>SUM(E28:E34)</f>
        <v>116083</v>
      </c>
      <c r="B30">
        <v>2.5</v>
      </c>
      <c r="C30" s="1">
        <v>2.9</v>
      </c>
      <c r="D30" s="1">
        <f t="shared" si="81"/>
        <v>2.4649999999999999</v>
      </c>
      <c r="E30" s="4">
        <v>18615</v>
      </c>
      <c r="F30" s="6">
        <v>0.16035939801693616</v>
      </c>
      <c r="H30" s="4">
        <f t="shared" si="82"/>
        <v>16.663555119233649</v>
      </c>
      <c r="I30" s="4">
        <f t="shared" si="83"/>
        <v>0</v>
      </c>
      <c r="J30" s="267">
        <f t="shared" si="84"/>
        <v>48.324309845777584</v>
      </c>
      <c r="K30" s="267">
        <f t="shared" si="27"/>
        <v>0</v>
      </c>
      <c r="L30" s="273"/>
      <c r="M30" s="4">
        <f t="shared" si="85"/>
        <v>16.202941404781708</v>
      </c>
      <c r="N30" s="4">
        <f t="shared" si="85"/>
        <v>0</v>
      </c>
      <c r="O30" s="4">
        <f t="shared" si="86"/>
        <v>46.988530073866954</v>
      </c>
      <c r="P30" s="267">
        <f t="shared" si="87"/>
        <v>0</v>
      </c>
      <c r="Q30" s="6">
        <f t="shared" si="88"/>
        <v>0.16035939801693616</v>
      </c>
      <c r="R30" s="273"/>
      <c r="S30" s="4">
        <f t="shared" si="89"/>
        <v>15.855732424143806</v>
      </c>
      <c r="T30" s="4">
        <f t="shared" si="89"/>
        <v>0</v>
      </c>
      <c r="U30" s="4">
        <f t="shared" si="90"/>
        <v>45.981624030017038</v>
      </c>
      <c r="V30" s="267">
        <f t="shared" si="91"/>
        <v>0</v>
      </c>
      <c r="W30" s="273"/>
      <c r="X30" s="4">
        <f t="shared" si="92"/>
        <v>14.479560066243463</v>
      </c>
      <c r="Y30" s="4">
        <f t="shared" si="92"/>
        <v>0</v>
      </c>
      <c r="Z30" s="4">
        <f t="shared" si="93"/>
        <v>41.990724192106043</v>
      </c>
      <c r="AA30" s="267">
        <f t="shared" si="94"/>
        <v>0</v>
      </c>
      <c r="AB30" s="273"/>
      <c r="AC30" s="4">
        <f t="shared" si="95"/>
        <v>6.2061751507664287</v>
      </c>
      <c r="AD30" s="4">
        <f t="shared" si="95"/>
        <v>9.8704994585282897</v>
      </c>
      <c r="AE30" s="4">
        <f t="shared" si="96"/>
        <v>17.997907937222642</v>
      </c>
      <c r="AF30" s="267">
        <f t="shared" si="97"/>
        <v>24.330781165272231</v>
      </c>
      <c r="AG30" s="273"/>
      <c r="AH30" s="4">
        <f t="shared" si="98"/>
        <v>3.7290684600889339</v>
      </c>
      <c r="AI30" s="4">
        <f t="shared" si="98"/>
        <v>9.563378871262147</v>
      </c>
      <c r="AJ30" s="4">
        <f t="shared" si="99"/>
        <v>10.814298534257908</v>
      </c>
      <c r="AK30" s="267">
        <f t="shared" si="100"/>
        <v>23.573728917661192</v>
      </c>
      <c r="AL30" s="273"/>
      <c r="AM30" s="4">
        <f t="shared" si="101"/>
        <v>1.3046398025898669</v>
      </c>
      <c r="AN30" s="4">
        <f t="shared" si="101"/>
        <v>8.0542217377482146</v>
      </c>
      <c r="AO30" s="4">
        <f t="shared" si="102"/>
        <v>3.783455427510614</v>
      </c>
      <c r="AP30" s="267">
        <f t="shared" si="103"/>
        <v>19.853656583549348</v>
      </c>
      <c r="AQ30" s="273"/>
      <c r="AR30" s="4">
        <f t="shared" si="104"/>
        <v>0</v>
      </c>
      <c r="AS30" s="4">
        <f t="shared" si="104"/>
        <v>4.2565897260527912</v>
      </c>
      <c r="AT30" s="4">
        <f t="shared" si="105"/>
        <v>0</v>
      </c>
      <c r="AU30" s="267">
        <f t="shared" si="106"/>
        <v>10.49249367472013</v>
      </c>
    </row>
    <row r="31" spans="1:47" x14ac:dyDescent="0.4">
      <c r="A31" s="237">
        <f>A30/$E$75</f>
        <v>7.6743864715328472E-2</v>
      </c>
      <c r="B31">
        <v>3</v>
      </c>
      <c r="C31" s="1">
        <v>2.9</v>
      </c>
      <c r="D31" s="1">
        <f t="shared" si="81"/>
        <v>2.4649999999999999</v>
      </c>
      <c r="E31" s="4">
        <v>22438</v>
      </c>
      <c r="F31" s="6">
        <v>0.19329273020166604</v>
      </c>
      <c r="H31" s="4">
        <f t="shared" si="82"/>
        <v>20.085782958117896</v>
      </c>
      <c r="I31" s="4">
        <f t="shared" si="83"/>
        <v>0</v>
      </c>
      <c r="J31" s="267">
        <f t="shared" si="84"/>
        <v>58.248770578541894</v>
      </c>
      <c r="K31" s="267">
        <f t="shared" si="27"/>
        <v>0</v>
      </c>
      <c r="L31" s="273"/>
      <c r="M31" s="4">
        <f t="shared" si="85"/>
        <v>19.530572078457801</v>
      </c>
      <c r="N31" s="4">
        <f t="shared" si="85"/>
        <v>0</v>
      </c>
      <c r="O31" s="4">
        <f t="shared" si="86"/>
        <v>56.638659027527623</v>
      </c>
      <c r="P31" s="267">
        <f t="shared" si="87"/>
        <v>0</v>
      </c>
      <c r="Q31" s="6">
        <f t="shared" si="88"/>
        <v>0.19329273020166604</v>
      </c>
      <c r="R31" s="273"/>
      <c r="S31" s="4">
        <f t="shared" si="89"/>
        <v>19.112056090944865</v>
      </c>
      <c r="T31" s="4">
        <f t="shared" si="89"/>
        <v>0</v>
      </c>
      <c r="U31" s="4">
        <f t="shared" si="90"/>
        <v>55.424962663740104</v>
      </c>
      <c r="V31" s="267">
        <f t="shared" si="91"/>
        <v>0</v>
      </c>
      <c r="W31" s="273"/>
      <c r="X31" s="4">
        <f t="shared" si="92"/>
        <v>17.453256447293626</v>
      </c>
      <c r="Y31" s="4">
        <f t="shared" si="92"/>
        <v>0</v>
      </c>
      <c r="Z31" s="4">
        <f t="shared" si="93"/>
        <v>50.614443697151515</v>
      </c>
      <c r="AA31" s="267">
        <f t="shared" si="94"/>
        <v>0</v>
      </c>
      <c r="AB31" s="273"/>
      <c r="AC31" s="4">
        <f t="shared" si="95"/>
        <v>7.4807498271768527</v>
      </c>
      <c r="AD31" s="4">
        <f t="shared" si="95"/>
        <v>11.897623789978928</v>
      </c>
      <c r="AE31" s="4">
        <f t="shared" si="96"/>
        <v>21.69417449881287</v>
      </c>
      <c r="AF31" s="267">
        <f t="shared" si="97"/>
        <v>29.327642642298056</v>
      </c>
      <c r="AG31" s="273"/>
      <c r="AH31" s="4">
        <f t="shared" si="98"/>
        <v>4.4949147519460375</v>
      </c>
      <c r="AI31" s="4">
        <f t="shared" si="98"/>
        <v>11.527429229835082</v>
      </c>
      <c r="AJ31" s="4">
        <f t="shared" si="99"/>
        <v>13.035252780643509</v>
      </c>
      <c r="AK31" s="267">
        <f t="shared" si="100"/>
        <v>28.415113051543475</v>
      </c>
      <c r="AL31" s="273"/>
      <c r="AM31" s="4">
        <f t="shared" si="101"/>
        <v>1.572576303546142</v>
      </c>
      <c r="AN31" s="4">
        <f t="shared" si="101"/>
        <v>9.7083334596612634</v>
      </c>
      <c r="AO31" s="4">
        <f t="shared" si="102"/>
        <v>4.5604712802838119</v>
      </c>
      <c r="AP31" s="267">
        <f t="shared" si="103"/>
        <v>23.931041978065014</v>
      </c>
      <c r="AQ31" s="273"/>
      <c r="AR31" s="4">
        <f t="shared" si="104"/>
        <v>0</v>
      </c>
      <c r="AS31" s="4">
        <f t="shared" si="104"/>
        <v>5.1307741215778959</v>
      </c>
      <c r="AT31" s="4">
        <f t="shared" si="105"/>
        <v>0</v>
      </c>
      <c r="AU31" s="267">
        <f t="shared" si="106"/>
        <v>12.647358209689513</v>
      </c>
    </row>
    <row r="32" spans="1:47" x14ac:dyDescent="0.4">
      <c r="B32">
        <v>3.5</v>
      </c>
      <c r="C32" s="1">
        <v>5</v>
      </c>
      <c r="D32" s="1">
        <f t="shared" si="81"/>
        <v>4.25</v>
      </c>
      <c r="E32" s="4">
        <v>9244</v>
      </c>
      <c r="F32" s="6">
        <v>7.9632676619315487E-2</v>
      </c>
      <c r="H32" s="4">
        <f t="shared" si="82"/>
        <v>8.2749343820680021</v>
      </c>
      <c r="I32" s="4">
        <f t="shared" si="83"/>
        <v>0</v>
      </c>
      <c r="J32" s="267">
        <f t="shared" si="84"/>
        <v>41.374671910340012</v>
      </c>
      <c r="K32" s="267">
        <f t="shared" si="27"/>
        <v>0</v>
      </c>
      <c r="L32" s="273"/>
      <c r="M32" s="4">
        <f t="shared" si="85"/>
        <v>8.0461987830138124</v>
      </c>
      <c r="N32" s="4">
        <f t="shared" si="85"/>
        <v>0</v>
      </c>
      <c r="O32" s="4">
        <f t="shared" si="86"/>
        <v>40.230993915069064</v>
      </c>
      <c r="P32" s="267">
        <f t="shared" si="87"/>
        <v>0</v>
      </c>
      <c r="Q32" s="6">
        <f t="shared" si="88"/>
        <v>7.9632676619315487E-2</v>
      </c>
      <c r="R32" s="273"/>
      <c r="S32" s="4">
        <f t="shared" si="89"/>
        <v>7.8737787015194911</v>
      </c>
      <c r="T32" s="4">
        <f t="shared" si="89"/>
        <v>0</v>
      </c>
      <c r="U32" s="4">
        <f t="shared" si="90"/>
        <v>39.368893507597456</v>
      </c>
      <c r="V32" s="267">
        <f t="shared" si="91"/>
        <v>0</v>
      </c>
      <c r="W32" s="273"/>
      <c r="X32" s="4">
        <f t="shared" si="92"/>
        <v>7.1903869595677987</v>
      </c>
      <c r="Y32" s="4">
        <f t="shared" si="92"/>
        <v>0</v>
      </c>
      <c r="Z32" s="4">
        <f t="shared" si="93"/>
        <v>35.951934797838994</v>
      </c>
      <c r="AA32" s="267">
        <f t="shared" si="94"/>
        <v>0</v>
      </c>
      <c r="AB32" s="273"/>
      <c r="AC32" s="4">
        <f t="shared" si="95"/>
        <v>3.0819169000099307</v>
      </c>
      <c r="AD32" s="4">
        <f t="shared" si="95"/>
        <v>4.9015792100260809</v>
      </c>
      <c r="AE32" s="4">
        <f t="shared" si="96"/>
        <v>15.409584500049654</v>
      </c>
      <c r="AF32" s="267">
        <f t="shared" si="97"/>
        <v>20.831711642610845</v>
      </c>
      <c r="AG32" s="273"/>
      <c r="AH32" s="4">
        <f t="shared" si="98"/>
        <v>1.8518135291465001</v>
      </c>
      <c r="AI32" s="4">
        <f t="shared" si="98"/>
        <v>4.7490665745875527</v>
      </c>
      <c r="AJ32" s="4">
        <f t="shared" si="99"/>
        <v>9.2590676457325003</v>
      </c>
      <c r="AK32" s="267">
        <f t="shared" si="100"/>
        <v>20.1835329419971</v>
      </c>
      <c r="AL32" s="273"/>
      <c r="AM32" s="4">
        <f t="shared" si="101"/>
        <v>0.64786947811661189</v>
      </c>
      <c r="AN32" s="4">
        <f t="shared" si="101"/>
        <v>3.9996360861533433</v>
      </c>
      <c r="AO32" s="4">
        <f t="shared" si="102"/>
        <v>3.2393473905830596</v>
      </c>
      <c r="AP32" s="267">
        <f t="shared" si="103"/>
        <v>16.998453366151708</v>
      </c>
      <c r="AQ32" s="273"/>
      <c r="AR32" s="4">
        <f t="shared" si="104"/>
        <v>0</v>
      </c>
      <c r="AS32" s="4">
        <f t="shared" si="104"/>
        <v>2.1137746670766586</v>
      </c>
      <c r="AT32" s="4">
        <f t="shared" si="105"/>
        <v>0</v>
      </c>
      <c r="AU32" s="267">
        <f t="shared" si="106"/>
        <v>8.9835423350757999</v>
      </c>
    </row>
    <row r="33" spans="1:47" x14ac:dyDescent="0.4">
      <c r="B33">
        <v>4</v>
      </c>
      <c r="C33" s="1">
        <v>5.0999999999999996</v>
      </c>
      <c r="D33" s="1">
        <f t="shared" si="81"/>
        <v>4.335</v>
      </c>
      <c r="E33" s="4">
        <v>11475</v>
      </c>
      <c r="F33" s="6">
        <v>9.8851683709070229E-2</v>
      </c>
      <c r="H33" s="4">
        <f t="shared" si="82"/>
        <v>10.272054525554989</v>
      </c>
      <c r="I33" s="4">
        <f t="shared" si="83"/>
        <v>0</v>
      </c>
      <c r="J33" s="267">
        <f t="shared" si="84"/>
        <v>52.387478080330439</v>
      </c>
      <c r="K33" s="267">
        <f t="shared" si="27"/>
        <v>0</v>
      </c>
      <c r="L33" s="273"/>
      <c r="M33" s="4">
        <f t="shared" si="85"/>
        <v>9.9881145645914646</v>
      </c>
      <c r="N33" s="4">
        <f t="shared" si="85"/>
        <v>0</v>
      </c>
      <c r="O33" s="4">
        <f t="shared" si="86"/>
        <v>50.939384279416466</v>
      </c>
      <c r="P33" s="267">
        <f t="shared" si="87"/>
        <v>0</v>
      </c>
      <c r="Q33" s="6">
        <f t="shared" si="88"/>
        <v>9.8851683709070229E-2</v>
      </c>
      <c r="R33" s="273"/>
      <c r="S33" s="4">
        <f t="shared" si="89"/>
        <v>9.7740816313215237</v>
      </c>
      <c r="T33" s="4">
        <f t="shared" si="89"/>
        <v>0</v>
      </c>
      <c r="U33" s="4">
        <f t="shared" si="90"/>
        <v>49.847816319739771</v>
      </c>
      <c r="V33" s="267">
        <f t="shared" si="91"/>
        <v>0</v>
      </c>
      <c r="W33" s="273"/>
      <c r="X33" s="4">
        <f t="shared" si="92"/>
        <v>8.9257562052185726</v>
      </c>
      <c r="Y33" s="4">
        <f t="shared" si="92"/>
        <v>0</v>
      </c>
      <c r="Z33" s="4">
        <f t="shared" si="93"/>
        <v>45.52135664661472</v>
      </c>
      <c r="AA33" s="267">
        <f t="shared" si="94"/>
        <v>0</v>
      </c>
      <c r="AB33" s="273"/>
      <c r="AC33" s="4">
        <f t="shared" si="95"/>
        <v>3.8257244080067023</v>
      </c>
      <c r="AD33" s="4">
        <f t="shared" si="95"/>
        <v>6.0845544607366158</v>
      </c>
      <c r="AE33" s="4">
        <f t="shared" si="96"/>
        <v>19.511194480834181</v>
      </c>
      <c r="AF33" s="267">
        <f t="shared" si="97"/>
        <v>26.376543587293231</v>
      </c>
      <c r="AG33" s="273"/>
      <c r="AH33" s="4">
        <f t="shared" si="98"/>
        <v>2.2987408315616711</v>
      </c>
      <c r="AI33" s="4">
        <f t="shared" si="98"/>
        <v>5.8952335507780358</v>
      </c>
      <c r="AJ33" s="4">
        <f t="shared" si="99"/>
        <v>11.723578240964521</v>
      </c>
      <c r="AK33" s="267">
        <f t="shared" si="100"/>
        <v>25.555837442622785</v>
      </c>
      <c r="AL33" s="273"/>
      <c r="AM33" s="4">
        <f t="shared" si="101"/>
        <v>0.80423001529512339</v>
      </c>
      <c r="AN33" s="4">
        <f t="shared" si="101"/>
        <v>4.9649312082009533</v>
      </c>
      <c r="AO33" s="4">
        <f t="shared" si="102"/>
        <v>4.1015730780051287</v>
      </c>
      <c r="AP33" s="267">
        <f t="shared" si="103"/>
        <v>21.522976787551134</v>
      </c>
      <c r="AQ33" s="273"/>
      <c r="AR33" s="4">
        <f t="shared" si="104"/>
        <v>0</v>
      </c>
      <c r="AS33" s="4">
        <f t="shared" si="104"/>
        <v>2.6239251735941864</v>
      </c>
      <c r="AT33" s="4">
        <f t="shared" si="105"/>
        <v>0</v>
      </c>
      <c r="AU33" s="267">
        <f t="shared" si="106"/>
        <v>11.374715627530797</v>
      </c>
    </row>
    <row r="34" spans="1:47" x14ac:dyDescent="0.4">
      <c r="B34">
        <v>5</v>
      </c>
      <c r="C34" s="1">
        <v>5.9</v>
      </c>
      <c r="D34" s="1">
        <f t="shared" si="81"/>
        <v>5.0150000000000006</v>
      </c>
      <c r="E34" s="4">
        <v>7842</v>
      </c>
      <c r="F34" s="6">
        <v>6.7555111428891396E-2</v>
      </c>
      <c r="H34" s="4">
        <f t="shared" si="82"/>
        <v>7.0199086352420244</v>
      </c>
      <c r="I34" s="4">
        <f t="shared" si="83"/>
        <v>0</v>
      </c>
      <c r="J34" s="267">
        <f t="shared" si="84"/>
        <v>41.41746094792795</v>
      </c>
      <c r="K34" s="267">
        <f t="shared" si="27"/>
        <v>0</v>
      </c>
      <c r="L34" s="273"/>
      <c r="M34" s="4">
        <f t="shared" si="85"/>
        <v>6.8258644370828989</v>
      </c>
      <c r="N34" s="4">
        <f t="shared" si="85"/>
        <v>0</v>
      </c>
      <c r="O34" s="4">
        <f t="shared" si="86"/>
        <v>40.272600178789105</v>
      </c>
      <c r="P34" s="267">
        <f t="shared" si="87"/>
        <v>0</v>
      </c>
      <c r="Q34" s="6">
        <f t="shared" si="88"/>
        <v>6.7555111428891396E-2</v>
      </c>
      <c r="R34" s="273"/>
      <c r="S34" s="4">
        <f t="shared" si="89"/>
        <v>6.6795946102678334</v>
      </c>
      <c r="T34" s="4">
        <f t="shared" si="89"/>
        <v>0</v>
      </c>
      <c r="U34" s="4">
        <f t="shared" si="90"/>
        <v>39.409608200580216</v>
      </c>
      <c r="V34" s="267">
        <f t="shared" si="91"/>
        <v>0</v>
      </c>
      <c r="W34" s="273"/>
      <c r="X34" s="4">
        <f t="shared" si="92"/>
        <v>6.099850122991203</v>
      </c>
      <c r="Y34" s="4">
        <f t="shared" si="92"/>
        <v>0</v>
      </c>
      <c r="Z34" s="4">
        <f t="shared" si="93"/>
        <v>35.989115725648098</v>
      </c>
      <c r="AA34" s="267">
        <f t="shared" si="94"/>
        <v>0</v>
      </c>
      <c r="AB34" s="273"/>
      <c r="AC34" s="4">
        <f t="shared" si="95"/>
        <v>2.6144950594848417</v>
      </c>
      <c r="AD34" s="4">
        <f t="shared" si="95"/>
        <v>4.1581765648014422</v>
      </c>
      <c r="AE34" s="4">
        <f t="shared" si="96"/>
        <v>15.425520850960567</v>
      </c>
      <c r="AF34" s="267">
        <f t="shared" si="97"/>
        <v>20.853255472479233</v>
      </c>
      <c r="AG34" s="273"/>
      <c r="AH34" s="4">
        <f t="shared" si="98"/>
        <v>1.5709564793992703</v>
      </c>
      <c r="AI34" s="4">
        <f t="shared" si="98"/>
        <v>4.0287949024140621</v>
      </c>
      <c r="AJ34" s="4">
        <f t="shared" si="99"/>
        <v>9.2686432284556961</v>
      </c>
      <c r="AK34" s="267">
        <f t="shared" si="100"/>
        <v>20.204406435606526</v>
      </c>
      <c r="AL34" s="273"/>
      <c r="AM34" s="4">
        <f t="shared" si="101"/>
        <v>0.54960974117162165</v>
      </c>
      <c r="AN34" s="4">
        <f t="shared" si="101"/>
        <v>3.3930274975783772</v>
      </c>
      <c r="AO34" s="4">
        <f t="shared" si="102"/>
        <v>3.2426974729125679</v>
      </c>
      <c r="AP34" s="267">
        <f t="shared" si="103"/>
        <v>17.016032900355565</v>
      </c>
      <c r="AQ34" s="273"/>
      <c r="AR34" s="4">
        <f t="shared" si="104"/>
        <v>0</v>
      </c>
      <c r="AS34" s="4">
        <f t="shared" si="104"/>
        <v>1.7931870336667197</v>
      </c>
      <c r="AT34" s="4">
        <f t="shared" si="105"/>
        <v>0</v>
      </c>
      <c r="AU34" s="267">
        <f t="shared" si="106"/>
        <v>8.9928329738386008</v>
      </c>
    </row>
    <row r="35" spans="1:47" x14ac:dyDescent="0.4">
      <c r="F35" s="6"/>
      <c r="G35" s="4">
        <f>機器台数case1!D33</f>
        <v>56.169623999999999</v>
      </c>
      <c r="H35" s="4">
        <f>G35*(1-G$3)</f>
        <v>56.169623999999999</v>
      </c>
      <c r="I35" s="4">
        <f>G35*$G$3</f>
        <v>0</v>
      </c>
      <c r="J35" s="4">
        <f>SUM(J36:J42)</f>
        <v>195.45292657531039</v>
      </c>
      <c r="K35" s="267">
        <f t="shared" si="27"/>
        <v>0</v>
      </c>
      <c r="L35" s="273">
        <f>機器台数case1!F33</f>
        <v>54.616984184253482</v>
      </c>
      <c r="M35" s="4">
        <f>L35*(1-L$3)</f>
        <v>54.616984184253482</v>
      </c>
      <c r="N35" s="4">
        <f>L35*$G$3</f>
        <v>0</v>
      </c>
      <c r="O35" s="4">
        <f>SUM(O36:O42)</f>
        <v>190.05022001802581</v>
      </c>
      <c r="P35" s="4">
        <f>SUM(P36:P42)</f>
        <v>0</v>
      </c>
      <c r="Q35" s="6"/>
      <c r="R35" s="273">
        <f>機器台数case1!H33</f>
        <v>53.446609810219471</v>
      </c>
      <c r="S35" s="4">
        <f>R35*(1-R$3)</f>
        <v>53.446609810219471</v>
      </c>
      <c r="T35" s="4">
        <f>R35*$G$3</f>
        <v>0</v>
      </c>
      <c r="U35" s="4">
        <f>SUM(U36:U42)</f>
        <v>185.97767901982201</v>
      </c>
      <c r="V35" s="4">
        <f>SUM(V36:V42)</f>
        <v>0</v>
      </c>
      <c r="W35" s="273">
        <f>機器台数case1!J33</f>
        <v>48.80779874323207</v>
      </c>
      <c r="X35" s="4">
        <f>W35*(1-W$3)</f>
        <v>48.80779874323207</v>
      </c>
      <c r="Y35" s="4">
        <f>W35*$G$3</f>
        <v>0</v>
      </c>
      <c r="Z35" s="4">
        <f>SUM(Z36:Z42)</f>
        <v>169.8360506038542</v>
      </c>
      <c r="AA35" s="4">
        <f>SUM(AA36:AA42)</f>
        <v>0</v>
      </c>
      <c r="AB35" s="273"/>
      <c r="AC35" s="4">
        <f>機器台数case1!L33</f>
        <v>44.517553148846098</v>
      </c>
      <c r="AD35" s="4">
        <f>機器台数case1!L43</f>
        <v>31.975252150216505</v>
      </c>
      <c r="AE35" s="4">
        <f>SUM(AE36:AE42)</f>
        <v>154.90732227286932</v>
      </c>
      <c r="AF35" s="4">
        <f>SUM(AF36:AF42)</f>
        <v>94.574393432503783</v>
      </c>
      <c r="AG35" s="273">
        <f>機器台数case1!N33</f>
        <v>12.569969119716118</v>
      </c>
      <c r="AH35" s="4">
        <f>機器台数case1!N33</f>
        <v>12.569969119716118</v>
      </c>
      <c r="AI35" s="4">
        <f>機器台数case1!N43</f>
        <v>30.980342190531275</v>
      </c>
      <c r="AJ35" s="4">
        <f>SUM(AJ36:AJ42)</f>
        <v>43.739606507064984</v>
      </c>
      <c r="AK35" s="4">
        <f>SUM(AK36:AK42)</f>
        <v>91.631711213294125</v>
      </c>
      <c r="AL35" s="273">
        <f>機器台数case1!S33</f>
        <v>0</v>
      </c>
      <c r="AM35" s="4">
        <f>機器台数case1!P33</f>
        <v>4.3976886470236733</v>
      </c>
      <c r="AN35" s="4">
        <f>機器台数case1!P43</f>
        <v>26.091462951830525</v>
      </c>
      <c r="AO35" s="4">
        <f>SUM(AO36:AO42)</f>
        <v>15.302596937942722</v>
      </c>
      <c r="AP35" s="4">
        <f>SUM(AP36:AP42)</f>
        <v>77.171691120481398</v>
      </c>
      <c r="AQ35" s="273">
        <f>機器台数case1!X33</f>
        <v>0</v>
      </c>
      <c r="AR35" s="4">
        <f>機器台数case1!R33</f>
        <v>0</v>
      </c>
      <c r="AS35" s="4">
        <f>機器台数case1!R43</f>
        <v>14.156832809938543</v>
      </c>
      <c r="AT35" s="4">
        <f>SUM(AT36:AT42)</f>
        <v>0</v>
      </c>
      <c r="AU35" s="4">
        <f>SUM(AU36:AU42)</f>
        <v>41.872191332078053</v>
      </c>
    </row>
    <row r="36" spans="1:47" x14ac:dyDescent="0.4">
      <c r="A36" t="s">
        <v>6</v>
      </c>
      <c r="B36">
        <v>1.5</v>
      </c>
      <c r="C36" s="1">
        <v>1.8</v>
      </c>
      <c r="D36" s="1">
        <f t="shared" ref="D36:D42" si="107">C36*0.85</f>
        <v>1.53</v>
      </c>
      <c r="E36" s="4">
        <v>2328</v>
      </c>
      <c r="F36" s="6">
        <v>3.8079659769362888E-2</v>
      </c>
      <c r="H36" s="4">
        <f t="shared" ref="H36:H42" si="108">F36*H$35</f>
        <v>2.1389201712930399</v>
      </c>
      <c r="I36" s="4">
        <f t="shared" ref="I36:I42" si="109">$F36*I$35</f>
        <v>0</v>
      </c>
      <c r="J36" s="267">
        <f t="shared" ref="J36:J42" si="110">C36*H36</f>
        <v>3.8500563083274719</v>
      </c>
      <c r="K36" s="267">
        <f t="shared" si="27"/>
        <v>0</v>
      </c>
      <c r="L36" s="273"/>
      <c r="M36" s="4">
        <f t="shared" ref="M36:N42" si="111">$F36*M$35</f>
        <v>2.0797961753650465</v>
      </c>
      <c r="N36" s="4">
        <f t="shared" si="111"/>
        <v>0</v>
      </c>
      <c r="O36" s="4">
        <f t="shared" ref="O36:O42" si="112">$C36*$M36</f>
        <v>3.7436331156570839</v>
      </c>
      <c r="P36" s="267">
        <f t="shared" ref="P36:P42" si="113">$D36*$N36</f>
        <v>0</v>
      </c>
      <c r="Q36" s="6">
        <f t="shared" ref="Q36:Q42" si="114">E36/$A$38</f>
        <v>3.8079659769362888E-2</v>
      </c>
      <c r="R36" s="273">
        <f>SUM(S36:S42)</f>
        <v>53.446609810219478</v>
      </c>
      <c r="S36" s="4">
        <f t="shared" ref="S36:T42" si="115">$F36*S$35</f>
        <v>2.0352287173990504</v>
      </c>
      <c r="T36" s="4">
        <f t="shared" si="115"/>
        <v>0</v>
      </c>
      <c r="U36" s="4">
        <f t="shared" ref="U36:U42" si="116">$C36*S36</f>
        <v>3.663411691318291</v>
      </c>
      <c r="V36" s="267">
        <f t="shared" ref="V36:V42" si="117">$D36*T36</f>
        <v>0</v>
      </c>
      <c r="W36" s="273">
        <f>SUM(X36:X42)</f>
        <v>48.80779874323207</v>
      </c>
      <c r="X36" s="4">
        <f t="shared" ref="X36:Y42" si="118">$F36*X$35</f>
        <v>1.8585843702338147</v>
      </c>
      <c r="Y36" s="4">
        <f t="shared" si="118"/>
        <v>0</v>
      </c>
      <c r="Z36" s="4">
        <f t="shared" ref="Z36:Z42" si="119">$C36*X36</f>
        <v>3.3454518664208668</v>
      </c>
      <c r="AA36" s="267">
        <f t="shared" ref="AA36:AA42" si="120">$D36*Y36</f>
        <v>0</v>
      </c>
      <c r="AB36" s="273">
        <f>SUM(AC36:AC42)</f>
        <v>44.517553148846105</v>
      </c>
      <c r="AC36" s="4">
        <f t="shared" ref="AC36:AD42" si="121">$F36*AC$35</f>
        <v>1.6952132776725888</v>
      </c>
      <c r="AD36" s="4">
        <f t="shared" si="121"/>
        <v>1.2176067229198335</v>
      </c>
      <c r="AE36" s="4">
        <f t="shared" ref="AE36:AE42" si="122">$C36*AC36</f>
        <v>3.0513838998106597</v>
      </c>
      <c r="AF36" s="267">
        <f t="shared" ref="AF36:AF42" si="123">$D36*AD36</f>
        <v>1.8629382860673454</v>
      </c>
      <c r="AG36" s="273">
        <f>SUM(AH36:AH42)</f>
        <v>12.56996911971612</v>
      </c>
      <c r="AH36" s="4">
        <f t="shared" ref="AH36:AI42" si="124">$F36*AH$35</f>
        <v>0.4786601473901877</v>
      </c>
      <c r="AI36" s="4">
        <f t="shared" si="124"/>
        <v>1.1797208901538696</v>
      </c>
      <c r="AJ36" s="4">
        <f t="shared" ref="AJ36:AJ42" si="125">$C36*AH36</f>
        <v>0.8615882653023379</v>
      </c>
      <c r="AK36" s="267">
        <f t="shared" ref="AK36:AK42" si="126">$D36*AI36</f>
        <v>1.8049729619354205</v>
      </c>
      <c r="AL36" s="273">
        <f>SUM(AM36:AM42)</f>
        <v>4.3976886470236733</v>
      </c>
      <c r="AM36" s="4">
        <f t="shared" ref="AM36:AN42" si="127">$F36*AM$35</f>
        <v>0.16746248745025127</v>
      </c>
      <c r="AN36" s="4">
        <f t="shared" si="127"/>
        <v>0.99355403209064308</v>
      </c>
      <c r="AO36" s="4">
        <f t="shared" ref="AO36:AO42" si="128">$C36*AM36</f>
        <v>0.30143247741045232</v>
      </c>
      <c r="AP36" s="267">
        <f t="shared" ref="AP36:AP42" si="129">$D36*AN36</f>
        <v>1.5201376690986839</v>
      </c>
      <c r="AQ36" s="273">
        <f>SUM(AR36:AR42)</f>
        <v>0</v>
      </c>
      <c r="AR36" s="4">
        <f t="shared" ref="AR36:AS42" si="130">$F36*AR$35</f>
        <v>0</v>
      </c>
      <c r="AS36" s="4">
        <f t="shared" si="130"/>
        <v>0.53908737681421326</v>
      </c>
      <c r="AT36" s="4">
        <f t="shared" ref="AT36:AT42" si="131">$C36*AR36</f>
        <v>0</v>
      </c>
      <c r="AU36" s="267">
        <f t="shared" ref="AU36:AU42" si="132">$D36*AS36</f>
        <v>0.82480368652574632</v>
      </c>
    </row>
    <row r="37" spans="1:47" x14ac:dyDescent="0.4">
      <c r="A37" t="s">
        <v>5</v>
      </c>
      <c r="B37">
        <v>2</v>
      </c>
      <c r="C37" s="1">
        <v>2</v>
      </c>
      <c r="D37" s="1">
        <f t="shared" si="107"/>
        <v>1.7</v>
      </c>
      <c r="E37" s="4">
        <v>11267</v>
      </c>
      <c r="F37" s="6">
        <v>0.1842970475177885</v>
      </c>
      <c r="H37" s="4">
        <f t="shared" si="108"/>
        <v>10.351895863384312</v>
      </c>
      <c r="I37" s="4">
        <f t="shared" si="109"/>
        <v>0</v>
      </c>
      <c r="J37" s="267">
        <f t="shared" si="110"/>
        <v>20.703791726768625</v>
      </c>
      <c r="K37" s="267">
        <f t="shared" si="27"/>
        <v>0</v>
      </c>
      <c r="L37" s="273"/>
      <c r="M37" s="4">
        <f t="shared" si="111"/>
        <v>10.065748929483666</v>
      </c>
      <c r="N37" s="4">
        <f t="shared" si="111"/>
        <v>0</v>
      </c>
      <c r="O37" s="4">
        <f t="shared" si="112"/>
        <v>20.131497858967332</v>
      </c>
      <c r="P37" s="267">
        <f t="shared" si="113"/>
        <v>0</v>
      </c>
      <c r="Q37" s="6">
        <f t="shared" si="114"/>
        <v>0.1842970475177885</v>
      </c>
      <c r="R37" s="273"/>
      <c r="S37" s="4">
        <f t="shared" si="115"/>
        <v>9.8500523878587192</v>
      </c>
      <c r="T37" s="4">
        <f t="shared" si="115"/>
        <v>0</v>
      </c>
      <c r="U37" s="4">
        <f t="shared" si="116"/>
        <v>19.700104775717438</v>
      </c>
      <c r="V37" s="267">
        <f t="shared" si="117"/>
        <v>0</v>
      </c>
      <c r="W37" s="273"/>
      <c r="X37" s="4">
        <f t="shared" si="118"/>
        <v>8.9951332042200978</v>
      </c>
      <c r="Y37" s="4">
        <f t="shared" si="118"/>
        <v>0</v>
      </c>
      <c r="Z37" s="4">
        <f t="shared" si="119"/>
        <v>17.990266408440196</v>
      </c>
      <c r="AA37" s="267">
        <f t="shared" si="120"/>
        <v>0</v>
      </c>
      <c r="AB37" s="273"/>
      <c r="AC37" s="4">
        <f t="shared" si="121"/>
        <v>8.2044536080485635</v>
      </c>
      <c r="AD37" s="4">
        <f t="shared" si="121"/>
        <v>5.89294456492172</v>
      </c>
      <c r="AE37" s="4">
        <f t="shared" si="122"/>
        <v>16.408907216097127</v>
      </c>
      <c r="AF37" s="267">
        <f t="shared" si="123"/>
        <v>10.018005760366924</v>
      </c>
      <c r="AG37" s="273"/>
      <c r="AH37" s="4">
        <f t="shared" si="124"/>
        <v>2.3166081961534557</v>
      </c>
      <c r="AI37" s="4">
        <f t="shared" si="124"/>
        <v>5.7095855968056899</v>
      </c>
      <c r="AJ37" s="4">
        <f t="shared" si="125"/>
        <v>4.6332163923069114</v>
      </c>
      <c r="AK37" s="267">
        <f t="shared" si="126"/>
        <v>9.706295514569673</v>
      </c>
      <c r="AL37" s="273"/>
      <c r="AM37" s="4">
        <f t="shared" si="127"/>
        <v>0.81048103354896095</v>
      </c>
      <c r="AN37" s="4">
        <f t="shared" si="127"/>
        <v>4.8085795874421287</v>
      </c>
      <c r="AO37" s="4">
        <f t="shared" si="128"/>
        <v>1.6209620670979219</v>
      </c>
      <c r="AP37" s="267">
        <f t="shared" si="129"/>
        <v>8.1745852986516176</v>
      </c>
      <c r="AQ37" s="273"/>
      <c r="AR37" s="4">
        <f t="shared" si="130"/>
        <v>0</v>
      </c>
      <c r="AS37" s="4">
        <f t="shared" si="130"/>
        <v>2.6090624890746308</v>
      </c>
      <c r="AT37" s="4">
        <f t="shared" si="131"/>
        <v>0</v>
      </c>
      <c r="AU37" s="267">
        <f t="shared" si="132"/>
        <v>4.4354062314268718</v>
      </c>
    </row>
    <row r="38" spans="1:47" x14ac:dyDescent="0.4">
      <c r="A38" s="5">
        <f>SUM(E36:E42)</f>
        <v>61135</v>
      </c>
      <c r="B38">
        <v>2.5</v>
      </c>
      <c r="C38" s="1">
        <v>2.9</v>
      </c>
      <c r="D38" s="1">
        <f t="shared" si="107"/>
        <v>2.4649999999999999</v>
      </c>
      <c r="E38" s="4">
        <v>12189</v>
      </c>
      <c r="F38" s="6">
        <v>0.19937842479757914</v>
      </c>
      <c r="H38" s="4">
        <f t="shared" si="108"/>
        <v>11.199011154592297</v>
      </c>
      <c r="I38" s="4">
        <f t="shared" si="109"/>
        <v>0</v>
      </c>
      <c r="J38" s="267">
        <f t="shared" si="110"/>
        <v>32.47713234831766</v>
      </c>
      <c r="K38" s="267">
        <f t="shared" si="27"/>
        <v>0</v>
      </c>
      <c r="L38" s="273"/>
      <c r="M38" s="4">
        <f t="shared" si="111"/>
        <v>10.889448273850752</v>
      </c>
      <c r="N38" s="4">
        <f t="shared" si="111"/>
        <v>0</v>
      </c>
      <c r="O38" s="4">
        <f t="shared" si="112"/>
        <v>31.579399994167179</v>
      </c>
      <c r="P38" s="267">
        <f t="shared" si="113"/>
        <v>0</v>
      </c>
      <c r="Q38" s="6">
        <f t="shared" si="114"/>
        <v>0.19937842479757914</v>
      </c>
      <c r="R38" s="273"/>
      <c r="S38" s="4">
        <f t="shared" si="115"/>
        <v>10.656100874732399</v>
      </c>
      <c r="T38" s="4">
        <f t="shared" si="115"/>
        <v>0</v>
      </c>
      <c r="U38" s="4">
        <f t="shared" si="116"/>
        <v>30.902692536723954</v>
      </c>
      <c r="V38" s="267">
        <f t="shared" si="117"/>
        <v>0</v>
      </c>
      <c r="W38" s="273"/>
      <c r="X38" s="4">
        <f t="shared" si="118"/>
        <v>9.7312220312628721</v>
      </c>
      <c r="Y38" s="4">
        <f t="shared" si="118"/>
        <v>0</v>
      </c>
      <c r="Z38" s="4">
        <f t="shared" si="119"/>
        <v>28.220543890662327</v>
      </c>
      <c r="AA38" s="267">
        <f t="shared" si="120"/>
        <v>0</v>
      </c>
      <c r="AB38" s="273"/>
      <c r="AC38" s="4">
        <f t="shared" si="121"/>
        <v>8.8758396226594449</v>
      </c>
      <c r="AD38" s="4">
        <f t="shared" si="121"/>
        <v>6.3751754062155719</v>
      </c>
      <c r="AE38" s="4">
        <f t="shared" si="122"/>
        <v>25.739934905712389</v>
      </c>
      <c r="AF38" s="267">
        <f t="shared" si="123"/>
        <v>15.714807376321383</v>
      </c>
      <c r="AG38" s="273"/>
      <c r="AH38" s="4">
        <f t="shared" si="124"/>
        <v>2.5061806428432121</v>
      </c>
      <c r="AI38" s="4">
        <f t="shared" si="124"/>
        <v>6.1768118256381079</v>
      </c>
      <c r="AJ38" s="4">
        <f t="shared" si="125"/>
        <v>7.267923864245315</v>
      </c>
      <c r="AK38" s="267">
        <f t="shared" si="126"/>
        <v>15.225841150197935</v>
      </c>
      <c r="AL38" s="273"/>
      <c r="AM38" s="4">
        <f t="shared" si="127"/>
        <v>0.87680423519377704</v>
      </c>
      <c r="AN38" s="4">
        <f t="shared" si="127"/>
        <v>5.2020747840003647</v>
      </c>
      <c r="AO38" s="4">
        <f t="shared" si="128"/>
        <v>2.5427322820619533</v>
      </c>
      <c r="AP38" s="267">
        <f t="shared" si="129"/>
        <v>12.823114342560899</v>
      </c>
      <c r="AQ38" s="273"/>
      <c r="AR38" s="4">
        <f t="shared" si="130"/>
        <v>0</v>
      </c>
      <c r="AS38" s="4">
        <f t="shared" si="130"/>
        <v>2.8225670257682327</v>
      </c>
      <c r="AT38" s="4">
        <f t="shared" si="131"/>
        <v>0</v>
      </c>
      <c r="AU38" s="267">
        <f t="shared" si="132"/>
        <v>6.957627718518693</v>
      </c>
    </row>
    <row r="39" spans="1:47" x14ac:dyDescent="0.4">
      <c r="A39" s="237">
        <f>A38/$E$75</f>
        <v>4.041708234083894E-2</v>
      </c>
      <c r="B39">
        <v>3</v>
      </c>
      <c r="C39" s="1">
        <v>2.9</v>
      </c>
      <c r="D39" s="1">
        <f t="shared" si="107"/>
        <v>2.4649999999999999</v>
      </c>
      <c r="E39" s="4">
        <v>15247</v>
      </c>
      <c r="F39" s="6">
        <v>0.24939887135029035</v>
      </c>
      <c r="H39" s="4">
        <f t="shared" si="108"/>
        <v>14.008640829770181</v>
      </c>
      <c r="I39" s="4">
        <f t="shared" si="109"/>
        <v>0</v>
      </c>
      <c r="J39" s="267">
        <f t="shared" si="110"/>
        <v>40.625058406333522</v>
      </c>
      <c r="K39" s="267">
        <f t="shared" si="27"/>
        <v>0</v>
      </c>
      <c r="L39" s="273"/>
      <c r="M39" s="4">
        <f t="shared" si="111"/>
        <v>13.621414212109476</v>
      </c>
      <c r="N39" s="4">
        <f t="shared" si="111"/>
        <v>0</v>
      </c>
      <c r="O39" s="4">
        <f t="shared" si="112"/>
        <v>39.502101215117477</v>
      </c>
      <c r="P39" s="267">
        <f t="shared" si="113"/>
        <v>0</v>
      </c>
      <c r="Q39" s="6">
        <f t="shared" si="114"/>
        <v>0.24939887135029035</v>
      </c>
      <c r="R39" s="273"/>
      <c r="S39" s="4">
        <f t="shared" si="115"/>
        <v>13.329524164168092</v>
      </c>
      <c r="T39" s="4">
        <f t="shared" si="115"/>
        <v>0</v>
      </c>
      <c r="U39" s="4">
        <f t="shared" si="116"/>
        <v>38.655620076087466</v>
      </c>
      <c r="V39" s="267">
        <f t="shared" si="117"/>
        <v>0</v>
      </c>
      <c r="W39" s="273"/>
      <c r="X39" s="4">
        <f t="shared" si="118"/>
        <v>12.172609919654198</v>
      </c>
      <c r="Y39" s="4">
        <f t="shared" si="118"/>
        <v>0</v>
      </c>
      <c r="Z39" s="4">
        <f t="shared" si="119"/>
        <v>35.300568766997173</v>
      </c>
      <c r="AA39" s="267">
        <f t="shared" si="120"/>
        <v>0</v>
      </c>
      <c r="AB39" s="273"/>
      <c r="AC39" s="4">
        <f t="shared" si="121"/>
        <v>11.102627510598781</v>
      </c>
      <c r="AD39" s="4">
        <f t="shared" si="121"/>
        <v>7.9745917974049414</v>
      </c>
      <c r="AE39" s="4">
        <f t="shared" si="122"/>
        <v>32.197619780736467</v>
      </c>
      <c r="AF39" s="267">
        <f t="shared" si="123"/>
        <v>19.657368780603178</v>
      </c>
      <c r="AG39" s="273"/>
      <c r="AH39" s="4">
        <f t="shared" si="124"/>
        <v>3.1349361113652026</v>
      </c>
      <c r="AI39" s="4">
        <f t="shared" si="124"/>
        <v>7.7264623763642817</v>
      </c>
      <c r="AJ39" s="4">
        <f t="shared" si="125"/>
        <v>9.0913147229590869</v>
      </c>
      <c r="AK39" s="267">
        <f t="shared" si="126"/>
        <v>19.045729757737952</v>
      </c>
      <c r="AL39" s="273"/>
      <c r="AM39" s="4">
        <f t="shared" si="127"/>
        <v>1.0967785851176894</v>
      </c>
      <c r="AN39" s="4">
        <f t="shared" si="127"/>
        <v>6.5071814120644484</v>
      </c>
      <c r="AO39" s="4">
        <f t="shared" si="128"/>
        <v>3.1806578968412991</v>
      </c>
      <c r="AP39" s="267">
        <f t="shared" si="129"/>
        <v>16.040202180738863</v>
      </c>
      <c r="AQ39" s="273"/>
      <c r="AR39" s="4">
        <f t="shared" si="130"/>
        <v>0</v>
      </c>
      <c r="AS39" s="4">
        <f t="shared" si="130"/>
        <v>3.5306981246934321</v>
      </c>
      <c r="AT39" s="4">
        <f t="shared" si="131"/>
        <v>0</v>
      </c>
      <c r="AU39" s="267">
        <f t="shared" si="132"/>
        <v>8.7031708773693097</v>
      </c>
    </row>
    <row r="40" spans="1:47" x14ac:dyDescent="0.4">
      <c r="B40">
        <v>3.5</v>
      </c>
      <c r="C40" s="1">
        <v>5</v>
      </c>
      <c r="D40" s="1">
        <f t="shared" si="107"/>
        <v>4.25</v>
      </c>
      <c r="E40" s="4">
        <v>6555</v>
      </c>
      <c r="F40" s="6">
        <v>0.10722172241760039</v>
      </c>
      <c r="H40" s="4">
        <f t="shared" si="108"/>
        <v>6.0226038328289846</v>
      </c>
      <c r="I40" s="4">
        <f t="shared" si="109"/>
        <v>0</v>
      </c>
      <c r="J40" s="267">
        <f t="shared" si="110"/>
        <v>30.113019164144923</v>
      </c>
      <c r="K40" s="267">
        <f t="shared" si="27"/>
        <v>0</v>
      </c>
      <c r="L40" s="273"/>
      <c r="M40" s="4">
        <f t="shared" si="111"/>
        <v>5.8561271174904972</v>
      </c>
      <c r="N40" s="4">
        <f t="shared" si="111"/>
        <v>0</v>
      </c>
      <c r="O40" s="4">
        <f t="shared" si="112"/>
        <v>29.280635587452487</v>
      </c>
      <c r="P40" s="267">
        <f t="shared" si="113"/>
        <v>0</v>
      </c>
      <c r="Q40" s="6">
        <f t="shared" si="114"/>
        <v>0.10722172241760039</v>
      </c>
      <c r="R40" s="273"/>
      <c r="S40" s="4">
        <f t="shared" si="115"/>
        <v>5.7306375612331504</v>
      </c>
      <c r="T40" s="4">
        <f t="shared" si="115"/>
        <v>0</v>
      </c>
      <c r="U40" s="4">
        <f t="shared" si="116"/>
        <v>28.653187806165754</v>
      </c>
      <c r="V40" s="267">
        <f t="shared" si="117"/>
        <v>0</v>
      </c>
      <c r="W40" s="273"/>
      <c r="X40" s="4">
        <f t="shared" si="118"/>
        <v>5.2332562486609344</v>
      </c>
      <c r="Y40" s="4">
        <f t="shared" si="118"/>
        <v>0</v>
      </c>
      <c r="Z40" s="4">
        <f t="shared" si="119"/>
        <v>26.166281243304674</v>
      </c>
      <c r="AA40" s="267">
        <f t="shared" si="120"/>
        <v>0</v>
      </c>
      <c r="AB40" s="273"/>
      <c r="AC40" s="4">
        <f t="shared" si="121"/>
        <v>4.7732487264363481</v>
      </c>
      <c r="AD40" s="4">
        <f t="shared" si="121"/>
        <v>3.428441610283294</v>
      </c>
      <c r="AE40" s="4">
        <f t="shared" si="122"/>
        <v>23.866243632181742</v>
      </c>
      <c r="AF40" s="267">
        <f t="shared" si="123"/>
        <v>14.570876843703999</v>
      </c>
      <c r="AG40" s="273"/>
      <c r="AH40" s="4">
        <f t="shared" si="124"/>
        <v>1.3477737397520104</v>
      </c>
      <c r="AI40" s="4">
        <f t="shared" si="124"/>
        <v>3.3217656507554185</v>
      </c>
      <c r="AJ40" s="4">
        <f t="shared" si="125"/>
        <v>6.7388686987600526</v>
      </c>
      <c r="AK40" s="267">
        <f t="shared" si="126"/>
        <v>14.117504015710528</v>
      </c>
      <c r="AL40" s="273"/>
      <c r="AM40" s="4">
        <f t="shared" si="127"/>
        <v>0.47152775139020492</v>
      </c>
      <c r="AN40" s="4">
        <f t="shared" si="127"/>
        <v>2.7975715980902769</v>
      </c>
      <c r="AO40" s="4">
        <f t="shared" si="128"/>
        <v>2.3576387569510247</v>
      </c>
      <c r="AP40" s="267">
        <f t="shared" si="129"/>
        <v>11.889679291883677</v>
      </c>
      <c r="AQ40" s="273"/>
      <c r="AR40" s="4">
        <f t="shared" si="130"/>
        <v>0</v>
      </c>
      <c r="AS40" s="4">
        <f t="shared" si="130"/>
        <v>1.5179199978596081</v>
      </c>
      <c r="AT40" s="4">
        <f t="shared" si="131"/>
        <v>0</v>
      </c>
      <c r="AU40" s="267">
        <f t="shared" si="132"/>
        <v>6.4511599909033341</v>
      </c>
    </row>
    <row r="41" spans="1:47" x14ac:dyDescent="0.4">
      <c r="B41">
        <v>4</v>
      </c>
      <c r="C41" s="1">
        <v>5.0999999999999996</v>
      </c>
      <c r="D41" s="1">
        <f t="shared" si="107"/>
        <v>4.335</v>
      </c>
      <c r="E41" s="4">
        <v>7840</v>
      </c>
      <c r="F41" s="6">
        <v>0.12824077860472724</v>
      </c>
      <c r="H41" s="4">
        <f t="shared" si="108"/>
        <v>7.2032363156947739</v>
      </c>
      <c r="I41" s="4">
        <f t="shared" si="109"/>
        <v>0</v>
      </c>
      <c r="J41" s="267">
        <f t="shared" si="110"/>
        <v>36.736505210043347</v>
      </c>
      <c r="K41" s="267">
        <f t="shared" si="27"/>
        <v>0</v>
      </c>
      <c r="L41" s="273"/>
      <c r="M41" s="4">
        <f t="shared" si="111"/>
        <v>7.0041245768307396</v>
      </c>
      <c r="N41" s="4">
        <f t="shared" si="111"/>
        <v>0</v>
      </c>
      <c r="O41" s="4">
        <f t="shared" si="112"/>
        <v>35.721035341836767</v>
      </c>
      <c r="P41" s="267">
        <f t="shared" si="113"/>
        <v>0</v>
      </c>
      <c r="Q41" s="6">
        <f t="shared" si="114"/>
        <v>0.12824077860472724</v>
      </c>
      <c r="R41" s="273"/>
      <c r="S41" s="4">
        <f t="shared" si="115"/>
        <v>6.8540348558455984</v>
      </c>
      <c r="T41" s="4">
        <f t="shared" si="115"/>
        <v>0</v>
      </c>
      <c r="U41" s="4">
        <f t="shared" si="116"/>
        <v>34.955577764812546</v>
      </c>
      <c r="V41" s="267">
        <f t="shared" si="117"/>
        <v>0</v>
      </c>
      <c r="W41" s="273"/>
      <c r="X41" s="4">
        <f t="shared" si="118"/>
        <v>6.2591501128149085</v>
      </c>
      <c r="Y41" s="4">
        <f t="shared" si="118"/>
        <v>0</v>
      </c>
      <c r="Z41" s="4">
        <f t="shared" si="119"/>
        <v>31.92166557535603</v>
      </c>
      <c r="AA41" s="267">
        <f t="shared" si="120"/>
        <v>0</v>
      </c>
      <c r="AB41" s="273"/>
      <c r="AC41" s="4">
        <f t="shared" si="121"/>
        <v>5.7089656773853505</v>
      </c>
      <c r="AD41" s="4">
        <f t="shared" si="121"/>
        <v>4.1005312318262437</v>
      </c>
      <c r="AE41" s="4">
        <f t="shared" si="122"/>
        <v>29.115724954665286</v>
      </c>
      <c r="AF41" s="267">
        <f t="shared" si="123"/>
        <v>17.775802889966766</v>
      </c>
      <c r="AG41" s="273"/>
      <c r="AH41" s="4">
        <f t="shared" si="124"/>
        <v>1.6119826269497728</v>
      </c>
      <c r="AI41" s="4">
        <f t="shared" si="124"/>
        <v>3.9729432039546118</v>
      </c>
      <c r="AJ41" s="4">
        <f t="shared" si="125"/>
        <v>8.2211113974438401</v>
      </c>
      <c r="AK41" s="267">
        <f t="shared" si="126"/>
        <v>17.22270878914324</v>
      </c>
      <c r="AL41" s="273"/>
      <c r="AM41" s="4">
        <f t="shared" si="127"/>
        <v>0.56396301615548539</v>
      </c>
      <c r="AN41" s="4">
        <f t="shared" si="127"/>
        <v>3.3459895238791413</v>
      </c>
      <c r="AO41" s="4">
        <f t="shared" si="128"/>
        <v>2.8762113823929751</v>
      </c>
      <c r="AP41" s="267">
        <f t="shared" si="129"/>
        <v>14.504864586016078</v>
      </c>
      <c r="AQ41" s="273"/>
      <c r="AR41" s="4">
        <f t="shared" si="130"/>
        <v>0</v>
      </c>
      <c r="AS41" s="4">
        <f t="shared" si="130"/>
        <v>1.8154832621234673</v>
      </c>
      <c r="AT41" s="4">
        <f t="shared" si="131"/>
        <v>0</v>
      </c>
      <c r="AU41" s="267">
        <f t="shared" si="132"/>
        <v>7.870119941305231</v>
      </c>
    </row>
    <row r="42" spans="1:47" x14ac:dyDescent="0.4">
      <c r="B42">
        <v>5</v>
      </c>
      <c r="C42" s="1">
        <v>5.9</v>
      </c>
      <c r="D42" s="1">
        <f t="shared" si="107"/>
        <v>5.0150000000000006</v>
      </c>
      <c r="E42" s="4">
        <v>5709</v>
      </c>
      <c r="F42" s="6">
        <v>9.3383495542651504E-2</v>
      </c>
      <c r="H42" s="4">
        <f t="shared" si="108"/>
        <v>5.2453158324364111</v>
      </c>
      <c r="I42" s="4">
        <f t="shared" si="109"/>
        <v>0</v>
      </c>
      <c r="J42" s="267">
        <f t="shared" si="110"/>
        <v>30.947363411374827</v>
      </c>
      <c r="K42" s="267">
        <f t="shared" si="27"/>
        <v>0</v>
      </c>
      <c r="L42" s="273"/>
      <c r="M42" s="4">
        <f t="shared" si="111"/>
        <v>5.1003248991233026</v>
      </c>
      <c r="N42" s="4">
        <f t="shared" si="111"/>
        <v>0</v>
      </c>
      <c r="O42" s="4">
        <f t="shared" si="112"/>
        <v>30.091916904827485</v>
      </c>
      <c r="P42" s="267">
        <f t="shared" si="113"/>
        <v>0</v>
      </c>
      <c r="Q42" s="6">
        <f t="shared" si="114"/>
        <v>9.3383495542651504E-2</v>
      </c>
      <c r="R42" s="273"/>
      <c r="S42" s="4">
        <f t="shared" si="115"/>
        <v>4.9910312489824644</v>
      </c>
      <c r="T42" s="4">
        <f t="shared" si="115"/>
        <v>0</v>
      </c>
      <c r="U42" s="4">
        <f t="shared" si="116"/>
        <v>29.447084368996542</v>
      </c>
      <c r="V42" s="267">
        <f t="shared" si="117"/>
        <v>0</v>
      </c>
      <c r="W42" s="273"/>
      <c r="X42" s="4">
        <f t="shared" si="118"/>
        <v>4.5578428563852436</v>
      </c>
      <c r="Y42" s="4">
        <f t="shared" si="118"/>
        <v>0</v>
      </c>
      <c r="Z42" s="4">
        <f t="shared" si="119"/>
        <v>26.891272852672937</v>
      </c>
      <c r="AA42" s="267">
        <f t="shared" si="120"/>
        <v>0</v>
      </c>
      <c r="AB42" s="273"/>
      <c r="AC42" s="4">
        <f t="shared" si="121"/>
        <v>4.1572047260450207</v>
      </c>
      <c r="AD42" s="4">
        <f t="shared" si="121"/>
        <v>2.985960816644901</v>
      </c>
      <c r="AE42" s="4">
        <f t="shared" si="122"/>
        <v>24.527507883665624</v>
      </c>
      <c r="AF42" s="267">
        <f t="shared" si="123"/>
        <v>14.97459349547418</v>
      </c>
      <c r="AG42" s="273"/>
      <c r="AH42" s="4">
        <f t="shared" si="124"/>
        <v>1.1738276552622773</v>
      </c>
      <c r="AI42" s="4">
        <f t="shared" si="124"/>
        <v>2.8930526468592954</v>
      </c>
      <c r="AJ42" s="4">
        <f t="shared" si="125"/>
        <v>6.9255831660474367</v>
      </c>
      <c r="AK42" s="267">
        <f t="shared" si="126"/>
        <v>14.508659023999368</v>
      </c>
      <c r="AL42" s="273"/>
      <c r="AM42" s="4">
        <f t="shared" si="127"/>
        <v>0.41067153816730434</v>
      </c>
      <c r="AN42" s="4">
        <f t="shared" si="127"/>
        <v>2.4365120142635228</v>
      </c>
      <c r="AO42" s="4">
        <f t="shared" si="128"/>
        <v>2.4229620751870957</v>
      </c>
      <c r="AP42" s="267">
        <f t="shared" si="129"/>
        <v>12.219107751531569</v>
      </c>
      <c r="AQ42" s="273"/>
      <c r="AR42" s="4">
        <f t="shared" si="130"/>
        <v>0</v>
      </c>
      <c r="AS42" s="4">
        <f t="shared" si="130"/>
        <v>1.3220145336049585</v>
      </c>
      <c r="AT42" s="4">
        <f t="shared" si="131"/>
        <v>0</v>
      </c>
      <c r="AU42" s="267">
        <f t="shared" si="132"/>
        <v>6.6299028860288676</v>
      </c>
    </row>
    <row r="43" spans="1:47" x14ac:dyDescent="0.4">
      <c r="F43" s="6"/>
      <c r="G43" s="4">
        <f>機器台数case1!D34</f>
        <v>112.339248</v>
      </c>
      <c r="H43" s="4">
        <f>G43*(1-G$3)</f>
        <v>112.339248</v>
      </c>
      <c r="I43" s="4">
        <f>G43*$G$3</f>
        <v>0</v>
      </c>
      <c r="J43" s="4">
        <f>SUM(J44:J47)</f>
        <v>239.15661285240353</v>
      </c>
      <c r="K43" s="267">
        <f t="shared" ref="K43:K73" si="133">D43*I43</f>
        <v>0</v>
      </c>
      <c r="L43" s="273">
        <f>機器台数case1!F34</f>
        <v>109.23396836850696</v>
      </c>
      <c r="M43" s="4">
        <f>L43*(1-L$3)</f>
        <v>109.23396836850696</v>
      </c>
      <c r="N43" s="4">
        <f>L43*$G$3</f>
        <v>0</v>
      </c>
      <c r="O43" s="4">
        <f>SUM(O44:O47)</f>
        <v>232.54584972331941</v>
      </c>
      <c r="P43" s="4">
        <f>SUM(P44:P47)</f>
        <v>0</v>
      </c>
      <c r="Q43" s="6"/>
      <c r="R43" s="273">
        <f>機器台数case1!H34</f>
        <v>106.89321962043894</v>
      </c>
      <c r="S43" s="4">
        <f>R43*(1-R$3)</f>
        <v>106.89321962043894</v>
      </c>
      <c r="T43" s="4">
        <f>R43*$G$3</f>
        <v>0</v>
      </c>
      <c r="U43" s="4">
        <f>SUM(U44:U47)</f>
        <v>227.56267997549938</v>
      </c>
      <c r="V43" s="4">
        <f>SUM(V44:V47)</f>
        <v>0</v>
      </c>
      <c r="W43" s="273">
        <f>機器台数case1!J34</f>
        <v>97.615597486464139</v>
      </c>
      <c r="X43" s="4">
        <f>W43*(1-W$3)</f>
        <v>97.615597486464139</v>
      </c>
      <c r="Y43" s="4">
        <f>W43*$G$3</f>
        <v>0</v>
      </c>
      <c r="Z43" s="4">
        <f>SUM(Z44:Z47)</f>
        <v>207.8117494290718</v>
      </c>
      <c r="AA43" s="4">
        <f>SUM(AA44:AA47)</f>
        <v>0</v>
      </c>
      <c r="AB43" s="273"/>
      <c r="AC43" s="4">
        <f>機器台数case1!L34</f>
        <v>89.035106297692195</v>
      </c>
      <c r="AD43" s="4">
        <f>機器台数case1!L44</f>
        <v>65.549266907943831</v>
      </c>
      <c r="AE43" s="4">
        <f>SUM(AE44:AE47)</f>
        <v>189.54492598267854</v>
      </c>
      <c r="AF43" s="4">
        <f>SUM(AF44:AF47)</f>
        <v>118.61446278652933</v>
      </c>
      <c r="AG43" s="273">
        <f>機器台数case1!N34</f>
        <v>25.139938239432237</v>
      </c>
      <c r="AH43" s="4">
        <f>機器台数case1!N34</f>
        <v>25.139938239432237</v>
      </c>
      <c r="AI43" s="4">
        <f>機器台数case1!N44</f>
        <v>63.509701490589116</v>
      </c>
      <c r="AJ43" s="4">
        <f>SUM(AJ44:AJ47)</f>
        <v>53.51987469829983</v>
      </c>
      <c r="AK43" s="4">
        <f>SUM(AK44:AK47)</f>
        <v>114.92377381761587</v>
      </c>
      <c r="AL43" s="273">
        <f>機器台数case1!S34</f>
        <v>0</v>
      </c>
      <c r="AM43" s="4">
        <f>機器台数case1!P34</f>
        <v>8.7953772940473467</v>
      </c>
      <c r="AN43" s="4">
        <f>機器台数case1!P44</f>
        <v>53.487499051252577</v>
      </c>
      <c r="AO43" s="4">
        <f>SUM(AO44:AO47)</f>
        <v>18.724289861752517</v>
      </c>
      <c r="AP43" s="4">
        <f>SUM(AP44:AP47)</f>
        <v>96.788129982739036</v>
      </c>
      <c r="AQ43" s="273">
        <f>機器台数case1!X34</f>
        <v>0</v>
      </c>
      <c r="AR43" s="4">
        <f>機器台数case1!R34</f>
        <v>0</v>
      </c>
      <c r="AS43" s="4">
        <f>機器台数case1!R44</f>
        <v>28.313665619877085</v>
      </c>
      <c r="AT43" s="4">
        <f>SUM(AT44:AT47)</f>
        <v>0</v>
      </c>
      <c r="AU43" s="4">
        <f>SUM(AU44:AU47)</f>
        <v>51.234901554820354</v>
      </c>
    </row>
    <row r="44" spans="1:47" x14ac:dyDescent="0.4">
      <c r="A44" t="s">
        <v>6</v>
      </c>
      <c r="B44">
        <v>1.5</v>
      </c>
      <c r="C44" s="1">
        <v>1.8</v>
      </c>
      <c r="D44" s="1">
        <f>C44*0.85</f>
        <v>1.53</v>
      </c>
      <c r="E44" s="4">
        <v>49877</v>
      </c>
      <c r="F44" s="6">
        <f>E44/$A$46</f>
        <v>0.40445183263055468</v>
      </c>
      <c r="H44" s="4">
        <f>F44*H$43</f>
        <v>45.435814729938372</v>
      </c>
      <c r="I44" s="4">
        <f>$F44*I$43</f>
        <v>0</v>
      </c>
      <c r="J44" s="267">
        <f>C44*H44</f>
        <v>81.784466513889072</v>
      </c>
      <c r="K44" s="267">
        <f t="shared" si="133"/>
        <v>0</v>
      </c>
      <c r="L44" s="273"/>
      <c r="M44" s="4">
        <f t="shared" ref="M44:N47" si="134">$F44*M$43</f>
        <v>44.17987869215068</v>
      </c>
      <c r="N44" s="4">
        <f t="shared" si="134"/>
        <v>0</v>
      </c>
      <c r="O44" s="4">
        <f>$C44*$M44</f>
        <v>79.523781645871225</v>
      </c>
      <c r="P44" s="267">
        <f>$D44*$N44</f>
        <v>0</v>
      </c>
      <c r="Q44" s="6">
        <f>E44/$A$38</f>
        <v>0.81585016766173224</v>
      </c>
      <c r="R44" s="273"/>
      <c r="S44" s="4">
        <f t="shared" ref="S44:T47" si="135">$F44*S$43</f>
        <v>43.233158571266891</v>
      </c>
      <c r="T44" s="4">
        <f t="shared" si="135"/>
        <v>0</v>
      </c>
      <c r="U44" s="4">
        <f>$C44*S44</f>
        <v>77.819685428280408</v>
      </c>
      <c r="V44" s="267">
        <f>$D44*T44</f>
        <v>0</v>
      </c>
      <c r="W44" s="273">
        <f>SUM(X44:X47)</f>
        <v>97.615597486464139</v>
      </c>
      <c r="X44" s="4">
        <f t="shared" ref="X44:Y47" si="136">$F44*X$43</f>
        <v>39.480807296726987</v>
      </c>
      <c r="Y44" s="4">
        <f t="shared" si="136"/>
        <v>0</v>
      </c>
      <c r="Z44" s="4">
        <f>$C44*X44</f>
        <v>71.06545313410858</v>
      </c>
      <c r="AA44" s="267">
        <f>$D44*Y44</f>
        <v>0</v>
      </c>
      <c r="AB44" s="273">
        <f>SUM(AC44:AC47)</f>
        <v>89.035106297692195</v>
      </c>
      <c r="AC44" s="4">
        <f t="shared" ref="AC44:AD47" si="137">$F44*AC$43</f>
        <v>36.010411910557849</v>
      </c>
      <c r="AD44" s="4">
        <f t="shared" si="137"/>
        <v>26.511521128507255</v>
      </c>
      <c r="AE44" s="4">
        <f>$C44*AC44</f>
        <v>64.818741439004128</v>
      </c>
      <c r="AF44" s="267">
        <f>$D44*AD44</f>
        <v>40.562627326616102</v>
      </c>
      <c r="AG44" s="273">
        <f>SUM(AH44:AH47)</f>
        <v>25.13993823943224</v>
      </c>
      <c r="AH44" s="4">
        <f t="shared" ref="AH44:AI47" si="138">$F44*AH$43</f>
        <v>10.167894093157328</v>
      </c>
      <c r="AI44" s="4">
        <f t="shared" si="138"/>
        <v>25.686615157688237</v>
      </c>
      <c r="AJ44" s="4">
        <f>$C44*AH44</f>
        <v>18.30220936768319</v>
      </c>
      <c r="AK44" s="267">
        <f>$D44*AI44</f>
        <v>39.300521191263002</v>
      </c>
      <c r="AL44" s="273">
        <f>SUM(AM44:AM47)</f>
        <v>8.7953772940473467</v>
      </c>
      <c r="AM44" s="4">
        <f t="shared" ref="AM44:AN47" si="139">$F44*AM$43</f>
        <v>3.5573064652546185</v>
      </c>
      <c r="AN44" s="4">
        <f t="shared" si="139"/>
        <v>21.633117014104158</v>
      </c>
      <c r="AO44" s="4">
        <f>$C44*AM44</f>
        <v>6.4031516374583131</v>
      </c>
      <c r="AP44" s="267">
        <f>$D44*AN44</f>
        <v>33.098669031579362</v>
      </c>
      <c r="AQ44" s="273">
        <f>SUM(AR44:AR47)</f>
        <v>0</v>
      </c>
      <c r="AR44" s="4">
        <f t="shared" ref="AR44:AS47" si="140">$F44*AR$43</f>
        <v>0</v>
      </c>
      <c r="AS44" s="4">
        <f t="shared" si="140"/>
        <v>11.451513948448017</v>
      </c>
      <c r="AT44" s="4">
        <f>$C44*AR44</f>
        <v>0</v>
      </c>
      <c r="AU44" s="267">
        <f>$D44*AS44</f>
        <v>17.520816341125467</v>
      </c>
    </row>
    <row r="45" spans="1:47" x14ac:dyDescent="0.4">
      <c r="A45" t="s">
        <v>10</v>
      </c>
      <c r="B45">
        <v>2</v>
      </c>
      <c r="C45" s="1">
        <v>2</v>
      </c>
      <c r="D45" s="1">
        <f>C45*0.85</f>
        <v>1.7</v>
      </c>
      <c r="E45" s="4">
        <v>44700</v>
      </c>
      <c r="F45" s="6">
        <f>E45/$A$46</f>
        <v>0.36247161855335713</v>
      </c>
      <c r="H45" s="4">
        <f>F45*H$43</f>
        <v>40.719789049626989</v>
      </c>
      <c r="I45" s="4">
        <f>$F45*I$43</f>
        <v>0</v>
      </c>
      <c r="J45" s="267">
        <f>C45*H45</f>
        <v>81.439578099253978</v>
      </c>
      <c r="K45" s="267">
        <f t="shared" si="133"/>
        <v>0</v>
      </c>
      <c r="L45" s="273"/>
      <c r="M45" s="4">
        <f t="shared" si="134"/>
        <v>39.594213315538937</v>
      </c>
      <c r="N45" s="4">
        <f t="shared" si="134"/>
        <v>0</v>
      </c>
      <c r="O45" s="4">
        <f>$C45*$M45</f>
        <v>79.188426631077874</v>
      </c>
      <c r="P45" s="267">
        <f>$D45*$N45</f>
        <v>0</v>
      </c>
      <c r="Q45" s="6">
        <f>E45/$A$46</f>
        <v>0.36247161855335713</v>
      </c>
      <c r="R45" s="273"/>
      <c r="S45" s="4">
        <f t="shared" si="135"/>
        <v>38.745758328199976</v>
      </c>
      <c r="T45" s="4">
        <f t="shared" si="135"/>
        <v>0</v>
      </c>
      <c r="U45" s="4">
        <f>$C45*S45</f>
        <v>77.491516656399952</v>
      </c>
      <c r="V45" s="267">
        <f>$D45*T45</f>
        <v>0</v>
      </c>
      <c r="W45" s="273"/>
      <c r="X45" s="4">
        <f t="shared" si="136"/>
        <v>35.382883616971675</v>
      </c>
      <c r="Y45" s="4">
        <f t="shared" si="136"/>
        <v>0</v>
      </c>
      <c r="Z45" s="4">
        <f>$C45*X45</f>
        <v>70.76576723394335</v>
      </c>
      <c r="AA45" s="267">
        <f>$D45*Y45</f>
        <v>0</v>
      </c>
      <c r="AB45" s="273"/>
      <c r="AC45" s="4">
        <f t="shared" si="137"/>
        <v>32.272699087794692</v>
      </c>
      <c r="AD45" s="4">
        <f t="shared" si="137"/>
        <v>23.75974887110841</v>
      </c>
      <c r="AE45" s="4">
        <f>$C45*AC45</f>
        <v>64.545398175589384</v>
      </c>
      <c r="AF45" s="267">
        <f>$D45*AD45</f>
        <v>40.391573080884299</v>
      </c>
      <c r="AG45" s="273"/>
      <c r="AH45" s="4">
        <f t="shared" si="138"/>
        <v>9.1125141039784392</v>
      </c>
      <c r="AI45" s="4">
        <f t="shared" si="138"/>
        <v>23.020464293134395</v>
      </c>
      <c r="AJ45" s="4">
        <f>$C45*AH45</f>
        <v>18.225028207956878</v>
      </c>
      <c r="AK45" s="267">
        <f>$D45*AI45</f>
        <v>39.134789298328471</v>
      </c>
      <c r="AL45" s="273"/>
      <c r="AM45" s="4">
        <f t="shared" si="139"/>
        <v>3.1880746435607885</v>
      </c>
      <c r="AN45" s="4">
        <f t="shared" si="139"/>
        <v>19.387700353478674</v>
      </c>
      <c r="AO45" s="4">
        <f>$C45*AM45</f>
        <v>6.376149287121577</v>
      </c>
      <c r="AP45" s="267">
        <f>$D45*AN45</f>
        <v>32.959090600913747</v>
      </c>
      <c r="AQ45" s="273"/>
      <c r="AR45" s="4">
        <f t="shared" si="140"/>
        <v>0</v>
      </c>
      <c r="AS45" s="4">
        <f t="shared" si="140"/>
        <v>10.26290020441539</v>
      </c>
      <c r="AT45" s="4">
        <f>$C45*AR45</f>
        <v>0</v>
      </c>
      <c r="AU45" s="267">
        <f>$D45*AS45</f>
        <v>17.446930347506161</v>
      </c>
    </row>
    <row r="46" spans="1:47" x14ac:dyDescent="0.4">
      <c r="A46" s="5">
        <f>SUM(E44:E47)</f>
        <v>123320</v>
      </c>
      <c r="B46">
        <v>2.5</v>
      </c>
      <c r="C46" s="1">
        <v>2.9</v>
      </c>
      <c r="D46" s="1">
        <f>C46*0.85</f>
        <v>2.4649999999999999</v>
      </c>
      <c r="E46" s="4">
        <v>18322</v>
      </c>
      <c r="F46" s="6">
        <f>E46/$A$46</f>
        <v>0.14857281868310088</v>
      </c>
      <c r="H46" s="4">
        <f>F46*H$43</f>
        <v>16.690558724099901</v>
      </c>
      <c r="I46" s="4">
        <f>$F46*I$43</f>
        <v>0</v>
      </c>
      <c r="J46" s="267">
        <f>C46*H46</f>
        <v>48.402620299889712</v>
      </c>
      <c r="K46" s="267">
        <f t="shared" si="133"/>
        <v>0</v>
      </c>
      <c r="L46" s="273"/>
      <c r="M46" s="4">
        <f t="shared" si="134"/>
        <v>16.229198576449761</v>
      </c>
      <c r="N46" s="4">
        <f t="shared" si="134"/>
        <v>0</v>
      </c>
      <c r="O46" s="4">
        <f>$C46*$M46</f>
        <v>47.064675871704303</v>
      </c>
      <c r="P46" s="267">
        <f>$D46*$N46</f>
        <v>0</v>
      </c>
      <c r="Q46" s="6">
        <f>E46/$A$46</f>
        <v>0.14857281868310088</v>
      </c>
      <c r="R46" s="273"/>
      <c r="S46" s="4">
        <f t="shared" si="135"/>
        <v>15.881426937120356</v>
      </c>
      <c r="T46" s="4">
        <f t="shared" si="135"/>
        <v>0</v>
      </c>
      <c r="U46" s="4">
        <f>$C46*S46</f>
        <v>46.056138117649027</v>
      </c>
      <c r="V46" s="267">
        <f>$D46*T46</f>
        <v>0</v>
      </c>
      <c r="W46" s="273"/>
      <c r="X46" s="4">
        <f t="shared" si="136"/>
        <v>14.503024465998994</v>
      </c>
      <c r="Y46" s="4">
        <f t="shared" si="136"/>
        <v>0</v>
      </c>
      <c r="Z46" s="4">
        <f>$C46*X46</f>
        <v>42.058770951397079</v>
      </c>
      <c r="AA46" s="267">
        <f>$D46*Y46</f>
        <v>0</v>
      </c>
      <c r="AB46" s="273"/>
      <c r="AC46" s="4">
        <f t="shared" si="137"/>
        <v>13.228196704397636</v>
      </c>
      <c r="AD46" s="4">
        <f t="shared" si="137"/>
        <v>9.7388393471241237</v>
      </c>
      <c r="AE46" s="4">
        <f>$C46*AC46</f>
        <v>38.361770442753141</v>
      </c>
      <c r="AF46" s="267">
        <f>$D46*AD46</f>
        <v>24.006238990660965</v>
      </c>
      <c r="AG46" s="273"/>
      <c r="AH46" s="4">
        <f t="shared" si="138"/>
        <v>3.7351114857515197</v>
      </c>
      <c r="AI46" s="4">
        <f t="shared" si="138"/>
        <v>9.4358153641791578</v>
      </c>
      <c r="AJ46" s="4">
        <f>$C46*AH46</f>
        <v>10.831823308679407</v>
      </c>
      <c r="AK46" s="267">
        <f>$D46*AI46</f>
        <v>23.259284872701624</v>
      </c>
      <c r="AL46" s="273"/>
      <c r="AM46" s="4">
        <f t="shared" si="139"/>
        <v>1.3067539959579588</v>
      </c>
      <c r="AN46" s="4">
        <f t="shared" si="139"/>
        <v>7.9467884983542794</v>
      </c>
      <c r="AO46" s="4">
        <f>$C46*AM46</f>
        <v>3.7895865882780804</v>
      </c>
      <c r="AP46" s="267">
        <f>$D46*AN46</f>
        <v>19.588833648443298</v>
      </c>
      <c r="AQ46" s="273"/>
      <c r="AR46" s="4">
        <f t="shared" si="140"/>
        <v>0</v>
      </c>
      <c r="AS46" s="4">
        <f t="shared" si="140"/>
        <v>4.206641108395945</v>
      </c>
      <c r="AT46" s="4">
        <f>$C46*AR46</f>
        <v>0</v>
      </c>
      <c r="AU46" s="267">
        <f>$D46*AS46</f>
        <v>10.369370332196004</v>
      </c>
    </row>
    <row r="47" spans="1:47" x14ac:dyDescent="0.4">
      <c r="A47" s="237">
        <f>A46/$E$75</f>
        <v>8.1528332285470809E-2</v>
      </c>
      <c r="B47">
        <v>3</v>
      </c>
      <c r="C47" s="1">
        <v>2.9</v>
      </c>
      <c r="D47" s="1">
        <f>C47*0.85</f>
        <v>2.4649999999999999</v>
      </c>
      <c r="E47" s="4">
        <v>10421</v>
      </c>
      <c r="F47" s="6">
        <f>E47/$A$46</f>
        <v>8.4503730132987356E-2</v>
      </c>
      <c r="H47" s="4">
        <f>F47*H$43</f>
        <v>9.4930854963347393</v>
      </c>
      <c r="I47" s="4">
        <f>$F47*I$43</f>
        <v>0</v>
      </c>
      <c r="J47" s="267">
        <f>C47*H47</f>
        <v>27.529947939370743</v>
      </c>
      <c r="K47" s="267">
        <f t="shared" si="133"/>
        <v>0</v>
      </c>
      <c r="L47" s="273"/>
      <c r="M47" s="4">
        <f t="shared" si="134"/>
        <v>9.2306777843675896</v>
      </c>
      <c r="N47" s="4">
        <f t="shared" si="134"/>
        <v>0</v>
      </c>
      <c r="O47" s="4">
        <f>$C47*$M47</f>
        <v>26.768965574666009</v>
      </c>
      <c r="P47" s="267">
        <f>$D47*$N47</f>
        <v>0</v>
      </c>
      <c r="Q47" s="6">
        <f>E47/$A$46</f>
        <v>8.4503730132987356E-2</v>
      </c>
      <c r="R47" s="273"/>
      <c r="S47" s="4">
        <f t="shared" si="135"/>
        <v>9.032875783851722</v>
      </c>
      <c r="T47" s="4">
        <f t="shared" si="135"/>
        <v>0</v>
      </c>
      <c r="U47" s="4">
        <f>$C47*S47</f>
        <v>26.195339773169994</v>
      </c>
      <c r="V47" s="267">
        <f>$D47*T47</f>
        <v>0</v>
      </c>
      <c r="W47" s="273"/>
      <c r="X47" s="4">
        <f t="shared" si="136"/>
        <v>8.2488821067664837</v>
      </c>
      <c r="Y47" s="4">
        <f t="shared" si="136"/>
        <v>0</v>
      </c>
      <c r="Z47" s="4">
        <f>$C47*X47</f>
        <v>23.9217581096228</v>
      </c>
      <c r="AA47" s="267">
        <f>$D47*Y47</f>
        <v>0</v>
      </c>
      <c r="AB47" s="273"/>
      <c r="AC47" s="4">
        <f t="shared" si="137"/>
        <v>7.5237985949420239</v>
      </c>
      <c r="AD47" s="4">
        <f t="shared" si="137"/>
        <v>5.5391575612040445</v>
      </c>
      <c r="AE47" s="4">
        <f>$C47*AC47</f>
        <v>21.819015925331868</v>
      </c>
      <c r="AF47" s="267">
        <f>$D47*AD47</f>
        <v>13.654023388367969</v>
      </c>
      <c r="AG47" s="273"/>
      <c r="AH47" s="4">
        <f t="shared" si="138"/>
        <v>2.1244185565449509</v>
      </c>
      <c r="AI47" s="4">
        <f t="shared" si="138"/>
        <v>5.3668066755873278</v>
      </c>
      <c r="AJ47" s="4">
        <f>$C47*AH47</f>
        <v>6.1608138139803579</v>
      </c>
      <c r="AK47" s="267">
        <f>$D47*AI47</f>
        <v>13.229178455322762</v>
      </c>
      <c r="AL47" s="273"/>
      <c r="AM47" s="4">
        <f t="shared" si="139"/>
        <v>0.74324218927398156</v>
      </c>
      <c r="AN47" s="4">
        <f t="shared" si="139"/>
        <v>4.5198931853154649</v>
      </c>
      <c r="AO47" s="4">
        <f>$C47*AM47</f>
        <v>2.1554023488945466</v>
      </c>
      <c r="AP47" s="267">
        <f>$D47*AN47</f>
        <v>11.14153670180262</v>
      </c>
      <c r="AQ47" s="273"/>
      <c r="AR47" s="4">
        <f t="shared" si="140"/>
        <v>0</v>
      </c>
      <c r="AS47" s="4">
        <f t="shared" si="140"/>
        <v>2.3926103586177354</v>
      </c>
      <c r="AT47" s="4">
        <f>$C47*AR47</f>
        <v>0</v>
      </c>
      <c r="AU47" s="267">
        <f>$D47*AS47</f>
        <v>5.8977845339927173</v>
      </c>
    </row>
    <row r="48" spans="1:47" x14ac:dyDescent="0.4">
      <c r="A48" s="237">
        <f>SUM(F44:F47)</f>
        <v>1</v>
      </c>
      <c r="F48" s="6"/>
      <c r="G48" s="4">
        <f>機器台数case1!D35</f>
        <v>230.29545839999997</v>
      </c>
      <c r="H48" s="4">
        <f>G48*(1-G$3)</f>
        <v>230.29545839999997</v>
      </c>
      <c r="I48" s="4">
        <f>G48*$G$3</f>
        <v>0</v>
      </c>
      <c r="J48" s="4">
        <f>SUM(J49:J55)</f>
        <v>828.63556882588466</v>
      </c>
      <c r="K48" s="267">
        <f t="shared" si="133"/>
        <v>0</v>
      </c>
      <c r="L48" s="273">
        <f>機器台数case1!F35</f>
        <v>223.92963515543929</v>
      </c>
      <c r="M48" s="4">
        <f>L48*(1-L$3)</f>
        <v>223.92963515543929</v>
      </c>
      <c r="N48" s="4">
        <f>L48*$G$3</f>
        <v>0</v>
      </c>
      <c r="O48" s="4">
        <f>SUM(O49:O55)</f>
        <v>805.73043816482095</v>
      </c>
      <c r="P48" s="4">
        <f>SUM(P49:P55)</f>
        <v>0</v>
      </c>
      <c r="Q48" s="6"/>
      <c r="R48" s="273">
        <f>機器台数case1!H35</f>
        <v>219.13110022189983</v>
      </c>
      <c r="S48" s="4">
        <f>R48*(1-R$3)</f>
        <v>219.13110022189983</v>
      </c>
      <c r="T48" s="4">
        <f>R48*$G$3</f>
        <v>0</v>
      </c>
      <c r="U48" s="4">
        <f>SUM(U49:U55)</f>
        <v>788.46463209200624</v>
      </c>
      <c r="V48" s="4">
        <f>SUM(V49:V55)</f>
        <v>0</v>
      </c>
      <c r="W48" s="273">
        <f>機器台数case1!J35</f>
        <v>200.1119748472515</v>
      </c>
      <c r="X48" s="4">
        <f>W48*(1-W$3)</f>
        <v>200.1119748472515</v>
      </c>
      <c r="Y48" s="4">
        <f>W48*$G$3</f>
        <v>0</v>
      </c>
      <c r="Z48" s="4">
        <f>SUM(Z49:Z55)</f>
        <v>720.03113417204668</v>
      </c>
      <c r="AA48" s="4">
        <f>SUM(AA49:AA55)</f>
        <v>0</v>
      </c>
      <c r="AB48" s="273"/>
      <c r="AC48" s="4">
        <f>機器台数case1!L35</f>
        <v>182.52196791026901</v>
      </c>
      <c r="AD48" s="4">
        <f>機器台数case1!L45</f>
        <v>134.29605903090933</v>
      </c>
      <c r="AE48" s="4">
        <f>SUM(AE49:AE55)</f>
        <v>656.73980613134688</v>
      </c>
      <c r="AF48" s="4">
        <f>SUM(AF49:AF55)</f>
        <v>410.73375147475053</v>
      </c>
      <c r="AG48" s="273">
        <f>機器台数case1!N35</f>
        <v>51.536873390836085</v>
      </c>
      <c r="AH48" s="4">
        <f>機器台数case1!N35</f>
        <v>51.536873390836085</v>
      </c>
      <c r="AI48" s="4">
        <f>機器台数case1!N45</f>
        <v>130.11743720023134</v>
      </c>
      <c r="AJ48" s="4">
        <f>SUM(AJ49:AJ55)</f>
        <v>185.43694562811692</v>
      </c>
      <c r="AK48" s="4">
        <f>SUM(AK49:AK55)</f>
        <v>397.95377093851118</v>
      </c>
      <c r="AL48" s="273">
        <f>機器台数case1!S35</f>
        <v>0</v>
      </c>
      <c r="AM48" s="4">
        <f>機器台数case1!P35</f>
        <v>18.030523452797063</v>
      </c>
      <c r="AN48" s="4">
        <f>機器台数case1!P45</f>
        <v>109.58414439768822</v>
      </c>
      <c r="AO48" s="4">
        <f>SUM(AO49:AO55)</f>
        <v>64.876368649816811</v>
      </c>
      <c r="AP48" s="4">
        <f>SUM(AP49:AP55)</f>
        <v>335.15433777735683</v>
      </c>
      <c r="AQ48" s="273">
        <f>機器台数case1!X35</f>
        <v>0</v>
      </c>
      <c r="AR48" s="4">
        <f>機器台数case1!R35</f>
        <v>0</v>
      </c>
      <c r="AS48" s="4">
        <f>機器台数case1!R45</f>
        <v>58.396935340996485</v>
      </c>
      <c r="AT48" s="4">
        <f>SUM(AT49:AT55)</f>
        <v>0</v>
      </c>
      <c r="AU48" s="4">
        <f>SUM(AU49:AU55)</f>
        <v>178.60235438268106</v>
      </c>
    </row>
    <row r="49" spans="1:47" x14ac:dyDescent="0.4">
      <c r="A49" t="s">
        <v>6</v>
      </c>
      <c r="B49">
        <v>1.5</v>
      </c>
      <c r="C49" s="1">
        <v>1.8</v>
      </c>
      <c r="D49" s="1">
        <f t="shared" ref="D49:D55" si="141">C49*0.85</f>
        <v>1.53</v>
      </c>
      <c r="E49" s="4">
        <v>13841</v>
      </c>
      <c r="F49" s="6">
        <v>5.4543448362829594E-2</v>
      </c>
      <c r="H49" s="4">
        <f t="shared" ref="H49:H55" si="142">F49*H$48</f>
        <v>12.56110844343457</v>
      </c>
      <c r="I49" s="4">
        <f t="shared" ref="I49:I55" si="143">$F49*I$48</f>
        <v>0</v>
      </c>
      <c r="J49" s="267">
        <f t="shared" ref="J49:J55" si="144">C49*H49</f>
        <v>22.609995198182226</v>
      </c>
      <c r="K49" s="267">
        <f t="shared" si="133"/>
        <v>0</v>
      </c>
      <c r="L49" s="273">
        <f>SUM(M49:M55)</f>
        <v>223.92963515543931</v>
      </c>
      <c r="M49" s="4">
        <f t="shared" ref="M49:N55" si="145">$F49*M$48</f>
        <v>12.213894492007974</v>
      </c>
      <c r="N49" s="4">
        <f t="shared" si="145"/>
        <v>0</v>
      </c>
      <c r="O49" s="4">
        <f t="shared" ref="O49:O55" si="146">$C49*M49</f>
        <v>21.985010085614352</v>
      </c>
      <c r="P49" s="267">
        <f t="shared" ref="P49:P55" si="147">$D49*N49</f>
        <v>0</v>
      </c>
      <c r="Q49" s="6">
        <f t="shared" ref="Q49:Q55" si="148">E49/$A$51</f>
        <v>5.4543448362829594E-2</v>
      </c>
      <c r="R49" s="273">
        <f>SUM(S49:S55)</f>
        <v>219.1311002218998</v>
      </c>
      <c r="S49" s="4">
        <f t="shared" ref="S49:T55" si="149">$F49*S$48</f>
        <v>11.952165849643229</v>
      </c>
      <c r="T49" s="4">
        <f t="shared" si="149"/>
        <v>0</v>
      </c>
      <c r="U49" s="4">
        <f t="shared" ref="U49:U55" si="150">$C49*S49</f>
        <v>21.513898529357814</v>
      </c>
      <c r="V49" s="267">
        <f t="shared" ref="V49:V55" si="151">$D49*T49</f>
        <v>0</v>
      </c>
      <c r="W49" s="273">
        <f>SUM(X49:X55)</f>
        <v>200.1119748472515</v>
      </c>
      <c r="X49" s="4">
        <f t="shared" ref="X49:Y55" si="152">$F49*X$48</f>
        <v>10.914797166864917</v>
      </c>
      <c r="Y49" s="4">
        <f t="shared" si="152"/>
        <v>0</v>
      </c>
      <c r="Z49" s="4">
        <f t="shared" ref="Z49:Z55" si="153">$C49*X49</f>
        <v>19.646634900356851</v>
      </c>
      <c r="AA49" s="267">
        <f t="shared" ref="AA49:AA55" si="154">$D49*Y49</f>
        <v>0</v>
      </c>
      <c r="AB49" s="273">
        <f>SUM(AC49:AC55)</f>
        <v>182.52196791026901</v>
      </c>
      <c r="AC49" s="4">
        <f t="shared" ref="AC49:AD55" si="155">$F49*AC$48</f>
        <v>9.9553775317957989</v>
      </c>
      <c r="AD49" s="4">
        <f t="shared" si="155"/>
        <v>7.3249701610839182</v>
      </c>
      <c r="AE49" s="4">
        <f t="shared" ref="AE49:AE55" si="156">$C49*AC49</f>
        <v>17.919679557232438</v>
      </c>
      <c r="AF49" s="267">
        <f t="shared" ref="AF49:AF55" si="157">$D49*AD49</f>
        <v>11.207204346458395</v>
      </c>
      <c r="AG49" s="273">
        <f>SUM(AH49:AH55)</f>
        <v>51.536873390836078</v>
      </c>
      <c r="AH49" s="4">
        <f t="shared" ref="AH49:AI55" si="158">$F49*AH$48</f>
        <v>2.8109987925747544</v>
      </c>
      <c r="AI49" s="4">
        <f t="shared" si="158"/>
        <v>7.09705371703454</v>
      </c>
      <c r="AJ49" s="4">
        <f t="shared" ref="AJ49:AJ55" si="159">$C49*AH49</f>
        <v>5.0597978266345578</v>
      </c>
      <c r="AK49" s="267">
        <f t="shared" ref="AK49:AK55" si="160">$D49*AI49</f>
        <v>10.858492187062847</v>
      </c>
      <c r="AL49" s="273">
        <f>SUM(AM49:AM55)</f>
        <v>18.030523452797063</v>
      </c>
      <c r="AM49" s="4">
        <f t="shared" ref="AM49:AN55" si="161">$F49*AM$48</f>
        <v>0.98344692490242458</v>
      </c>
      <c r="AN49" s="4">
        <f t="shared" si="161"/>
        <v>5.9770971213401696</v>
      </c>
      <c r="AO49" s="4">
        <f t="shared" ref="AO49:AO55" si="162">$C49*AM49</f>
        <v>1.7702044648243642</v>
      </c>
      <c r="AP49" s="267">
        <f t="shared" ref="AP49:AP55" si="163">$D49*AN49</f>
        <v>9.1449585956504595</v>
      </c>
      <c r="AQ49" s="273">
        <f>SUM(AR49:AR55)</f>
        <v>0</v>
      </c>
      <c r="AR49" s="4">
        <f t="shared" ref="AR49:AS55" si="164">$F49*AR$48</f>
        <v>0</v>
      </c>
      <c r="AS49" s="4">
        <f t="shared" si="164"/>
        <v>3.1851702273191402</v>
      </c>
      <c r="AT49" s="4">
        <f t="shared" ref="AT49:AT55" si="165">$C49*AR49</f>
        <v>0</v>
      </c>
      <c r="AU49" s="267">
        <f t="shared" ref="AU49:AU55" si="166">$D49*AS49</f>
        <v>4.8733104477982847</v>
      </c>
    </row>
    <row r="50" spans="1:47" x14ac:dyDescent="0.4">
      <c r="A50" t="s">
        <v>11</v>
      </c>
      <c r="B50">
        <v>2</v>
      </c>
      <c r="C50" s="1">
        <v>2</v>
      </c>
      <c r="D50" s="1">
        <f t="shared" si="141"/>
        <v>1.7</v>
      </c>
      <c r="E50" s="4">
        <v>43671</v>
      </c>
      <c r="F50" s="6">
        <v>0.17209500277820469</v>
      </c>
      <c r="H50" s="4">
        <f t="shared" si="142"/>
        <v>39.632697553155921</v>
      </c>
      <c r="I50" s="4">
        <f t="shared" si="143"/>
        <v>0</v>
      </c>
      <c r="J50" s="267">
        <f t="shared" si="144"/>
        <v>79.265395106311843</v>
      </c>
      <c r="K50" s="267">
        <f t="shared" si="133"/>
        <v>0</v>
      </c>
      <c r="L50" s="273"/>
      <c r="M50" s="4">
        <f t="shared" si="145"/>
        <v>38.537171184197689</v>
      </c>
      <c r="N50" s="4">
        <f t="shared" si="145"/>
        <v>0</v>
      </c>
      <c r="O50" s="4">
        <f t="shared" si="146"/>
        <v>77.074342368395378</v>
      </c>
      <c r="P50" s="267">
        <f t="shared" si="147"/>
        <v>0</v>
      </c>
      <c r="Q50" s="6">
        <f t="shared" si="148"/>
        <v>0.17209500277820469</v>
      </c>
      <c r="R50" s="273"/>
      <c r="S50" s="4">
        <f t="shared" si="149"/>
        <v>37.711367301478901</v>
      </c>
      <c r="T50" s="4">
        <f t="shared" si="149"/>
        <v>0</v>
      </c>
      <c r="U50" s="4">
        <f t="shared" si="150"/>
        <v>75.422734602957803</v>
      </c>
      <c r="V50" s="267">
        <f t="shared" si="151"/>
        <v>0</v>
      </c>
      <c r="W50" s="273"/>
      <c r="X50" s="4">
        <f t="shared" si="152"/>
        <v>34.438270867289773</v>
      </c>
      <c r="Y50" s="4">
        <f t="shared" si="152"/>
        <v>0</v>
      </c>
      <c r="Z50" s="4">
        <f t="shared" si="153"/>
        <v>68.876541734579547</v>
      </c>
      <c r="AA50" s="267">
        <f t="shared" si="154"/>
        <v>0</v>
      </c>
      <c r="AB50" s="273"/>
      <c r="AC50" s="4">
        <f t="shared" si="155"/>
        <v>31.411118574601133</v>
      </c>
      <c r="AD50" s="4">
        <f t="shared" si="155"/>
        <v>23.111680652026283</v>
      </c>
      <c r="AE50" s="4">
        <f t="shared" si="156"/>
        <v>62.822237149202266</v>
      </c>
      <c r="AF50" s="267">
        <f t="shared" si="157"/>
        <v>39.289857108444679</v>
      </c>
      <c r="AG50" s="273"/>
      <c r="AH50" s="4">
        <f t="shared" si="158"/>
        <v>8.8692383693759194</v>
      </c>
      <c r="AI50" s="4">
        <f t="shared" si="158"/>
        <v>22.392560716466686</v>
      </c>
      <c r="AJ50" s="4">
        <f t="shared" si="159"/>
        <v>17.738476738751839</v>
      </c>
      <c r="AK50" s="267">
        <f t="shared" si="160"/>
        <v>38.067353217993364</v>
      </c>
      <c r="AL50" s="273"/>
      <c r="AM50" s="4">
        <f t="shared" si="161"/>
        <v>3.1029629837015955</v>
      </c>
      <c r="AN50" s="4">
        <f t="shared" si="161"/>
        <v>18.858883634567338</v>
      </c>
      <c r="AO50" s="4">
        <f t="shared" si="162"/>
        <v>6.205925967403191</v>
      </c>
      <c r="AP50" s="267">
        <f t="shared" si="163"/>
        <v>32.060102178764474</v>
      </c>
      <c r="AQ50" s="273"/>
      <c r="AR50" s="4">
        <f t="shared" si="164"/>
        <v>0</v>
      </c>
      <c r="AS50" s="4">
        <f t="shared" si="164"/>
        <v>10.049820749747431</v>
      </c>
      <c r="AT50" s="4">
        <f t="shared" si="165"/>
        <v>0</v>
      </c>
      <c r="AU50" s="267">
        <f t="shared" si="166"/>
        <v>17.084695274570631</v>
      </c>
    </row>
    <row r="51" spans="1:47" x14ac:dyDescent="0.4">
      <c r="A51" s="5">
        <f>SUM(E49:E55)</f>
        <v>253761</v>
      </c>
      <c r="B51">
        <v>2.5</v>
      </c>
      <c r="C51" s="1">
        <v>2.9</v>
      </c>
      <c r="D51" s="1">
        <f t="shared" si="141"/>
        <v>2.4649999999999999</v>
      </c>
      <c r="E51" s="4">
        <v>45259</v>
      </c>
      <c r="F51" s="6">
        <v>0.1783528595804714</v>
      </c>
      <c r="H51" s="4">
        <f t="shared" si="142"/>
        <v>41.073853554035487</v>
      </c>
      <c r="I51" s="4">
        <f t="shared" si="143"/>
        <v>0</v>
      </c>
      <c r="J51" s="267">
        <f t="shared" si="144"/>
        <v>119.1141753067029</v>
      </c>
      <c r="K51" s="267">
        <f t="shared" si="133"/>
        <v>0</v>
      </c>
      <c r="L51" s="273"/>
      <c r="M51" s="4">
        <f t="shared" si="145"/>
        <v>39.938490774784256</v>
      </c>
      <c r="N51" s="4">
        <f t="shared" si="145"/>
        <v>0</v>
      </c>
      <c r="O51" s="4">
        <f t="shared" si="146"/>
        <v>115.82162324687434</v>
      </c>
      <c r="P51" s="267">
        <f t="shared" si="147"/>
        <v>0</v>
      </c>
      <c r="Q51" s="6">
        <f t="shared" si="148"/>
        <v>0.1783528595804714</v>
      </c>
      <c r="R51" s="273"/>
      <c r="S51" s="4">
        <f t="shared" si="149"/>
        <v>39.082658347590701</v>
      </c>
      <c r="T51" s="4">
        <f t="shared" si="149"/>
        <v>0</v>
      </c>
      <c r="U51" s="4">
        <f t="shared" si="150"/>
        <v>113.33970920801303</v>
      </c>
      <c r="V51" s="267">
        <f t="shared" si="151"/>
        <v>0</v>
      </c>
      <c r="W51" s="273"/>
      <c r="X51" s="4">
        <f t="shared" si="152"/>
        <v>35.690542950302671</v>
      </c>
      <c r="Y51" s="4">
        <f t="shared" si="152"/>
        <v>0</v>
      </c>
      <c r="Z51" s="4">
        <f t="shared" si="153"/>
        <v>103.50257455587774</v>
      </c>
      <c r="AA51" s="267">
        <f t="shared" si="154"/>
        <v>0</v>
      </c>
      <c r="AB51" s="273"/>
      <c r="AC51" s="4">
        <f t="shared" si="155"/>
        <v>32.553314913051516</v>
      </c>
      <c r="AD51" s="4">
        <f t="shared" si="155"/>
        <v>23.952086158550468</v>
      </c>
      <c r="AE51" s="4">
        <f t="shared" si="156"/>
        <v>94.404613247849397</v>
      </c>
      <c r="AF51" s="267">
        <f t="shared" si="157"/>
        <v>59.041892380826901</v>
      </c>
      <c r="AG51" s="273"/>
      <c r="AH51" s="4">
        <f t="shared" si="158"/>
        <v>9.1917487430923206</v>
      </c>
      <c r="AI51" s="4">
        <f t="shared" si="158"/>
        <v>23.206817005943666</v>
      </c>
      <c r="AJ51" s="4">
        <f t="shared" si="159"/>
        <v>26.656071354967729</v>
      </c>
      <c r="AK51" s="267">
        <f t="shared" si="160"/>
        <v>57.204803919651134</v>
      </c>
      <c r="AL51" s="273"/>
      <c r="AM51" s="4">
        <f t="shared" si="161"/>
        <v>3.2157954175391108</v>
      </c>
      <c r="AN51" s="4">
        <f t="shared" si="161"/>
        <v>19.544645518006988</v>
      </c>
      <c r="AO51" s="4">
        <f t="shared" si="162"/>
        <v>9.3258067108634215</v>
      </c>
      <c r="AP51" s="267">
        <f t="shared" si="163"/>
        <v>48.177551201887219</v>
      </c>
      <c r="AQ51" s="273"/>
      <c r="AR51" s="4">
        <f t="shared" si="164"/>
        <v>0</v>
      </c>
      <c r="AS51" s="4">
        <f t="shared" si="164"/>
        <v>10.415260408802613</v>
      </c>
      <c r="AT51" s="4">
        <f t="shared" si="165"/>
        <v>0</v>
      </c>
      <c r="AU51" s="267">
        <f t="shared" si="166"/>
        <v>25.673616907698438</v>
      </c>
    </row>
    <row r="52" spans="1:47" x14ac:dyDescent="0.4">
      <c r="A52" s="237">
        <f>A51/$E$75</f>
        <v>0.16776444314866493</v>
      </c>
      <c r="B52">
        <v>3</v>
      </c>
      <c r="C52" s="1">
        <v>2.9</v>
      </c>
      <c r="D52" s="1">
        <f t="shared" si="141"/>
        <v>2.4649999999999999</v>
      </c>
      <c r="E52" s="4">
        <v>54168</v>
      </c>
      <c r="F52" s="6">
        <v>0.21346069727026612</v>
      </c>
      <c r="H52" s="4">
        <f t="shared" si="142"/>
        <v>49.15902912823956</v>
      </c>
      <c r="I52" s="4">
        <f t="shared" si="143"/>
        <v>0</v>
      </c>
      <c r="J52" s="267">
        <f t="shared" si="144"/>
        <v>142.56118447189471</v>
      </c>
      <c r="K52" s="267">
        <f t="shared" si="133"/>
        <v>0</v>
      </c>
      <c r="L52" s="273"/>
      <c r="M52" s="4">
        <f t="shared" si="145"/>
        <v>47.800176059756367</v>
      </c>
      <c r="N52" s="4">
        <f t="shared" si="145"/>
        <v>0</v>
      </c>
      <c r="O52" s="4">
        <f t="shared" si="146"/>
        <v>138.62051057329347</v>
      </c>
      <c r="P52" s="267">
        <f t="shared" si="147"/>
        <v>0</v>
      </c>
      <c r="Q52" s="6">
        <f t="shared" si="148"/>
        <v>0.21346069727026612</v>
      </c>
      <c r="R52" s="273"/>
      <c r="S52" s="4">
        <f t="shared" si="149"/>
        <v>46.775877446967307</v>
      </c>
      <c r="T52" s="4">
        <f t="shared" si="149"/>
        <v>0</v>
      </c>
      <c r="U52" s="4">
        <f t="shared" si="150"/>
        <v>135.65004459620519</v>
      </c>
      <c r="V52" s="267">
        <f t="shared" si="151"/>
        <v>0</v>
      </c>
      <c r="W52" s="273"/>
      <c r="X52" s="4">
        <f t="shared" si="152"/>
        <v>42.716041683024258</v>
      </c>
      <c r="Y52" s="4">
        <f t="shared" si="152"/>
        <v>0</v>
      </c>
      <c r="Z52" s="4">
        <f t="shared" si="153"/>
        <v>123.87652088077034</v>
      </c>
      <c r="AA52" s="267">
        <f t="shared" si="154"/>
        <v>0</v>
      </c>
      <c r="AB52" s="273"/>
      <c r="AC52" s="4">
        <f t="shared" si="155"/>
        <v>38.961266537267164</v>
      </c>
      <c r="AD52" s="4">
        <f t="shared" si="155"/>
        <v>28.666930401386725</v>
      </c>
      <c r="AE52" s="4">
        <f t="shared" si="156"/>
        <v>112.98767295807477</v>
      </c>
      <c r="AF52" s="267">
        <f t="shared" si="157"/>
        <v>70.663983439418274</v>
      </c>
      <c r="AG52" s="273"/>
      <c r="AH52" s="4">
        <f t="shared" si="158"/>
        <v>11.001096929137296</v>
      </c>
      <c r="AI52" s="4">
        <f t="shared" si="158"/>
        <v>27.774958871781443</v>
      </c>
      <c r="AJ52" s="4">
        <f t="shared" si="159"/>
        <v>31.903181094498155</v>
      </c>
      <c r="AK52" s="267">
        <f t="shared" si="160"/>
        <v>68.465273618941254</v>
      </c>
      <c r="AL52" s="273"/>
      <c r="AM52" s="4">
        <f t="shared" si="161"/>
        <v>3.848808108381947</v>
      </c>
      <c r="AN52" s="4">
        <f t="shared" si="161"/>
        <v>23.391907872896056</v>
      </c>
      <c r="AO52" s="4">
        <f t="shared" si="162"/>
        <v>11.161543514307645</v>
      </c>
      <c r="AP52" s="267">
        <f t="shared" si="163"/>
        <v>57.661052906688774</v>
      </c>
      <c r="AQ52" s="273"/>
      <c r="AR52" s="4">
        <f t="shared" si="164"/>
        <v>0</v>
      </c>
      <c r="AS52" s="4">
        <f t="shared" si="164"/>
        <v>12.465450536335755</v>
      </c>
      <c r="AT52" s="4">
        <f t="shared" si="165"/>
        <v>0</v>
      </c>
      <c r="AU52" s="267">
        <f t="shared" si="166"/>
        <v>30.727335572067634</v>
      </c>
    </row>
    <row r="53" spans="1:47" x14ac:dyDescent="0.4">
      <c r="B53">
        <v>3.5</v>
      </c>
      <c r="C53" s="1">
        <v>5</v>
      </c>
      <c r="D53" s="1">
        <f t="shared" si="141"/>
        <v>4.25</v>
      </c>
      <c r="E53" s="4">
        <v>32408</v>
      </c>
      <c r="F53" s="6">
        <v>0.12771071992938238</v>
      </c>
      <c r="H53" s="4">
        <f t="shared" si="142"/>
        <v>29.411198788731127</v>
      </c>
      <c r="I53" s="4">
        <f t="shared" si="143"/>
        <v>0</v>
      </c>
      <c r="J53" s="267">
        <f t="shared" si="144"/>
        <v>147.05599394365564</v>
      </c>
      <c r="K53" s="267">
        <f t="shared" si="133"/>
        <v>0</v>
      </c>
      <c r="L53" s="273"/>
      <c r="M53" s="4">
        <f t="shared" si="145"/>
        <v>28.598214919225086</v>
      </c>
      <c r="N53" s="4">
        <f t="shared" si="145"/>
        <v>0</v>
      </c>
      <c r="O53" s="4">
        <f t="shared" si="146"/>
        <v>142.99107459612543</v>
      </c>
      <c r="P53" s="267">
        <f t="shared" si="147"/>
        <v>0</v>
      </c>
      <c r="Q53" s="6">
        <f t="shared" si="148"/>
        <v>0.12771071992938238</v>
      </c>
      <c r="R53" s="273"/>
      <c r="S53" s="4">
        <f t="shared" si="149"/>
        <v>27.98539056825647</v>
      </c>
      <c r="T53" s="4">
        <f t="shared" si="149"/>
        <v>0</v>
      </c>
      <c r="U53" s="4">
        <f t="shared" si="150"/>
        <v>139.92695284128234</v>
      </c>
      <c r="V53" s="267">
        <f t="shared" si="151"/>
        <v>0</v>
      </c>
      <c r="W53" s="273"/>
      <c r="X53" s="4">
        <f t="shared" si="152"/>
        <v>25.556444374232946</v>
      </c>
      <c r="Y53" s="4">
        <f t="shared" si="152"/>
        <v>0</v>
      </c>
      <c r="Z53" s="4">
        <f t="shared" si="153"/>
        <v>127.78222187116472</v>
      </c>
      <c r="AA53" s="267">
        <f t="shared" si="154"/>
        <v>0</v>
      </c>
      <c r="AB53" s="273"/>
      <c r="AC53" s="4">
        <f t="shared" si="155"/>
        <v>23.310011924748082</v>
      </c>
      <c r="AD53" s="4">
        <f t="shared" si="155"/>
        <v>17.151046382516263</v>
      </c>
      <c r="AE53" s="4">
        <f t="shared" si="156"/>
        <v>116.55005962374041</v>
      </c>
      <c r="AF53" s="267">
        <f t="shared" si="157"/>
        <v>72.891947125694116</v>
      </c>
      <c r="AG53" s="273"/>
      <c r="AH53" s="4">
        <f t="shared" si="158"/>
        <v>6.581811203653106</v>
      </c>
      <c r="AI53" s="4">
        <f t="shared" si="158"/>
        <v>16.617391580207745</v>
      </c>
      <c r="AJ53" s="4">
        <f t="shared" si="159"/>
        <v>32.909056018265531</v>
      </c>
      <c r="AK53" s="267">
        <f t="shared" si="160"/>
        <v>70.62391421588292</v>
      </c>
      <c r="AL53" s="273"/>
      <c r="AM53" s="4">
        <f t="shared" si="161"/>
        <v>2.302691130860326</v>
      </c>
      <c r="AN53" s="4">
        <f t="shared" si="161"/>
        <v>13.995069973874157</v>
      </c>
      <c r="AO53" s="4">
        <f t="shared" si="162"/>
        <v>11.51345565430163</v>
      </c>
      <c r="AP53" s="267">
        <f t="shared" si="163"/>
        <v>59.479047388965171</v>
      </c>
      <c r="AQ53" s="273"/>
      <c r="AR53" s="4">
        <f t="shared" si="164"/>
        <v>0</v>
      </c>
      <c r="AS53" s="4">
        <f t="shared" si="164"/>
        <v>7.4579146540682535</v>
      </c>
      <c r="AT53" s="4">
        <f t="shared" si="165"/>
        <v>0</v>
      </c>
      <c r="AU53" s="267">
        <f t="shared" si="166"/>
        <v>31.696137279790076</v>
      </c>
    </row>
    <row r="54" spans="1:47" x14ac:dyDescent="0.4">
      <c r="B54">
        <v>4</v>
      </c>
      <c r="C54" s="1">
        <v>5.0999999999999996</v>
      </c>
      <c r="D54" s="1">
        <f t="shared" si="141"/>
        <v>4.335</v>
      </c>
      <c r="E54" s="4">
        <v>37011</v>
      </c>
      <c r="F54" s="6">
        <v>0.14584983508104082</v>
      </c>
      <c r="H54" s="4">
        <f t="shared" si="142"/>
        <v>33.588554627552696</v>
      </c>
      <c r="I54" s="4">
        <f t="shared" si="143"/>
        <v>0</v>
      </c>
      <c r="J54" s="267">
        <f t="shared" si="144"/>
        <v>171.30162860051874</v>
      </c>
      <c r="K54" s="267">
        <f t="shared" si="133"/>
        <v>0</v>
      </c>
      <c r="L54" s="273"/>
      <c r="M54" s="4">
        <f t="shared" si="145"/>
        <v>32.660100357178464</v>
      </c>
      <c r="N54" s="4">
        <f t="shared" si="145"/>
        <v>0</v>
      </c>
      <c r="O54" s="4">
        <f t="shared" si="146"/>
        <v>166.56651182161016</v>
      </c>
      <c r="P54" s="267">
        <f t="shared" si="147"/>
        <v>0</v>
      </c>
      <c r="Q54" s="6">
        <f t="shared" si="148"/>
        <v>0.14584983508104082</v>
      </c>
      <c r="R54" s="273"/>
      <c r="S54" s="4">
        <f t="shared" si="149"/>
        <v>31.960234828491117</v>
      </c>
      <c r="T54" s="4">
        <f t="shared" si="149"/>
        <v>0</v>
      </c>
      <c r="U54" s="4">
        <f t="shared" si="150"/>
        <v>162.99719762530469</v>
      </c>
      <c r="V54" s="267">
        <f t="shared" si="151"/>
        <v>0</v>
      </c>
      <c r="W54" s="273"/>
      <c r="X54" s="4">
        <f t="shared" si="152"/>
        <v>29.186298529213023</v>
      </c>
      <c r="Y54" s="4">
        <f t="shared" si="152"/>
        <v>0</v>
      </c>
      <c r="Z54" s="4">
        <f t="shared" si="153"/>
        <v>148.85012249898639</v>
      </c>
      <c r="AA54" s="267">
        <f t="shared" si="154"/>
        <v>0</v>
      </c>
      <c r="AB54" s="273"/>
      <c r="AC54" s="4">
        <f t="shared" si="155"/>
        <v>26.620798918379762</v>
      </c>
      <c r="AD54" s="4">
        <f t="shared" si="155"/>
        <v>19.587058061691849</v>
      </c>
      <c r="AE54" s="4">
        <f t="shared" si="156"/>
        <v>135.76607448373679</v>
      </c>
      <c r="AF54" s="267">
        <f t="shared" si="157"/>
        <v>84.909896697434164</v>
      </c>
      <c r="AG54" s="273"/>
      <c r="AH54" s="4">
        <f t="shared" si="158"/>
        <v>7.5166444846459246</v>
      </c>
      <c r="AI54" s="4">
        <f t="shared" si="158"/>
        <v>18.977606756821427</v>
      </c>
      <c r="AJ54" s="4">
        <f t="shared" si="159"/>
        <v>38.334886871694209</v>
      </c>
      <c r="AK54" s="267">
        <f t="shared" si="160"/>
        <v>82.267925290820884</v>
      </c>
      <c r="AL54" s="273"/>
      <c r="AM54" s="4">
        <f t="shared" si="161"/>
        <v>2.6297488720152904</v>
      </c>
      <c r="AN54" s="4">
        <f t="shared" si="161"/>
        <v>15.982829387899791</v>
      </c>
      <c r="AO54" s="4">
        <f t="shared" si="162"/>
        <v>13.411719247277981</v>
      </c>
      <c r="AP54" s="267">
        <f t="shared" si="163"/>
        <v>69.285565396545593</v>
      </c>
      <c r="AQ54" s="273"/>
      <c r="AR54" s="4">
        <f t="shared" si="164"/>
        <v>0</v>
      </c>
      <c r="AS54" s="4">
        <f t="shared" si="164"/>
        <v>8.5171833887225414</v>
      </c>
      <c r="AT54" s="4">
        <f t="shared" si="165"/>
        <v>0</v>
      </c>
      <c r="AU54" s="267">
        <f t="shared" si="166"/>
        <v>36.921989990112216</v>
      </c>
    </row>
    <row r="55" spans="1:47" x14ac:dyDescent="0.4">
      <c r="B55">
        <v>5</v>
      </c>
      <c r="C55" s="1">
        <v>5.9</v>
      </c>
      <c r="D55" s="1">
        <f t="shared" si="141"/>
        <v>5.0150000000000006</v>
      </c>
      <c r="E55" s="4">
        <v>27403</v>
      </c>
      <c r="F55" s="6">
        <v>0.10798743699780503</v>
      </c>
      <c r="H55" s="4">
        <f t="shared" si="142"/>
        <v>24.869016304850625</v>
      </c>
      <c r="I55" s="4">
        <f t="shared" si="143"/>
        <v>0</v>
      </c>
      <c r="J55" s="267">
        <f t="shared" si="144"/>
        <v>146.72719619861869</v>
      </c>
      <c r="K55" s="267">
        <f t="shared" si="133"/>
        <v>0</v>
      </c>
      <c r="L55" s="273"/>
      <c r="M55" s="4">
        <f t="shared" si="145"/>
        <v>24.181587368289467</v>
      </c>
      <c r="N55" s="4">
        <f t="shared" si="145"/>
        <v>0</v>
      </c>
      <c r="O55" s="4">
        <f t="shared" si="146"/>
        <v>142.67136547290787</v>
      </c>
      <c r="P55" s="267">
        <f t="shared" si="147"/>
        <v>0</v>
      </c>
      <c r="Q55" s="6">
        <f t="shared" si="148"/>
        <v>0.10798743699780503</v>
      </c>
      <c r="R55" s="273"/>
      <c r="S55" s="4">
        <f t="shared" si="149"/>
        <v>23.663405879472105</v>
      </c>
      <c r="T55" s="4">
        <f t="shared" si="149"/>
        <v>0</v>
      </c>
      <c r="U55" s="4">
        <f t="shared" si="150"/>
        <v>139.61409468888542</v>
      </c>
      <c r="V55" s="267">
        <f t="shared" si="151"/>
        <v>0</v>
      </c>
      <c r="W55" s="273"/>
      <c r="X55" s="4">
        <f t="shared" si="152"/>
        <v>21.609579276323917</v>
      </c>
      <c r="Y55" s="4">
        <f t="shared" si="152"/>
        <v>0</v>
      </c>
      <c r="Z55" s="4">
        <f t="shared" si="153"/>
        <v>127.49651773031111</v>
      </c>
      <c r="AA55" s="267">
        <f t="shared" si="154"/>
        <v>0</v>
      </c>
      <c r="AB55" s="273"/>
      <c r="AC55" s="4">
        <f t="shared" si="155"/>
        <v>19.710079510425565</v>
      </c>
      <c r="AD55" s="4">
        <f t="shared" si="155"/>
        <v>14.502287213653826</v>
      </c>
      <c r="AE55" s="4">
        <f t="shared" si="156"/>
        <v>116.28946911151084</v>
      </c>
      <c r="AF55" s="267">
        <f t="shared" si="157"/>
        <v>72.728970376473953</v>
      </c>
      <c r="AG55" s="273"/>
      <c r="AH55" s="4">
        <f t="shared" si="158"/>
        <v>5.5653348683567661</v>
      </c>
      <c r="AI55" s="4">
        <f t="shared" si="158"/>
        <v>14.051048551975834</v>
      </c>
      <c r="AJ55" s="4">
        <f t="shared" si="159"/>
        <v>32.835475723304924</v>
      </c>
      <c r="AK55" s="267">
        <f t="shared" si="160"/>
        <v>70.46600848815882</v>
      </c>
      <c r="AL55" s="273"/>
      <c r="AM55" s="4">
        <f t="shared" si="161"/>
        <v>1.9470700153963687</v>
      </c>
      <c r="AN55" s="4">
        <f t="shared" si="161"/>
        <v>11.833710889103726</v>
      </c>
      <c r="AO55" s="4">
        <f t="shared" si="162"/>
        <v>11.487713090838575</v>
      </c>
      <c r="AP55" s="267">
        <f t="shared" si="163"/>
        <v>59.346060108855191</v>
      </c>
      <c r="AQ55" s="273"/>
      <c r="AR55" s="4">
        <f t="shared" si="164"/>
        <v>0</v>
      </c>
      <c r="AS55" s="4">
        <f t="shared" si="164"/>
        <v>6.3061353760007517</v>
      </c>
      <c r="AT55" s="4">
        <f t="shared" si="165"/>
        <v>0</v>
      </c>
      <c r="AU55" s="267">
        <f t="shared" si="166"/>
        <v>31.625268910643772</v>
      </c>
    </row>
    <row r="56" spans="1:47" s="274" customFormat="1" x14ac:dyDescent="0.4">
      <c r="C56" s="275"/>
      <c r="D56" s="275"/>
      <c r="E56" s="276"/>
      <c r="F56" s="277"/>
      <c r="G56" s="276">
        <f>機器台数case1!D20</f>
        <v>25</v>
      </c>
      <c r="H56" s="276">
        <f>G56*(1-G$3)</f>
        <v>25</v>
      </c>
      <c r="I56" s="276">
        <f>G56*G$3</f>
        <v>0</v>
      </c>
      <c r="J56" s="276">
        <f>SUM(J57:J63)</f>
        <v>67.199999999999989</v>
      </c>
      <c r="K56" s="278">
        <f t="shared" si="133"/>
        <v>0</v>
      </c>
      <c r="L56" s="279">
        <f>機器台数case1!F20</f>
        <v>72</v>
      </c>
      <c r="M56" s="276">
        <f>L56*(1-L$3)</f>
        <v>72</v>
      </c>
      <c r="N56" s="276">
        <f>L56*L$3</f>
        <v>0</v>
      </c>
      <c r="O56" s="276">
        <f>SUM(O57:O63)</f>
        <v>193.536</v>
      </c>
      <c r="P56" s="276">
        <f>SUM(P57:P63)</f>
        <v>0</v>
      </c>
      <c r="Q56" s="277"/>
      <c r="R56" s="279">
        <f>機器台数case1!H20</f>
        <v>135</v>
      </c>
      <c r="S56" s="276">
        <f>R56*(1-R$3)</f>
        <v>135</v>
      </c>
      <c r="T56" s="276">
        <f>R56*R$3</f>
        <v>0</v>
      </c>
      <c r="U56" s="276">
        <f>SUM(U57:U63)</f>
        <v>362.88</v>
      </c>
      <c r="V56" s="276">
        <f>SUM(V57:V63)</f>
        <v>0</v>
      </c>
      <c r="W56" s="279">
        <f>機器台数case1!J20</f>
        <v>215</v>
      </c>
      <c r="X56" s="276">
        <f>W56*(1-W$3)</f>
        <v>215</v>
      </c>
      <c r="Y56" s="276">
        <f>W56*W$3</f>
        <v>0</v>
      </c>
      <c r="Z56" s="276">
        <f>SUM(Z57:Z63)</f>
        <v>577.91999999999996</v>
      </c>
      <c r="AA56" s="276">
        <f>SUM(AA57:AA63)</f>
        <v>0</v>
      </c>
      <c r="AB56" s="279">
        <f>機器台数case1!L20</f>
        <v>280</v>
      </c>
      <c r="AC56" s="276">
        <f>機器台数case1!L21</f>
        <v>100</v>
      </c>
      <c r="AD56" s="276">
        <f>機器台数case1!L22</f>
        <v>180</v>
      </c>
      <c r="AE56" s="276">
        <f>SUM(AE57:AE63)</f>
        <v>268.79999999999995</v>
      </c>
      <c r="AF56" s="276">
        <f>SUM(AF57:AF63)</f>
        <v>411.26400000000001</v>
      </c>
      <c r="AG56" s="279">
        <f>機器台数case1!N20</f>
        <v>380</v>
      </c>
      <c r="AH56" s="276">
        <f>機器台数case1!N21</f>
        <v>0</v>
      </c>
      <c r="AI56" s="276">
        <f>機器台数case1!N22</f>
        <v>380</v>
      </c>
      <c r="AJ56" s="276">
        <f>SUM(AJ57:AJ63)</f>
        <v>0</v>
      </c>
      <c r="AK56" s="276">
        <f>SUM(AK57:AK63)</f>
        <v>868.22400000000005</v>
      </c>
      <c r="AL56" s="279">
        <f>機器台数case1!S20</f>
        <v>0.3</v>
      </c>
      <c r="AM56" s="276">
        <f>機器台数case1!P21</f>
        <v>0</v>
      </c>
      <c r="AN56" s="276">
        <f>機器台数case1!P22</f>
        <v>525</v>
      </c>
      <c r="AO56" s="276">
        <f>SUM(AO57:AO63)</f>
        <v>0</v>
      </c>
      <c r="AP56" s="276">
        <f>SUM(AP57:AP63)</f>
        <v>1199.52</v>
      </c>
      <c r="AQ56" s="279">
        <f>機器台数case1!X20</f>
        <v>0</v>
      </c>
      <c r="AR56" s="276">
        <f>機器台数case1!R21</f>
        <v>0</v>
      </c>
      <c r="AS56" s="276">
        <f>機器台数case1!R22</f>
        <v>600</v>
      </c>
      <c r="AT56" s="276">
        <f>SUM(AT57:AT63)</f>
        <v>0</v>
      </c>
      <c r="AU56" s="276">
        <f>SUM(AU57:AU63)</f>
        <v>1370.88</v>
      </c>
    </row>
    <row r="57" spans="1:47" x14ac:dyDescent="0.4">
      <c r="A57" t="s">
        <v>12</v>
      </c>
      <c r="B57">
        <v>1.5</v>
      </c>
      <c r="C57" s="1">
        <v>2.15</v>
      </c>
      <c r="D57" s="1">
        <f t="shared" ref="D57:D63" si="167">C57*0.85</f>
        <v>1.8274999999999999</v>
      </c>
      <c r="E57" s="4">
        <f t="shared" ref="E57:E63" si="168">$A$59*Q57</f>
        <v>9000</v>
      </c>
      <c r="F57" s="6">
        <v>0.03</v>
      </c>
      <c r="H57" s="4">
        <f t="shared" ref="H57:H63" si="169">F57*H$56</f>
        <v>0.75</v>
      </c>
      <c r="I57" s="4">
        <f t="shared" ref="I57:I63" si="170">$F57*I$56</f>
        <v>0</v>
      </c>
      <c r="J57" s="267">
        <f t="shared" ref="J57:J63" si="171">C57*H57</f>
        <v>1.6124999999999998</v>
      </c>
      <c r="K57" s="267">
        <f t="shared" si="133"/>
        <v>0</v>
      </c>
      <c r="L57" s="273">
        <f>SUM(M57:M63)</f>
        <v>72</v>
      </c>
      <c r="M57" s="4">
        <f t="shared" ref="M57:N63" si="172">$F57*M$56</f>
        <v>2.16</v>
      </c>
      <c r="N57" s="4">
        <f t="shared" si="172"/>
        <v>0</v>
      </c>
      <c r="O57" s="4">
        <f t="shared" ref="O57:O63" si="173">$C57*M57</f>
        <v>4.6440000000000001</v>
      </c>
      <c r="P57" s="267">
        <f t="shared" ref="P57:P63" si="174">$D57*N57</f>
        <v>0</v>
      </c>
      <c r="Q57" s="6">
        <v>0.03</v>
      </c>
      <c r="R57" s="273">
        <f>SUM(S57:S63)</f>
        <v>135</v>
      </c>
      <c r="S57" s="4">
        <f t="shared" ref="S57:T63" si="175">$F57*S$56</f>
        <v>4.05</v>
      </c>
      <c r="T57" s="4">
        <f t="shared" si="175"/>
        <v>0</v>
      </c>
      <c r="U57" s="4">
        <f t="shared" ref="U57:U63" si="176">$C57*S57</f>
        <v>8.7074999999999996</v>
      </c>
      <c r="V57" s="267">
        <f t="shared" ref="V57:V63" si="177">$D57*T57</f>
        <v>0</v>
      </c>
      <c r="W57" s="273">
        <f>SUM(X57:X63)</f>
        <v>215.00000000000003</v>
      </c>
      <c r="X57" s="4">
        <f t="shared" ref="X57:Y63" si="178">$F57*X$56</f>
        <v>6.45</v>
      </c>
      <c r="Y57" s="4">
        <f t="shared" si="178"/>
        <v>0</v>
      </c>
      <c r="Z57" s="4">
        <f t="shared" ref="Z57:Z63" si="179">$C57*X57</f>
        <v>13.8675</v>
      </c>
      <c r="AA57" s="267">
        <f t="shared" ref="AA57:AA63" si="180">$D57*Y57</f>
        <v>0</v>
      </c>
      <c r="AB57" s="273">
        <f>SUM(AC57:AC63)</f>
        <v>100</v>
      </c>
      <c r="AC57" s="4">
        <f t="shared" ref="AC57:AD63" si="181">$F57*AC$56</f>
        <v>3</v>
      </c>
      <c r="AD57" s="4">
        <f t="shared" si="181"/>
        <v>5.3999999999999995</v>
      </c>
      <c r="AE57" s="4">
        <f t="shared" ref="AE57:AE63" si="182">$C57*AC57</f>
        <v>6.4499999999999993</v>
      </c>
      <c r="AF57" s="267">
        <f t="shared" ref="AF57:AF63" si="183">$D57*AD57</f>
        <v>9.8684999999999992</v>
      </c>
      <c r="AG57" s="273">
        <f>SUM(AH57:AH63)</f>
        <v>0</v>
      </c>
      <c r="AH57" s="4">
        <f t="shared" ref="AH57:AI63" si="184">$F57*AH$56</f>
        <v>0</v>
      </c>
      <c r="AI57" s="4">
        <f t="shared" si="184"/>
        <v>11.4</v>
      </c>
      <c r="AJ57" s="4">
        <f t="shared" ref="AJ57:AJ63" si="185">$C57*AH57</f>
        <v>0</v>
      </c>
      <c r="AK57" s="267">
        <f t="shared" ref="AK57:AK63" si="186">$D57*AI57</f>
        <v>20.833500000000001</v>
      </c>
      <c r="AL57" s="273">
        <f>SUM(AM57:AM63)</f>
        <v>0</v>
      </c>
      <c r="AM57" s="4">
        <f t="shared" ref="AM57:AN63" si="187">$F57*AM$56</f>
        <v>0</v>
      </c>
      <c r="AN57" s="4">
        <f t="shared" si="187"/>
        <v>15.75</v>
      </c>
      <c r="AO57" s="4">
        <f t="shared" ref="AO57:AO63" si="188">$C57*AM57</f>
        <v>0</v>
      </c>
      <c r="AP57" s="267">
        <f t="shared" ref="AP57:AP63" si="189">$D57*AN57</f>
        <v>28.783124999999998</v>
      </c>
      <c r="AQ57" s="273">
        <f>SUM(AR57:AR63)</f>
        <v>0</v>
      </c>
      <c r="AR57" s="4">
        <f t="shared" ref="AR57:AS63" si="190">$F57*AR$56</f>
        <v>0</v>
      </c>
      <c r="AS57" s="4">
        <f t="shared" si="190"/>
        <v>18</v>
      </c>
      <c r="AT57" s="4">
        <f t="shared" ref="AT57:AT63" si="191">$C57*AR57</f>
        <v>0</v>
      </c>
      <c r="AU57" s="267">
        <f t="shared" ref="AU57:AU63" si="192">$D57*AS57</f>
        <v>32.894999999999996</v>
      </c>
    </row>
    <row r="58" spans="1:47" x14ac:dyDescent="0.4">
      <c r="A58" t="s">
        <v>13</v>
      </c>
      <c r="B58">
        <v>2</v>
      </c>
      <c r="C58" s="1">
        <v>2.15</v>
      </c>
      <c r="D58" s="1">
        <f t="shared" si="167"/>
        <v>1.8274999999999999</v>
      </c>
      <c r="E58" s="4">
        <f t="shared" si="168"/>
        <v>45000</v>
      </c>
      <c r="F58" s="6">
        <v>0.15</v>
      </c>
      <c r="H58" s="4">
        <f t="shared" si="169"/>
        <v>3.75</v>
      </c>
      <c r="I58" s="4">
        <f t="shared" si="170"/>
        <v>0</v>
      </c>
      <c r="J58" s="267">
        <f t="shared" si="171"/>
        <v>8.0625</v>
      </c>
      <c r="K58" s="267">
        <f t="shared" si="133"/>
        <v>0</v>
      </c>
      <c r="L58" s="273"/>
      <c r="M58" s="4">
        <f t="shared" si="172"/>
        <v>10.799999999999999</v>
      </c>
      <c r="N58" s="4">
        <f t="shared" si="172"/>
        <v>0</v>
      </c>
      <c r="O58" s="4">
        <f t="shared" si="173"/>
        <v>23.219999999999995</v>
      </c>
      <c r="P58" s="267">
        <f t="shared" si="174"/>
        <v>0</v>
      </c>
      <c r="Q58" s="6">
        <v>0.15</v>
      </c>
      <c r="R58" s="273"/>
      <c r="S58" s="4">
        <f t="shared" si="175"/>
        <v>20.25</v>
      </c>
      <c r="T58" s="4">
        <f t="shared" si="175"/>
        <v>0</v>
      </c>
      <c r="U58" s="4">
        <f t="shared" si="176"/>
        <v>43.537500000000001</v>
      </c>
      <c r="V58" s="267">
        <f t="shared" si="177"/>
        <v>0</v>
      </c>
      <c r="W58" s="273"/>
      <c r="X58" s="4">
        <f t="shared" si="178"/>
        <v>32.25</v>
      </c>
      <c r="Y58" s="4">
        <f t="shared" si="178"/>
        <v>0</v>
      </c>
      <c r="Z58" s="4">
        <f t="shared" si="179"/>
        <v>69.337499999999991</v>
      </c>
      <c r="AA58" s="267">
        <f t="shared" si="180"/>
        <v>0</v>
      </c>
      <c r="AB58" s="273"/>
      <c r="AC58" s="4">
        <f t="shared" si="181"/>
        <v>15</v>
      </c>
      <c r="AD58" s="4">
        <f t="shared" si="181"/>
        <v>27</v>
      </c>
      <c r="AE58" s="4">
        <f t="shared" si="182"/>
        <v>32.25</v>
      </c>
      <c r="AF58" s="267">
        <f t="shared" si="183"/>
        <v>49.342499999999994</v>
      </c>
      <c r="AG58" s="273"/>
      <c r="AH58" s="4">
        <f t="shared" si="184"/>
        <v>0</v>
      </c>
      <c r="AI58" s="4">
        <f t="shared" si="184"/>
        <v>57</v>
      </c>
      <c r="AJ58" s="4">
        <f t="shared" si="185"/>
        <v>0</v>
      </c>
      <c r="AK58" s="267">
        <f t="shared" si="186"/>
        <v>104.16749999999999</v>
      </c>
      <c r="AL58" s="273"/>
      <c r="AM58" s="4">
        <f t="shared" si="187"/>
        <v>0</v>
      </c>
      <c r="AN58" s="4">
        <f t="shared" si="187"/>
        <v>78.75</v>
      </c>
      <c r="AO58" s="4">
        <f t="shared" si="188"/>
        <v>0</v>
      </c>
      <c r="AP58" s="267">
        <f t="shared" si="189"/>
        <v>143.91562500000001</v>
      </c>
      <c r="AQ58" s="273"/>
      <c r="AR58" s="4">
        <f t="shared" si="190"/>
        <v>0</v>
      </c>
      <c r="AS58" s="4">
        <f t="shared" si="190"/>
        <v>90</v>
      </c>
      <c r="AT58" s="4">
        <f t="shared" si="191"/>
        <v>0</v>
      </c>
      <c r="AU58" s="267">
        <f t="shared" si="192"/>
        <v>164.47499999999999</v>
      </c>
    </row>
    <row r="59" spans="1:47" x14ac:dyDescent="0.4">
      <c r="A59" s="7">
        <v>300000</v>
      </c>
      <c r="B59">
        <v>2.5</v>
      </c>
      <c r="C59" s="1">
        <v>2.25</v>
      </c>
      <c r="D59" s="1">
        <f t="shared" si="167"/>
        <v>1.9124999999999999</v>
      </c>
      <c r="E59" s="4">
        <f t="shared" si="168"/>
        <v>51000.000000000007</v>
      </c>
      <c r="F59" s="6">
        <v>0.17</v>
      </c>
      <c r="H59" s="4">
        <f t="shared" si="169"/>
        <v>4.25</v>
      </c>
      <c r="I59" s="4">
        <f t="shared" si="170"/>
        <v>0</v>
      </c>
      <c r="J59" s="267">
        <f t="shared" si="171"/>
        <v>9.5625</v>
      </c>
      <c r="K59" s="267">
        <f t="shared" si="133"/>
        <v>0</v>
      </c>
      <c r="L59" s="273"/>
      <c r="M59" s="4">
        <f t="shared" si="172"/>
        <v>12.24</v>
      </c>
      <c r="N59" s="4">
        <f t="shared" si="172"/>
        <v>0</v>
      </c>
      <c r="O59" s="4">
        <f t="shared" si="173"/>
        <v>27.54</v>
      </c>
      <c r="P59" s="267">
        <f t="shared" si="174"/>
        <v>0</v>
      </c>
      <c r="Q59" s="6">
        <v>0.17</v>
      </c>
      <c r="R59" s="273"/>
      <c r="S59" s="4">
        <f t="shared" si="175"/>
        <v>22.950000000000003</v>
      </c>
      <c r="T59" s="4">
        <f t="shared" si="175"/>
        <v>0</v>
      </c>
      <c r="U59" s="4">
        <f t="shared" si="176"/>
        <v>51.637500000000003</v>
      </c>
      <c r="V59" s="267">
        <f t="shared" si="177"/>
        <v>0</v>
      </c>
      <c r="W59" s="273"/>
      <c r="X59" s="4">
        <f t="shared" si="178"/>
        <v>36.550000000000004</v>
      </c>
      <c r="Y59" s="4">
        <f t="shared" si="178"/>
        <v>0</v>
      </c>
      <c r="Z59" s="4">
        <f t="shared" si="179"/>
        <v>82.237500000000011</v>
      </c>
      <c r="AA59" s="267">
        <f t="shared" si="180"/>
        <v>0</v>
      </c>
      <c r="AB59" s="273"/>
      <c r="AC59" s="4">
        <f t="shared" si="181"/>
        <v>17</v>
      </c>
      <c r="AD59" s="4">
        <f t="shared" si="181"/>
        <v>30.6</v>
      </c>
      <c r="AE59" s="4">
        <f t="shared" si="182"/>
        <v>38.25</v>
      </c>
      <c r="AF59" s="267">
        <f t="shared" si="183"/>
        <v>58.522500000000001</v>
      </c>
      <c r="AG59" s="273"/>
      <c r="AH59" s="4">
        <f t="shared" si="184"/>
        <v>0</v>
      </c>
      <c r="AI59" s="4">
        <f t="shared" si="184"/>
        <v>64.600000000000009</v>
      </c>
      <c r="AJ59" s="4">
        <f t="shared" si="185"/>
        <v>0</v>
      </c>
      <c r="AK59" s="267">
        <f t="shared" si="186"/>
        <v>123.54750000000001</v>
      </c>
      <c r="AL59" s="273"/>
      <c r="AM59" s="4">
        <f t="shared" si="187"/>
        <v>0</v>
      </c>
      <c r="AN59" s="4">
        <f t="shared" si="187"/>
        <v>89.25</v>
      </c>
      <c r="AO59" s="4">
        <f t="shared" si="188"/>
        <v>0</v>
      </c>
      <c r="AP59" s="267">
        <f t="shared" si="189"/>
        <v>170.69062499999998</v>
      </c>
      <c r="AQ59" s="273"/>
      <c r="AR59" s="4">
        <f t="shared" si="190"/>
        <v>0</v>
      </c>
      <c r="AS59" s="4">
        <f t="shared" si="190"/>
        <v>102.00000000000001</v>
      </c>
      <c r="AT59" s="4">
        <f t="shared" si="191"/>
        <v>0</v>
      </c>
      <c r="AU59" s="267">
        <f t="shared" si="192"/>
        <v>195.07500000000002</v>
      </c>
    </row>
    <row r="60" spans="1:47" x14ac:dyDescent="0.4">
      <c r="B60">
        <v>3</v>
      </c>
      <c r="C60" s="1">
        <v>2.4</v>
      </c>
      <c r="D60" s="1">
        <f t="shared" si="167"/>
        <v>2.04</v>
      </c>
      <c r="E60" s="4">
        <f t="shared" si="168"/>
        <v>78000</v>
      </c>
      <c r="F60" s="6">
        <v>0.26</v>
      </c>
      <c r="H60" s="4">
        <f t="shared" si="169"/>
        <v>6.5</v>
      </c>
      <c r="I60" s="4">
        <f t="shared" si="170"/>
        <v>0</v>
      </c>
      <c r="J60" s="267">
        <f t="shared" si="171"/>
        <v>15.6</v>
      </c>
      <c r="K60" s="267">
        <f t="shared" si="133"/>
        <v>0</v>
      </c>
      <c r="L60" s="273"/>
      <c r="M60" s="4">
        <f t="shared" si="172"/>
        <v>18.72</v>
      </c>
      <c r="N60" s="4">
        <f t="shared" si="172"/>
        <v>0</v>
      </c>
      <c r="O60" s="4">
        <f t="shared" si="173"/>
        <v>44.927999999999997</v>
      </c>
      <c r="P60" s="267">
        <f t="shared" si="174"/>
        <v>0</v>
      </c>
      <c r="Q60" s="6">
        <v>0.26</v>
      </c>
      <c r="R60" s="273"/>
      <c r="S60" s="4">
        <f t="shared" si="175"/>
        <v>35.1</v>
      </c>
      <c r="T60" s="4">
        <f t="shared" si="175"/>
        <v>0</v>
      </c>
      <c r="U60" s="4">
        <f t="shared" si="176"/>
        <v>84.24</v>
      </c>
      <c r="V60" s="267">
        <f t="shared" si="177"/>
        <v>0</v>
      </c>
      <c r="W60" s="273"/>
      <c r="X60" s="4">
        <f t="shared" si="178"/>
        <v>55.9</v>
      </c>
      <c r="Y60" s="4">
        <f t="shared" si="178"/>
        <v>0</v>
      </c>
      <c r="Z60" s="4">
        <f t="shared" si="179"/>
        <v>134.16</v>
      </c>
      <c r="AA60" s="267">
        <f t="shared" si="180"/>
        <v>0</v>
      </c>
      <c r="AB60" s="273"/>
      <c r="AC60" s="4">
        <f t="shared" si="181"/>
        <v>26</v>
      </c>
      <c r="AD60" s="4">
        <f t="shared" si="181"/>
        <v>46.800000000000004</v>
      </c>
      <c r="AE60" s="4">
        <f t="shared" si="182"/>
        <v>62.4</v>
      </c>
      <c r="AF60" s="267">
        <f t="shared" si="183"/>
        <v>95.472000000000008</v>
      </c>
      <c r="AG60" s="273"/>
      <c r="AH60" s="4">
        <f t="shared" si="184"/>
        <v>0</v>
      </c>
      <c r="AI60" s="4">
        <f t="shared" si="184"/>
        <v>98.8</v>
      </c>
      <c r="AJ60" s="4">
        <f t="shared" si="185"/>
        <v>0</v>
      </c>
      <c r="AK60" s="267">
        <f t="shared" si="186"/>
        <v>201.55199999999999</v>
      </c>
      <c r="AL60" s="273"/>
      <c r="AM60" s="4">
        <f t="shared" si="187"/>
        <v>0</v>
      </c>
      <c r="AN60" s="4">
        <f t="shared" si="187"/>
        <v>136.5</v>
      </c>
      <c r="AO60" s="4">
        <f t="shared" si="188"/>
        <v>0</v>
      </c>
      <c r="AP60" s="267">
        <f t="shared" si="189"/>
        <v>278.45999999999998</v>
      </c>
      <c r="AQ60" s="273"/>
      <c r="AR60" s="4">
        <f t="shared" si="190"/>
        <v>0</v>
      </c>
      <c r="AS60" s="4">
        <f t="shared" si="190"/>
        <v>156</v>
      </c>
      <c r="AT60" s="4">
        <f t="shared" si="191"/>
        <v>0</v>
      </c>
      <c r="AU60" s="267">
        <f t="shared" si="192"/>
        <v>318.24</v>
      </c>
    </row>
    <row r="61" spans="1:47" x14ac:dyDescent="0.4">
      <c r="B61">
        <v>3.5</v>
      </c>
      <c r="C61" s="1">
        <v>3.15</v>
      </c>
      <c r="D61" s="1">
        <f t="shared" si="167"/>
        <v>2.6774999999999998</v>
      </c>
      <c r="E61" s="4">
        <f t="shared" si="168"/>
        <v>30000</v>
      </c>
      <c r="F61" s="6">
        <v>0.1</v>
      </c>
      <c r="H61" s="4">
        <f t="shared" si="169"/>
        <v>2.5</v>
      </c>
      <c r="I61" s="4">
        <f t="shared" si="170"/>
        <v>0</v>
      </c>
      <c r="J61" s="267">
        <f t="shared" si="171"/>
        <v>7.875</v>
      </c>
      <c r="K61" s="267">
        <f t="shared" si="133"/>
        <v>0</v>
      </c>
      <c r="L61" s="273"/>
      <c r="M61" s="4">
        <f t="shared" si="172"/>
        <v>7.2</v>
      </c>
      <c r="N61" s="4">
        <f t="shared" si="172"/>
        <v>0</v>
      </c>
      <c r="O61" s="4">
        <f t="shared" si="173"/>
        <v>22.68</v>
      </c>
      <c r="P61" s="267">
        <f t="shared" si="174"/>
        <v>0</v>
      </c>
      <c r="Q61" s="6">
        <v>0.1</v>
      </c>
      <c r="R61" s="273"/>
      <c r="S61" s="4">
        <f t="shared" si="175"/>
        <v>13.5</v>
      </c>
      <c r="T61" s="4">
        <f t="shared" si="175"/>
        <v>0</v>
      </c>
      <c r="U61" s="4">
        <f t="shared" si="176"/>
        <v>42.524999999999999</v>
      </c>
      <c r="V61" s="267">
        <f t="shared" si="177"/>
        <v>0</v>
      </c>
      <c r="W61" s="273"/>
      <c r="X61" s="4">
        <f t="shared" si="178"/>
        <v>21.5</v>
      </c>
      <c r="Y61" s="4">
        <f t="shared" si="178"/>
        <v>0</v>
      </c>
      <c r="Z61" s="4">
        <f t="shared" si="179"/>
        <v>67.724999999999994</v>
      </c>
      <c r="AA61" s="267">
        <f t="shared" si="180"/>
        <v>0</v>
      </c>
      <c r="AB61" s="273"/>
      <c r="AC61" s="4">
        <f t="shared" si="181"/>
        <v>10</v>
      </c>
      <c r="AD61" s="4">
        <f t="shared" si="181"/>
        <v>18</v>
      </c>
      <c r="AE61" s="4">
        <f t="shared" si="182"/>
        <v>31.5</v>
      </c>
      <c r="AF61" s="267">
        <f t="shared" si="183"/>
        <v>48.194999999999993</v>
      </c>
      <c r="AG61" s="273"/>
      <c r="AH61" s="4">
        <f t="shared" si="184"/>
        <v>0</v>
      </c>
      <c r="AI61" s="4">
        <f t="shared" si="184"/>
        <v>38</v>
      </c>
      <c r="AJ61" s="4">
        <f t="shared" si="185"/>
        <v>0</v>
      </c>
      <c r="AK61" s="267">
        <f t="shared" si="186"/>
        <v>101.74499999999999</v>
      </c>
      <c r="AL61" s="273"/>
      <c r="AM61" s="4">
        <f t="shared" si="187"/>
        <v>0</v>
      </c>
      <c r="AN61" s="4">
        <f t="shared" si="187"/>
        <v>52.5</v>
      </c>
      <c r="AO61" s="4">
        <f t="shared" si="188"/>
        <v>0</v>
      </c>
      <c r="AP61" s="267">
        <f t="shared" si="189"/>
        <v>140.56874999999999</v>
      </c>
      <c r="AQ61" s="273"/>
      <c r="AR61" s="4">
        <f t="shared" si="190"/>
        <v>0</v>
      </c>
      <c r="AS61" s="4">
        <f t="shared" si="190"/>
        <v>60</v>
      </c>
      <c r="AT61" s="4">
        <f t="shared" si="191"/>
        <v>0</v>
      </c>
      <c r="AU61" s="267">
        <f t="shared" si="192"/>
        <v>160.64999999999998</v>
      </c>
    </row>
    <row r="62" spans="1:47" x14ac:dyDescent="0.4">
      <c r="B62">
        <v>4</v>
      </c>
      <c r="C62" s="1">
        <v>3.15</v>
      </c>
      <c r="D62" s="1">
        <f t="shared" si="167"/>
        <v>2.6774999999999998</v>
      </c>
      <c r="E62" s="4">
        <f t="shared" si="168"/>
        <v>51000.000000000007</v>
      </c>
      <c r="F62" s="6">
        <v>0.17</v>
      </c>
      <c r="H62" s="4">
        <f t="shared" si="169"/>
        <v>4.25</v>
      </c>
      <c r="I62" s="4">
        <f t="shared" si="170"/>
        <v>0</v>
      </c>
      <c r="J62" s="267">
        <f t="shared" si="171"/>
        <v>13.387499999999999</v>
      </c>
      <c r="K62" s="267">
        <f t="shared" si="133"/>
        <v>0</v>
      </c>
      <c r="L62" s="273"/>
      <c r="M62" s="4">
        <f t="shared" si="172"/>
        <v>12.24</v>
      </c>
      <c r="N62" s="4">
        <f t="shared" si="172"/>
        <v>0</v>
      </c>
      <c r="O62" s="4">
        <f t="shared" si="173"/>
        <v>38.555999999999997</v>
      </c>
      <c r="P62" s="267">
        <f t="shared" si="174"/>
        <v>0</v>
      </c>
      <c r="Q62" s="6">
        <v>0.17</v>
      </c>
      <c r="R62" s="273"/>
      <c r="S62" s="4">
        <f t="shared" si="175"/>
        <v>22.950000000000003</v>
      </c>
      <c r="T62" s="4">
        <f t="shared" si="175"/>
        <v>0</v>
      </c>
      <c r="U62" s="4">
        <f t="shared" si="176"/>
        <v>72.292500000000004</v>
      </c>
      <c r="V62" s="267">
        <f t="shared" si="177"/>
        <v>0</v>
      </c>
      <c r="W62" s="273"/>
      <c r="X62" s="4">
        <f t="shared" si="178"/>
        <v>36.550000000000004</v>
      </c>
      <c r="Y62" s="4">
        <f t="shared" si="178"/>
        <v>0</v>
      </c>
      <c r="Z62" s="4">
        <f t="shared" si="179"/>
        <v>115.13250000000001</v>
      </c>
      <c r="AA62" s="267">
        <f t="shared" si="180"/>
        <v>0</v>
      </c>
      <c r="AB62" s="273"/>
      <c r="AC62" s="4">
        <f t="shared" si="181"/>
        <v>17</v>
      </c>
      <c r="AD62" s="4">
        <f t="shared" si="181"/>
        <v>30.6</v>
      </c>
      <c r="AE62" s="4">
        <f t="shared" si="182"/>
        <v>53.55</v>
      </c>
      <c r="AF62" s="267">
        <f t="shared" si="183"/>
        <v>81.9315</v>
      </c>
      <c r="AG62" s="273"/>
      <c r="AH62" s="4">
        <f t="shared" si="184"/>
        <v>0</v>
      </c>
      <c r="AI62" s="4">
        <f t="shared" si="184"/>
        <v>64.600000000000009</v>
      </c>
      <c r="AJ62" s="4">
        <f t="shared" si="185"/>
        <v>0</v>
      </c>
      <c r="AK62" s="267">
        <f t="shared" si="186"/>
        <v>172.9665</v>
      </c>
      <c r="AL62" s="273"/>
      <c r="AM62" s="4">
        <f t="shared" si="187"/>
        <v>0</v>
      </c>
      <c r="AN62" s="4">
        <f t="shared" si="187"/>
        <v>89.25</v>
      </c>
      <c r="AO62" s="4">
        <f t="shared" si="188"/>
        <v>0</v>
      </c>
      <c r="AP62" s="267">
        <f t="shared" si="189"/>
        <v>238.96687499999999</v>
      </c>
      <c r="AQ62" s="273"/>
      <c r="AR62" s="4">
        <f t="shared" si="190"/>
        <v>0</v>
      </c>
      <c r="AS62" s="4">
        <f t="shared" si="190"/>
        <v>102.00000000000001</v>
      </c>
      <c r="AT62" s="4">
        <f t="shared" si="191"/>
        <v>0</v>
      </c>
      <c r="AU62" s="267">
        <f t="shared" si="192"/>
        <v>273.10500000000002</v>
      </c>
    </row>
    <row r="63" spans="1:47" x14ac:dyDescent="0.4">
      <c r="B63">
        <v>5</v>
      </c>
      <c r="C63" s="1">
        <v>3.7</v>
      </c>
      <c r="D63" s="1">
        <f t="shared" si="167"/>
        <v>3.145</v>
      </c>
      <c r="E63" s="4">
        <f t="shared" si="168"/>
        <v>36000</v>
      </c>
      <c r="F63" s="6">
        <v>0.12</v>
      </c>
      <c r="H63" s="4">
        <f t="shared" si="169"/>
        <v>3</v>
      </c>
      <c r="I63" s="4">
        <f t="shared" si="170"/>
        <v>0</v>
      </c>
      <c r="J63" s="267">
        <f t="shared" si="171"/>
        <v>11.100000000000001</v>
      </c>
      <c r="K63" s="267">
        <f t="shared" si="133"/>
        <v>0</v>
      </c>
      <c r="L63" s="273"/>
      <c r="M63" s="4">
        <f t="shared" si="172"/>
        <v>8.64</v>
      </c>
      <c r="N63" s="4">
        <f t="shared" si="172"/>
        <v>0</v>
      </c>
      <c r="O63" s="4">
        <f t="shared" si="173"/>
        <v>31.968000000000004</v>
      </c>
      <c r="P63" s="267">
        <f t="shared" si="174"/>
        <v>0</v>
      </c>
      <c r="Q63" s="6">
        <v>0.12</v>
      </c>
      <c r="R63" s="273"/>
      <c r="S63" s="4">
        <f t="shared" si="175"/>
        <v>16.2</v>
      </c>
      <c r="T63" s="4">
        <f t="shared" si="175"/>
        <v>0</v>
      </c>
      <c r="U63" s="4">
        <f t="shared" si="176"/>
        <v>59.94</v>
      </c>
      <c r="V63" s="267">
        <f t="shared" si="177"/>
        <v>0</v>
      </c>
      <c r="W63" s="273"/>
      <c r="X63" s="4">
        <f t="shared" si="178"/>
        <v>25.8</v>
      </c>
      <c r="Y63" s="4">
        <f t="shared" si="178"/>
        <v>0</v>
      </c>
      <c r="Z63" s="4">
        <f t="shared" si="179"/>
        <v>95.460000000000008</v>
      </c>
      <c r="AA63" s="267">
        <f t="shared" si="180"/>
        <v>0</v>
      </c>
      <c r="AB63" s="273"/>
      <c r="AC63" s="4">
        <f t="shared" si="181"/>
        <v>12</v>
      </c>
      <c r="AD63" s="4">
        <f t="shared" si="181"/>
        <v>21.599999999999998</v>
      </c>
      <c r="AE63" s="4">
        <f t="shared" si="182"/>
        <v>44.400000000000006</v>
      </c>
      <c r="AF63" s="267">
        <f t="shared" si="183"/>
        <v>67.931999999999988</v>
      </c>
      <c r="AG63" s="273"/>
      <c r="AH63" s="4">
        <f t="shared" si="184"/>
        <v>0</v>
      </c>
      <c r="AI63" s="4">
        <f t="shared" si="184"/>
        <v>45.6</v>
      </c>
      <c r="AJ63" s="4">
        <f t="shared" si="185"/>
        <v>0</v>
      </c>
      <c r="AK63" s="267">
        <f t="shared" si="186"/>
        <v>143.41200000000001</v>
      </c>
      <c r="AL63" s="273"/>
      <c r="AM63" s="4">
        <f t="shared" si="187"/>
        <v>0</v>
      </c>
      <c r="AN63" s="4">
        <f t="shared" si="187"/>
        <v>63</v>
      </c>
      <c r="AO63" s="4">
        <f t="shared" si="188"/>
        <v>0</v>
      </c>
      <c r="AP63" s="267">
        <f t="shared" si="189"/>
        <v>198.13499999999999</v>
      </c>
      <c r="AQ63" s="273"/>
      <c r="AR63" s="4">
        <f t="shared" si="190"/>
        <v>0</v>
      </c>
      <c r="AS63" s="4">
        <f t="shared" si="190"/>
        <v>72</v>
      </c>
      <c r="AT63" s="4">
        <f t="shared" si="191"/>
        <v>0</v>
      </c>
      <c r="AU63" s="267">
        <f t="shared" si="192"/>
        <v>226.44</v>
      </c>
    </row>
    <row r="64" spans="1:47" x14ac:dyDescent="0.4">
      <c r="F64" s="6"/>
      <c r="G64" s="4">
        <f>機器台数case1!D36</f>
        <v>47.744180399999998</v>
      </c>
      <c r="H64" s="4">
        <f>G64*(1-G$3)</f>
        <v>47.744180399999998</v>
      </c>
      <c r="I64" s="4">
        <f>G64*G$3</f>
        <v>0</v>
      </c>
      <c r="J64" s="4">
        <f>SUM(J65:J68)</f>
        <v>213.57261495782046</v>
      </c>
      <c r="K64" s="267">
        <f t="shared" si="133"/>
        <v>0</v>
      </c>
      <c r="L64" s="273">
        <f>機器台数case1!F36</f>
        <v>46.424436556615461</v>
      </c>
      <c r="M64" s="4">
        <f>L64*(1-L$3)</f>
        <v>46.424436556615461</v>
      </c>
      <c r="N64" s="4">
        <f>L64*L$3</f>
        <v>0</v>
      </c>
      <c r="O64" s="4">
        <f>SUM(O65:O68)</f>
        <v>207.66904427455202</v>
      </c>
      <c r="P64" s="4">
        <f>SUM(P65:P68)</f>
        <v>0</v>
      </c>
      <c r="Q64" s="6"/>
      <c r="R64" s="273">
        <f>機器台数case1!H36</f>
        <v>45.429618338686552</v>
      </c>
      <c r="S64" s="4">
        <f>R64*(1-R$3)</f>
        <v>45.429618338686552</v>
      </c>
      <c r="T64" s="4">
        <f>R64*R$3</f>
        <v>0</v>
      </c>
      <c r="U64" s="4">
        <f>SUM(U65:U68)</f>
        <v>203.21895367857323</v>
      </c>
      <c r="V64" s="4">
        <f>SUM(V65:V68)</f>
        <v>0</v>
      </c>
      <c r="W64" s="273">
        <f>機器台数case1!J36</f>
        <v>41.486628931747262</v>
      </c>
      <c r="X64" s="4">
        <f>W64*(1-W$3)</f>
        <v>41.486628931747262</v>
      </c>
      <c r="Y64" s="4">
        <f>W64*W$3</f>
        <v>0</v>
      </c>
      <c r="Z64" s="4">
        <f>SUM(Z65:Z68)</f>
        <v>185.58089703301374</v>
      </c>
      <c r="AA64" s="4">
        <f>SUM(AA65:AA68)</f>
        <v>0</v>
      </c>
      <c r="AB64" s="273">
        <f>機器台数case1!L36+機器台数case1!L46</f>
        <v>65.018884504203214</v>
      </c>
      <c r="AC64" s="4">
        <f>機器台数case1!L36</f>
        <v>37.839920176519186</v>
      </c>
      <c r="AD64" s="4">
        <f>機器台数case1!L46</f>
        <v>27.178964327684028</v>
      </c>
      <c r="AE64" s="4">
        <f>SUM(AE65:AE68)</f>
        <v>169.26818376998244</v>
      </c>
      <c r="AF64" s="4">
        <f>SUM(AF65:AF68)</f>
        <v>103.34202136209419</v>
      </c>
      <c r="AG64" s="273">
        <f>機器台数case1!N36</f>
        <v>10.6844737517587</v>
      </c>
      <c r="AH64" s="4">
        <f>機器台数case1!N36</f>
        <v>10.6844737517587</v>
      </c>
      <c r="AI64" s="4">
        <f>機器台数case1!N46</f>
        <v>26.333290861951582</v>
      </c>
      <c r="AJ64" s="4">
        <f>SUM(AJ65:AJ68)</f>
        <v>47.794537040818071</v>
      </c>
      <c r="AK64" s="4">
        <f>SUM(AK65:AK68)</f>
        <v>100.12653440286294</v>
      </c>
      <c r="AL64" s="273">
        <f>機器台数case1!S36</f>
        <v>0</v>
      </c>
      <c r="AM64" s="4">
        <f>機器台数case1!P36</f>
        <v>3.7380353499701227</v>
      </c>
      <c r="AN64" s="4">
        <f>機器台数case1!P46</f>
        <v>22.177743509055944</v>
      </c>
      <c r="AO64" s="4">
        <f>SUM(AO65:AO68)</f>
        <v>16.721241789248321</v>
      </c>
      <c r="AP64" s="4">
        <f>SUM(AP65:AP68)</f>
        <v>84.325981514366333</v>
      </c>
      <c r="AQ64" s="273">
        <f>機器台数case1!X36</f>
        <v>0</v>
      </c>
      <c r="AR64" s="4">
        <f>機器台数case1!R36</f>
        <v>0</v>
      </c>
      <c r="AS64" s="4">
        <f>機器台数case1!R46</f>
        <v>10.97154542770237</v>
      </c>
      <c r="AT64" s="4">
        <f>SUM(AT65:AT68)</f>
        <v>0</v>
      </c>
      <c r="AU64" s="4">
        <f>SUM(AU65:AU68)</f>
        <v>41.716883259231246</v>
      </c>
    </row>
    <row r="65" spans="1:47" x14ac:dyDescent="0.4">
      <c r="A65" t="s">
        <v>14</v>
      </c>
      <c r="B65">
        <v>2</v>
      </c>
      <c r="C65" s="1">
        <v>3.3</v>
      </c>
      <c r="D65" s="1">
        <f>C65*0.85</f>
        <v>2.8049999999999997</v>
      </c>
      <c r="E65" s="4">
        <v>6624</v>
      </c>
      <c r="F65" s="6">
        <v>0.13006597549481622</v>
      </c>
      <c r="H65" s="4">
        <f>F65*H$64</f>
        <v>6.2098933979264848</v>
      </c>
      <c r="I65" s="4">
        <f>$F65*I$64</f>
        <v>0</v>
      </c>
      <c r="J65" s="267">
        <f>C65*H65</f>
        <v>20.492648213157398</v>
      </c>
      <c r="K65" s="267">
        <f t="shared" si="133"/>
        <v>0</v>
      </c>
      <c r="L65" s="273">
        <f>SUM(M65:M68)</f>
        <v>46.424436556615461</v>
      </c>
      <c r="M65" s="4">
        <f t="shared" ref="M65:N68" si="193">$F65*M$64</f>
        <v>6.0382396275333967</v>
      </c>
      <c r="N65" s="4">
        <f t="shared" si="193"/>
        <v>0</v>
      </c>
      <c r="O65" s="4">
        <f>$C65*M65</f>
        <v>19.92619077086021</v>
      </c>
      <c r="P65" s="267">
        <f>$D65*N65</f>
        <v>0</v>
      </c>
      <c r="Q65" s="6">
        <f>E65/$A$67</f>
        <v>0.13006597549481622</v>
      </c>
      <c r="R65" s="273">
        <f>SUM(S65:S68)</f>
        <v>45.429618338686552</v>
      </c>
      <c r="S65" s="4">
        <f t="shared" ref="S65:T68" si="194">$F65*S$64</f>
        <v>5.9088476255784581</v>
      </c>
      <c r="T65" s="4">
        <f t="shared" si="194"/>
        <v>0</v>
      </c>
      <c r="U65" s="4">
        <f>$C65*S65</f>
        <v>19.499197164408912</v>
      </c>
      <c r="V65" s="267">
        <f>$D65*T65</f>
        <v>0</v>
      </c>
      <c r="W65" s="273">
        <f>SUM(X65:X68)</f>
        <v>41.486628931747262</v>
      </c>
      <c r="X65" s="4">
        <f t="shared" ref="X65:Y68" si="195">$F65*X$64</f>
        <v>5.395998861999173</v>
      </c>
      <c r="Y65" s="4">
        <f t="shared" si="195"/>
        <v>0</v>
      </c>
      <c r="Z65" s="4">
        <f>$C65*X65</f>
        <v>17.806796244597269</v>
      </c>
      <c r="AA65" s="267">
        <f>$D65*Y65</f>
        <v>0</v>
      </c>
      <c r="AB65" s="273">
        <f>SUM(AC65:AC68)</f>
        <v>37.839920176519186</v>
      </c>
      <c r="AC65" s="4">
        <f t="shared" ref="AC65:AD68" si="196">$F65*AC$64</f>
        <v>4.9216861304049457</v>
      </c>
      <c r="AD65" s="4">
        <f t="shared" si="196"/>
        <v>3.5350585082190347</v>
      </c>
      <c r="AE65" s="4">
        <f>$C65*AC65</f>
        <v>16.241564230336319</v>
      </c>
      <c r="AF65" s="267">
        <f>$D65*AD65</f>
        <v>9.915839115554391</v>
      </c>
      <c r="AG65" s="273">
        <f>SUM(AH65:AH68)</f>
        <v>10.6844737517587</v>
      </c>
      <c r="AH65" s="4">
        <f t="shared" ref="AH65:AI68" si="197">$F65*AH$64</f>
        <v>1.3896865011712543</v>
      </c>
      <c r="AI65" s="4">
        <f t="shared" si="197"/>
        <v>3.4250651639484624</v>
      </c>
      <c r="AJ65" s="4">
        <f>$C65*AH65</f>
        <v>4.5859654538651391</v>
      </c>
      <c r="AK65" s="267">
        <f>$D65*AI65</f>
        <v>9.6073077848754362</v>
      </c>
      <c r="AL65" s="273">
        <f>SUM(AM65:AM68)</f>
        <v>3.7380353499701227</v>
      </c>
      <c r="AM65" s="4">
        <f t="shared" ref="AM65:AN68" si="198">$F65*AM$64</f>
        <v>0.48619121422797074</v>
      </c>
      <c r="AN65" s="4">
        <f t="shared" si="198"/>
        <v>2.8845698437791896</v>
      </c>
      <c r="AO65" s="4">
        <f>$C65*AM65</f>
        <v>1.6044310069523033</v>
      </c>
      <c r="AP65" s="267">
        <f>$D65*AN65</f>
        <v>8.0912184118006252</v>
      </c>
      <c r="AQ65" s="273">
        <f>SUM(AR65:AR68)</f>
        <v>0</v>
      </c>
      <c r="AR65" s="4">
        <f t="shared" ref="AR65:AS68" si="199">$F65*AR$64</f>
        <v>0</v>
      </c>
      <c r="AS65" s="4">
        <f t="shared" si="199"/>
        <v>1.4270247587397995</v>
      </c>
      <c r="AT65" s="4">
        <f>$C65*AR65</f>
        <v>0</v>
      </c>
      <c r="AU65" s="267">
        <f>$D65*AS65</f>
        <v>4.0028044482651373</v>
      </c>
    </row>
    <row r="66" spans="1:47" x14ac:dyDescent="0.4">
      <c r="A66" t="s">
        <v>15</v>
      </c>
      <c r="B66">
        <v>3</v>
      </c>
      <c r="C66" s="1">
        <v>3.3</v>
      </c>
      <c r="D66" s="1">
        <f>C66*0.85</f>
        <v>2.8049999999999997</v>
      </c>
      <c r="E66" s="4">
        <v>19777</v>
      </c>
      <c r="F66" s="6">
        <v>0.38833254791077598</v>
      </c>
      <c r="H66" s="4">
        <f>F66*H$64</f>
        <v>18.540619222643731</v>
      </c>
      <c r="I66" s="4">
        <f>$F66*I$64</f>
        <v>0</v>
      </c>
      <c r="J66" s="267">
        <f>C66*H66</f>
        <v>61.184043434724309</v>
      </c>
      <c r="K66" s="267">
        <f t="shared" si="133"/>
        <v>0</v>
      </c>
      <c r="L66" s="273"/>
      <c r="M66" s="4">
        <f t="shared" si="193"/>
        <v>18.028119733352653</v>
      </c>
      <c r="N66" s="4">
        <f t="shared" si="193"/>
        <v>0</v>
      </c>
      <c r="O66" s="4">
        <f>$C66*M66</f>
        <v>59.492795120063754</v>
      </c>
      <c r="P66" s="267">
        <f>$D66*N66</f>
        <v>0</v>
      </c>
      <c r="Q66" s="6">
        <f>E66/$A$67</f>
        <v>0.38833254791077598</v>
      </c>
      <c r="R66" s="273"/>
      <c r="S66" s="4">
        <f t="shared" si="194"/>
        <v>17.641799440076262</v>
      </c>
      <c r="T66" s="4">
        <f t="shared" si="194"/>
        <v>0</v>
      </c>
      <c r="U66" s="4">
        <f>$C66*S66</f>
        <v>58.217938152251662</v>
      </c>
      <c r="V66" s="267">
        <f>$D66*T66</f>
        <v>0</v>
      </c>
      <c r="W66" s="273"/>
      <c r="X66" s="4">
        <f t="shared" si="195"/>
        <v>16.110608317294329</v>
      </c>
      <c r="Y66" s="4">
        <f t="shared" si="195"/>
        <v>0</v>
      </c>
      <c r="Z66" s="4">
        <f>$C66*X66</f>
        <v>53.165007447071282</v>
      </c>
      <c r="AA66" s="267">
        <f>$D66*Y66</f>
        <v>0</v>
      </c>
      <c r="AB66" s="273"/>
      <c r="AC66" s="4">
        <f t="shared" si="196"/>
        <v>14.694472614888076</v>
      </c>
      <c r="AD66" s="4">
        <f t="shared" si="196"/>
        <v>10.55447646694563</v>
      </c>
      <c r="AE66" s="4">
        <f>$C66*AC66</f>
        <v>48.491759629130648</v>
      </c>
      <c r="AF66" s="267">
        <f>$D66*AD66</f>
        <v>29.605306489782489</v>
      </c>
      <c r="AG66" s="273"/>
      <c r="AH66" s="4">
        <f t="shared" si="197"/>
        <v>4.1491289151062638</v>
      </c>
      <c r="AI66" s="4">
        <f t="shared" si="197"/>
        <v>10.226073935297212</v>
      </c>
      <c r="AJ66" s="4">
        <f>$C66*AH66</f>
        <v>13.692125419850671</v>
      </c>
      <c r="AK66" s="267">
        <f>$D66*AI66</f>
        <v>28.684137388508677</v>
      </c>
      <c r="AL66" s="273"/>
      <c r="AM66" s="4">
        <f t="shared" si="198"/>
        <v>1.4516007916344469</v>
      </c>
      <c r="AN66" s="4">
        <f t="shared" si="198"/>
        <v>8.6123396437833684</v>
      </c>
      <c r="AO66" s="4">
        <f>$C66*AM66</f>
        <v>4.7902826123936748</v>
      </c>
      <c r="AP66" s="267">
        <f>$D66*AN66</f>
        <v>24.157612700812347</v>
      </c>
      <c r="AQ66" s="273"/>
      <c r="AR66" s="4">
        <f t="shared" si="199"/>
        <v>0</v>
      </c>
      <c r="AS66" s="4">
        <f t="shared" si="199"/>
        <v>4.2606081904584858</v>
      </c>
      <c r="AT66" s="4">
        <f>$C66*AR66</f>
        <v>0</v>
      </c>
      <c r="AU66" s="267">
        <f>$D66*AS66</f>
        <v>11.951005974236052</v>
      </c>
    </row>
    <row r="67" spans="1:47" x14ac:dyDescent="0.4">
      <c r="A67" s="5">
        <f>SUM(E65:E68)</f>
        <v>50928</v>
      </c>
      <c r="B67">
        <v>4</v>
      </c>
      <c r="C67" s="1">
        <v>5.7</v>
      </c>
      <c r="D67" s="1">
        <f>C67*0.85</f>
        <v>4.8449999999999998</v>
      </c>
      <c r="E67" s="4">
        <v>15652</v>
      </c>
      <c r="F67" s="6">
        <v>0.30733584668551683</v>
      </c>
      <c r="H67" s="4">
        <f>F67*H$64</f>
        <v>14.673498107540057</v>
      </c>
      <c r="I67" s="4">
        <f>$F67*I$64</f>
        <v>0</v>
      </c>
      <c r="J67" s="267">
        <f>C67*H67</f>
        <v>83.638939212978329</v>
      </c>
      <c r="K67" s="267">
        <f t="shared" si="133"/>
        <v>0</v>
      </c>
      <c r="L67" s="273"/>
      <c r="M67" s="4">
        <f t="shared" si="193"/>
        <v>14.267893516025472</v>
      </c>
      <c r="N67" s="4">
        <f t="shared" si="193"/>
        <v>0</v>
      </c>
      <c r="O67" s="4">
        <f>$C67*M67</f>
        <v>81.32699304134519</v>
      </c>
      <c r="P67" s="267">
        <f>$D67*N67</f>
        <v>0</v>
      </c>
      <c r="Q67" s="6">
        <f>E67/$A$67</f>
        <v>0.30733584668551683</v>
      </c>
      <c r="R67" s="273"/>
      <c r="S67" s="4">
        <f t="shared" si="194"/>
        <v>13.962150216720115</v>
      </c>
      <c r="T67" s="4">
        <f t="shared" si="194"/>
        <v>0</v>
      </c>
      <c r="U67" s="4">
        <f>$C67*S67</f>
        <v>79.584256235304665</v>
      </c>
      <c r="V67" s="267">
        <f>$D67*T67</f>
        <v>0</v>
      </c>
      <c r="W67" s="273"/>
      <c r="X67" s="4">
        <f t="shared" si="195"/>
        <v>12.750328228866403</v>
      </c>
      <c r="Y67" s="4">
        <f t="shared" si="195"/>
        <v>0</v>
      </c>
      <c r="Z67" s="4">
        <f>$C67*X67</f>
        <v>72.676870904538504</v>
      </c>
      <c r="AA67" s="267">
        <f>$D67*Y67</f>
        <v>0</v>
      </c>
      <c r="AB67" s="273"/>
      <c r="AC67" s="4">
        <f t="shared" si="196"/>
        <v>11.629563905962895</v>
      </c>
      <c r="AD67" s="4">
        <f t="shared" si="196"/>
        <v>8.3530700136842295</v>
      </c>
      <c r="AE67" s="4">
        <f>$C67*AC67</f>
        <v>66.288514263988503</v>
      </c>
      <c r="AF67" s="267">
        <f>$D67*AD67</f>
        <v>40.470624216300088</v>
      </c>
      <c r="AG67" s="273"/>
      <c r="AH67" s="4">
        <f t="shared" si="197"/>
        <v>3.2837217868859407</v>
      </c>
      <c r="AI67" s="4">
        <f t="shared" si="197"/>
        <v>8.0931642430738719</v>
      </c>
      <c r="AJ67" s="4">
        <f>$C67*AH67</f>
        <v>18.717214185249862</v>
      </c>
      <c r="AK67" s="267">
        <f>$D67*AI67</f>
        <v>39.211380757692908</v>
      </c>
      <c r="AL67" s="273"/>
      <c r="AM67" s="4">
        <f t="shared" si="198"/>
        <v>1.1488322592234599</v>
      </c>
      <c r="AN67" s="4">
        <f t="shared" si="198"/>
        <v>6.8160155789299335</v>
      </c>
      <c r="AO67" s="4">
        <f>$C67*AM67</f>
        <v>6.5483438775737213</v>
      </c>
      <c r="AP67" s="267">
        <f>$D67*AN67</f>
        <v>33.023595479915528</v>
      </c>
      <c r="AQ67" s="273"/>
      <c r="AR67" s="4">
        <f t="shared" si="199"/>
        <v>0</v>
      </c>
      <c r="AS67" s="4">
        <f t="shared" si="199"/>
        <v>3.3719492034715191</v>
      </c>
      <c r="AT67" s="4">
        <f>$C67*AR67</f>
        <v>0</v>
      </c>
      <c r="AU67" s="267">
        <f>$D67*AS67</f>
        <v>16.33709389081951</v>
      </c>
    </row>
    <row r="68" spans="1:47" x14ac:dyDescent="0.4">
      <c r="A68" s="237">
        <f>A67/$E$75</f>
        <v>3.366911211996803E-2</v>
      </c>
      <c r="B68">
        <v>5</v>
      </c>
      <c r="C68" s="1">
        <v>5.8</v>
      </c>
      <c r="D68" s="1">
        <f>C68*0.85</f>
        <v>4.93</v>
      </c>
      <c r="E68" s="4">
        <v>8875</v>
      </c>
      <c r="F68" s="6">
        <v>0.174265629908891</v>
      </c>
      <c r="H68" s="4">
        <f>F68*H$64</f>
        <v>8.320169671889726</v>
      </c>
      <c r="I68" s="4">
        <f>$F68*I$64</f>
        <v>0</v>
      </c>
      <c r="J68" s="267">
        <f>C68*H68</f>
        <v>48.256984096960409</v>
      </c>
      <c r="K68" s="267">
        <f t="shared" si="133"/>
        <v>0</v>
      </c>
      <c r="L68" s="273"/>
      <c r="M68" s="4">
        <f t="shared" si="193"/>
        <v>8.090183679703939</v>
      </c>
      <c r="N68" s="4">
        <f t="shared" si="193"/>
        <v>0</v>
      </c>
      <c r="O68" s="4">
        <f>$C68*M68</f>
        <v>46.923065342282847</v>
      </c>
      <c r="P68" s="267">
        <f>$D68*N68</f>
        <v>0</v>
      </c>
      <c r="Q68" s="6">
        <f>E68/$A$67</f>
        <v>0.174265629908891</v>
      </c>
      <c r="R68" s="273"/>
      <c r="S68" s="4">
        <f t="shared" si="194"/>
        <v>7.9168210563117185</v>
      </c>
      <c r="T68" s="4">
        <f t="shared" si="194"/>
        <v>0</v>
      </c>
      <c r="U68" s="4">
        <f>$C68*S68</f>
        <v>45.917562126607969</v>
      </c>
      <c r="V68" s="267">
        <f>$D68*T68</f>
        <v>0</v>
      </c>
      <c r="W68" s="273"/>
      <c r="X68" s="4">
        <f t="shared" si="195"/>
        <v>7.2296935235873585</v>
      </c>
      <c r="Y68" s="4">
        <f t="shared" si="195"/>
        <v>0</v>
      </c>
      <c r="Z68" s="4">
        <f>$C68*X68</f>
        <v>41.932222436806676</v>
      </c>
      <c r="AA68" s="267">
        <f>$D68*Y68</f>
        <v>0</v>
      </c>
      <c r="AB68" s="273"/>
      <c r="AC68" s="4">
        <f t="shared" si="196"/>
        <v>6.5941975252632696</v>
      </c>
      <c r="AD68" s="4">
        <f t="shared" si="196"/>
        <v>4.7363593388351353</v>
      </c>
      <c r="AE68" s="4">
        <f>$C68*AC68</f>
        <v>38.246345646526962</v>
      </c>
      <c r="AF68" s="267">
        <f>$D68*AD68</f>
        <v>23.350251540457215</v>
      </c>
      <c r="AG68" s="273"/>
      <c r="AH68" s="4">
        <f t="shared" si="197"/>
        <v>1.8619365485952417</v>
      </c>
      <c r="AI68" s="4">
        <f t="shared" si="197"/>
        <v>4.5889875196320355</v>
      </c>
      <c r="AJ68" s="4">
        <f>$C68*AH68</f>
        <v>10.799231981852401</v>
      </c>
      <c r="AK68" s="267">
        <f>$D68*AI68</f>
        <v>22.623708471785935</v>
      </c>
      <c r="AL68" s="273"/>
      <c r="AM68" s="4">
        <f t="shared" si="198"/>
        <v>0.65141108488424526</v>
      </c>
      <c r="AN68" s="4">
        <f t="shared" si="198"/>
        <v>3.8648184425634526</v>
      </c>
      <c r="AO68" s="4">
        <f>$C68*AM68</f>
        <v>3.7781842923286222</v>
      </c>
      <c r="AP68" s="267">
        <f>$D68*AN68</f>
        <v>19.053554921837822</v>
      </c>
      <c r="AQ68" s="273"/>
      <c r="AR68" s="4">
        <f t="shared" si="199"/>
        <v>0</v>
      </c>
      <c r="AS68" s="4">
        <f t="shared" si="199"/>
        <v>1.9119632750325664</v>
      </c>
      <c r="AT68" s="4">
        <f>$C68*AR68</f>
        <v>0</v>
      </c>
      <c r="AU68" s="267">
        <f>$D68*AS68</f>
        <v>9.4259789459105523</v>
      </c>
    </row>
    <row r="69" spans="1:47" x14ac:dyDescent="0.4">
      <c r="A69" s="237"/>
      <c r="F69" s="6"/>
      <c r="G69" s="4">
        <f>機器台数case1!D37</f>
        <v>4.2127217999999997</v>
      </c>
      <c r="H69" s="4">
        <f>G69*(1-G$3)</f>
        <v>4.2127217999999997</v>
      </c>
      <c r="I69" s="4">
        <f>G69*G$3</f>
        <v>0</v>
      </c>
      <c r="J69" s="4">
        <f>SUM(J70:J73)</f>
        <v>24.638270015378772</v>
      </c>
      <c r="K69" s="267">
        <f t="shared" si="133"/>
        <v>0</v>
      </c>
      <c r="L69" s="273">
        <f>機器台数case1!F37</f>
        <v>4.0962738138190113</v>
      </c>
      <c r="M69" s="4">
        <f>L69*(1-L$3)</f>
        <v>4.0962738138190113</v>
      </c>
      <c r="N69" s="4">
        <f>L69*L$3</f>
        <v>0</v>
      </c>
      <c r="O69" s="4">
        <f>SUM(O70:O73)</f>
        <v>23.957219363927184</v>
      </c>
      <c r="P69" s="4">
        <f>SUM(P70:P73)</f>
        <v>0</v>
      </c>
      <c r="Q69" s="6"/>
      <c r="R69" s="273">
        <f>機器台数case1!H37</f>
        <v>4.0084957357664601</v>
      </c>
      <c r="S69" s="4">
        <f>R69*(1-R$3)</f>
        <v>4.0084957357664601</v>
      </c>
      <c r="T69" s="4">
        <f>R69*R$3</f>
        <v>0</v>
      </c>
      <c r="U69" s="4">
        <f>SUM(U70:U73)</f>
        <v>23.443845803752918</v>
      </c>
      <c r="V69" s="4">
        <f>SUM(V70:V73)</f>
        <v>0</v>
      </c>
      <c r="W69" s="273">
        <f>機器台数case1!J37</f>
        <v>3.6605849057424051</v>
      </c>
      <c r="X69" s="4">
        <f>W69*(1-W$3)</f>
        <v>3.6605849057424051</v>
      </c>
      <c r="Y69" s="4">
        <f>W69*W$3</f>
        <v>0</v>
      </c>
      <c r="Z69" s="4">
        <f>SUM(Z70:Z73)</f>
        <v>21.409075558205913</v>
      </c>
      <c r="AA69" s="4">
        <f>SUM(AA70:AA73)</f>
        <v>0</v>
      </c>
      <c r="AB69" s="273">
        <f>機器台数case1!L37+機器台数case1!L47</f>
        <v>5.7369603974296952</v>
      </c>
      <c r="AC69" s="4">
        <f>機器台数case1!L37</f>
        <v>3.3388164861634575</v>
      </c>
      <c r="AD69" s="4">
        <f>機器台数case1!L47</f>
        <v>2.3981439112662377</v>
      </c>
      <c r="AE69" s="4">
        <f>SUM(AE70:AE73)</f>
        <v>19.527200233799778</v>
      </c>
      <c r="AF69" s="4">
        <f>SUM(AF70:AF73)</f>
        <v>11.921793563080049</v>
      </c>
      <c r="AG69" s="273">
        <f>機器台数case1!N37</f>
        <v>0.94274768397870889</v>
      </c>
      <c r="AH69" s="4">
        <f>機器台数case1!N37</f>
        <v>0.94274768397870889</v>
      </c>
      <c r="AI69" s="4">
        <f>機器台数case1!N47</f>
        <v>2.3235256642898454</v>
      </c>
      <c r="AJ69" s="4">
        <f>SUM(AJ70:AJ73)</f>
        <v>5.5136971053347033</v>
      </c>
      <c r="AK69" s="4">
        <f>SUM(AK70:AK73)</f>
        <v>11.550846960454452</v>
      </c>
      <c r="AL69" s="273">
        <f>機器台数case1!S37</f>
        <v>0</v>
      </c>
      <c r="AM69" s="4">
        <f>機器台数case1!P37</f>
        <v>0.32982664852677551</v>
      </c>
      <c r="AN69" s="4">
        <f>機器台数case1!P47</f>
        <v>1.9568597213872894</v>
      </c>
      <c r="AO69" s="4">
        <f>SUM(AO70:AO73)</f>
        <v>1.9290041950242538</v>
      </c>
      <c r="AP69" s="4">
        <f>SUM(AP70:AP73)</f>
        <v>9.7280557353906136</v>
      </c>
      <c r="AQ69" s="273">
        <f>機器台数case1!X37</f>
        <v>0</v>
      </c>
      <c r="AR69" s="4">
        <f>機器台数case1!R37</f>
        <v>0</v>
      </c>
      <c r="AS69" s="4">
        <f>機器台数case1!R47</f>
        <v>1.0617624607453906</v>
      </c>
      <c r="AT69" s="4">
        <f>SUM(AT70:AT73)</f>
        <v>0</v>
      </c>
      <c r="AU69" s="4">
        <f>SUM(AU70:AU73)</f>
        <v>5.2782957730634497</v>
      </c>
    </row>
    <row r="70" spans="1:47" x14ac:dyDescent="0.4">
      <c r="A70" t="s">
        <v>16</v>
      </c>
      <c r="B70">
        <v>2</v>
      </c>
      <c r="C70" s="1">
        <v>4.3</v>
      </c>
      <c r="D70" s="1">
        <f t="shared" ref="D70:D75" si="200">C70*0.85</f>
        <v>3.6549999999999998</v>
      </c>
      <c r="E70" s="4">
        <v>700</v>
      </c>
      <c r="F70" s="6">
        <v>0.16623129897886488</v>
      </c>
      <c r="H70" s="4">
        <f>F70*H$69</f>
        <v>0.70028621705058181</v>
      </c>
      <c r="I70" s="4">
        <f>$F70*I$69</f>
        <v>0</v>
      </c>
      <c r="J70" s="267">
        <f>C70*H70</f>
        <v>3.0112307333175017</v>
      </c>
      <c r="K70" s="267">
        <f t="shared" si="133"/>
        <v>0</v>
      </c>
      <c r="L70" s="273">
        <f>SUM(M70:M73)</f>
        <v>4.0962738138190113</v>
      </c>
      <c r="M70" s="4">
        <f t="shared" ref="M70:N73" si="201">$F70*M$69</f>
        <v>0.68092891704424319</v>
      </c>
      <c r="N70" s="4">
        <f t="shared" si="201"/>
        <v>0</v>
      </c>
      <c r="O70" s="4">
        <f>$C70*M70</f>
        <v>2.9279943432902455</v>
      </c>
      <c r="P70" s="267">
        <f>$D70*N70</f>
        <v>0</v>
      </c>
      <c r="Q70" s="6">
        <f>E70/$A$71</f>
        <v>0.16623129897886488</v>
      </c>
      <c r="R70" s="273">
        <f>SUM(S70:S73)</f>
        <v>4.0084957357664601</v>
      </c>
      <c r="S70" s="4">
        <f t="shared" ref="S70:T73" si="202">$F70*S$69</f>
        <v>0.66633745310769943</v>
      </c>
      <c r="T70" s="4">
        <f t="shared" si="202"/>
        <v>0</v>
      </c>
      <c r="U70" s="4">
        <f>$C70*S70</f>
        <v>2.8652510483631075</v>
      </c>
      <c r="V70" s="267">
        <f>$D70*T70</f>
        <v>0</v>
      </c>
      <c r="W70" s="273">
        <f>SUM(X70:X73)</f>
        <v>3.6605849057424047</v>
      </c>
      <c r="X70" s="4">
        <f t="shared" ref="X70:Y73" si="203">$F70*X$69</f>
        <v>0.60850378390398563</v>
      </c>
      <c r="Y70" s="4">
        <f t="shared" si="203"/>
        <v>0</v>
      </c>
      <c r="Z70" s="4">
        <f>$C70*X70</f>
        <v>2.6165662707871382</v>
      </c>
      <c r="AA70" s="267">
        <f>$D70*Y70</f>
        <v>0</v>
      </c>
      <c r="AB70" s="273">
        <f>SUM(AC70:AC73)</f>
        <v>3.3388164861634575</v>
      </c>
      <c r="AC70" s="4">
        <f t="shared" ref="AC70:AD73" si="204">$F70*AC$69</f>
        <v>0.55501580154700081</v>
      </c>
      <c r="AD70" s="4">
        <f t="shared" si="204"/>
        <v>0.39864657750804239</v>
      </c>
      <c r="AE70" s="4">
        <f>$C70*AC70</f>
        <v>2.3865679466521033</v>
      </c>
      <c r="AF70" s="267">
        <f>$D70*AD70</f>
        <v>1.4570532407918948</v>
      </c>
      <c r="AG70" s="273">
        <f>SUM(AH70:AH73)</f>
        <v>0.94274768397870889</v>
      </c>
      <c r="AH70" s="4">
        <f t="shared" ref="AH70:AI73" si="205">$F70*AH$69</f>
        <v>0.15671417211709718</v>
      </c>
      <c r="AI70" s="4">
        <f t="shared" si="205"/>
        <v>0.38624268938563094</v>
      </c>
      <c r="AJ70" s="4">
        <f>$C70*AH70</f>
        <v>0.67387094010351789</v>
      </c>
      <c r="AK70" s="267">
        <f>$D70*AI70</f>
        <v>1.411717029704481</v>
      </c>
      <c r="AL70" s="273">
        <f>SUM(AM70:AM73)</f>
        <v>0.32982664852677551</v>
      </c>
      <c r="AM70" s="4">
        <f t="shared" ref="AM70:AN73" si="206">$F70*AM$69</f>
        <v>5.4827512222451406E-2</v>
      </c>
      <c r="AN70" s="4">
        <f t="shared" si="206"/>
        <v>0.32529133340562871</v>
      </c>
      <c r="AO70" s="4">
        <f>$C70*AM70</f>
        <v>0.23575830255654104</v>
      </c>
      <c r="AP70" s="267">
        <f>$D70*AN70</f>
        <v>1.1889398235975728</v>
      </c>
      <c r="AQ70" s="273">
        <f>SUM(AR70:AR73)</f>
        <v>0</v>
      </c>
      <c r="AR70" s="4">
        <f t="shared" ref="AR70:AS73" si="207">$F70*AR$69</f>
        <v>0</v>
      </c>
      <c r="AS70" s="4">
        <f t="shared" si="207"/>
        <v>0.1764981530567023</v>
      </c>
      <c r="AT70" s="4">
        <f>$C70*AR70</f>
        <v>0</v>
      </c>
      <c r="AU70" s="267">
        <f>$D70*AS70</f>
        <v>0.64510074942224682</v>
      </c>
    </row>
    <row r="71" spans="1:47" x14ac:dyDescent="0.4">
      <c r="A71" s="5">
        <f>SUM(E70:E73)</f>
        <v>4211</v>
      </c>
      <c r="B71">
        <v>3</v>
      </c>
      <c r="C71" s="1">
        <v>4.4000000000000004</v>
      </c>
      <c r="D71" s="1">
        <f t="shared" si="200"/>
        <v>3.74</v>
      </c>
      <c r="E71" s="4">
        <v>1138</v>
      </c>
      <c r="F71" s="6">
        <v>0.27024459748278318</v>
      </c>
      <c r="H71" s="4">
        <f>F71*H$69</f>
        <v>1.1384653071479458</v>
      </c>
      <c r="I71" s="4">
        <f>$F71*I$69</f>
        <v>0</v>
      </c>
      <c r="J71" s="267">
        <f>C71*H71</f>
        <v>5.0092473514509619</v>
      </c>
      <c r="K71" s="267">
        <f t="shared" si="133"/>
        <v>0</v>
      </c>
      <c r="L71" s="273"/>
      <c r="M71" s="4">
        <f t="shared" si="201"/>
        <v>1.1069958679947838</v>
      </c>
      <c r="N71" s="4">
        <f t="shared" si="201"/>
        <v>0</v>
      </c>
      <c r="O71" s="4">
        <f>$C71*M71</f>
        <v>4.8707818191770489</v>
      </c>
      <c r="P71" s="267">
        <f>$D71*N71</f>
        <v>0</v>
      </c>
      <c r="Q71" s="6">
        <f>E71/$A$71</f>
        <v>0.27024459748278318</v>
      </c>
      <c r="R71" s="273"/>
      <c r="S71" s="4">
        <f t="shared" si="202"/>
        <v>1.0832743166236598</v>
      </c>
      <c r="T71" s="4">
        <f t="shared" si="202"/>
        <v>0</v>
      </c>
      <c r="U71" s="4">
        <f>$C71*S71</f>
        <v>4.7664069931441038</v>
      </c>
      <c r="V71" s="267">
        <f>$D71*T71</f>
        <v>0</v>
      </c>
      <c r="W71" s="273"/>
      <c r="X71" s="4">
        <f t="shared" si="203"/>
        <v>0.98925329440390808</v>
      </c>
      <c r="Y71" s="4">
        <f t="shared" si="203"/>
        <v>0</v>
      </c>
      <c r="Z71" s="4">
        <f>$C71*X71</f>
        <v>4.3527144953771959</v>
      </c>
      <c r="AA71" s="267">
        <f>$D71*Y71</f>
        <v>0</v>
      </c>
      <c r="AB71" s="273"/>
      <c r="AC71" s="4">
        <f t="shared" si="204"/>
        <v>0.90229711737212404</v>
      </c>
      <c r="AD71" s="4">
        <f t="shared" si="204"/>
        <v>0.64808543600593171</v>
      </c>
      <c r="AE71" s="4">
        <f>$C71*AC71</f>
        <v>3.9701073164373462</v>
      </c>
      <c r="AF71" s="267">
        <f>$D71*AD71</f>
        <v>2.4238395306621849</v>
      </c>
      <c r="AG71" s="273"/>
      <c r="AH71" s="4">
        <f t="shared" si="205"/>
        <v>0.25477246838465228</v>
      </c>
      <c r="AI71" s="4">
        <f t="shared" si="205"/>
        <v>0.62792025788692563</v>
      </c>
      <c r="AJ71" s="4">
        <f>$C71*AH71</f>
        <v>1.1209988608924701</v>
      </c>
      <c r="AK71" s="267">
        <f>$D71*AI71</f>
        <v>2.3484217644971022</v>
      </c>
      <c r="AL71" s="273"/>
      <c r="AM71" s="4">
        <f t="shared" si="206"/>
        <v>8.913386987021385E-2</v>
      </c>
      <c r="AN71" s="4">
        <f t="shared" si="206"/>
        <v>0.52883076773657922</v>
      </c>
      <c r="AO71" s="4">
        <f>$C71*AM71</f>
        <v>0.39218902742894096</v>
      </c>
      <c r="AP71" s="267">
        <f>$D71*AN71</f>
        <v>1.9778270713348065</v>
      </c>
      <c r="AQ71" s="273"/>
      <c r="AR71" s="4">
        <f t="shared" si="207"/>
        <v>0</v>
      </c>
      <c r="AS71" s="4">
        <f t="shared" si="207"/>
        <v>0.28693556882646748</v>
      </c>
      <c r="AT71" s="4">
        <f>$C71*AR71</f>
        <v>0</v>
      </c>
      <c r="AU71" s="267">
        <f>$D71*AS71</f>
        <v>1.0731390274109884</v>
      </c>
    </row>
    <row r="72" spans="1:47" x14ac:dyDescent="0.4">
      <c r="A72" s="237">
        <f>A71/$E$75</f>
        <v>2.7839426472114626E-3</v>
      </c>
      <c r="B72">
        <v>4</v>
      </c>
      <c r="C72" s="1">
        <v>7</v>
      </c>
      <c r="D72" s="1">
        <f t="shared" si="200"/>
        <v>5.95</v>
      </c>
      <c r="E72" s="4">
        <v>1229</v>
      </c>
      <c r="F72" s="6">
        <v>0.2918546663500356</v>
      </c>
      <c r="H72" s="4">
        <f>F72*H$69</f>
        <v>1.2295025153645214</v>
      </c>
      <c r="I72" s="4">
        <f>$F72*I$69</f>
        <v>0</v>
      </c>
      <c r="J72" s="267">
        <f>C72*H72</f>
        <v>8.6065176075516501</v>
      </c>
      <c r="K72" s="267">
        <f t="shared" si="133"/>
        <v>0</v>
      </c>
      <c r="L72" s="273"/>
      <c r="M72" s="4">
        <f t="shared" si="201"/>
        <v>1.1955166272105353</v>
      </c>
      <c r="N72" s="4">
        <f t="shared" si="201"/>
        <v>0</v>
      </c>
      <c r="O72" s="4">
        <f>$C72*M72</f>
        <v>8.3686163904737469</v>
      </c>
      <c r="P72" s="267">
        <f>$D72*N72</f>
        <v>0</v>
      </c>
      <c r="Q72" s="6">
        <f>E72/$A$71</f>
        <v>0.2918546663500356</v>
      </c>
      <c r="R72" s="273"/>
      <c r="S72" s="4">
        <f t="shared" si="202"/>
        <v>1.1698981855276607</v>
      </c>
      <c r="T72" s="4">
        <f t="shared" si="202"/>
        <v>0</v>
      </c>
      <c r="U72" s="4">
        <f>$C72*S72</f>
        <v>8.1892872986936247</v>
      </c>
      <c r="V72" s="267">
        <f>$D72*T72</f>
        <v>0</v>
      </c>
      <c r="W72" s="273"/>
      <c r="X72" s="4">
        <f t="shared" si="203"/>
        <v>1.0683587863114261</v>
      </c>
      <c r="Y72" s="4">
        <f t="shared" si="203"/>
        <v>0</v>
      </c>
      <c r="Z72" s="4">
        <f>$C72*X72</f>
        <v>7.4785115041799823</v>
      </c>
      <c r="AA72" s="267">
        <f>$D72*Y72</f>
        <v>0</v>
      </c>
      <c r="AB72" s="273"/>
      <c r="AC72" s="4">
        <f t="shared" si="204"/>
        <v>0.97444917157323407</v>
      </c>
      <c r="AD72" s="4">
        <f t="shared" si="204"/>
        <v>0.6999094910819772</v>
      </c>
      <c r="AE72" s="4">
        <f>$C72*AC72</f>
        <v>6.8211442010126389</v>
      </c>
      <c r="AF72" s="267">
        <f>$D72*AD72</f>
        <v>4.1644614719377646</v>
      </c>
      <c r="AG72" s="273"/>
      <c r="AH72" s="4">
        <f t="shared" si="205"/>
        <v>0.27514531075987486</v>
      </c>
      <c r="AI72" s="4">
        <f t="shared" si="205"/>
        <v>0.6781318075070577</v>
      </c>
      <c r="AJ72" s="4">
        <f>$C72*AH72</f>
        <v>1.926017175319124</v>
      </c>
      <c r="AK72" s="267">
        <f>$D72*AI72</f>
        <v>4.0348842546669932</v>
      </c>
      <c r="AL72" s="273"/>
      <c r="AM72" s="4">
        <f t="shared" si="206"/>
        <v>9.6261446459132524E-2</v>
      </c>
      <c r="AN72" s="4">
        <f t="shared" si="206"/>
        <v>0.57111864107931098</v>
      </c>
      <c r="AO72" s="4">
        <f>$C72*AM72</f>
        <v>0.67383012521392771</v>
      </c>
      <c r="AP72" s="267">
        <f>$D72*AN72</f>
        <v>3.3981559144219005</v>
      </c>
      <c r="AQ72" s="273"/>
      <c r="AR72" s="4">
        <f t="shared" si="207"/>
        <v>0</v>
      </c>
      <c r="AS72" s="4">
        <f t="shared" si="207"/>
        <v>0.30988032872383875</v>
      </c>
      <c r="AT72" s="4">
        <f>$C72*AR72</f>
        <v>0</v>
      </c>
      <c r="AU72" s="267">
        <f>$D72*AS72</f>
        <v>1.8437879559068406</v>
      </c>
    </row>
    <row r="73" spans="1:47" x14ac:dyDescent="0.4">
      <c r="B73">
        <v>5</v>
      </c>
      <c r="C73" s="1">
        <v>7</v>
      </c>
      <c r="D73" s="1">
        <f t="shared" si="200"/>
        <v>5.95</v>
      </c>
      <c r="E73" s="4">
        <v>1144</v>
      </c>
      <c r="F73" s="6">
        <v>0.27166943718831632</v>
      </c>
      <c r="H73" s="4">
        <f>F73*H$69</f>
        <v>1.1444677604369509</v>
      </c>
      <c r="I73" s="4">
        <f>$F73*I$69</f>
        <v>0</v>
      </c>
      <c r="J73" s="267">
        <f>C73*H73</f>
        <v>8.0112743230586556</v>
      </c>
      <c r="K73" s="267">
        <f t="shared" si="133"/>
        <v>0</v>
      </c>
      <c r="L73" s="273"/>
      <c r="M73" s="4">
        <f t="shared" si="201"/>
        <v>1.1128324015694488</v>
      </c>
      <c r="N73" s="4">
        <f t="shared" si="201"/>
        <v>0</v>
      </c>
      <c r="O73" s="4">
        <f>$C73*M73</f>
        <v>7.7898268109861419</v>
      </c>
      <c r="P73" s="267">
        <f>$D73*N73</f>
        <v>0</v>
      </c>
      <c r="Q73" s="6">
        <f>E73/$A$71</f>
        <v>0.27166943718831632</v>
      </c>
      <c r="R73" s="273"/>
      <c r="S73" s="4">
        <f t="shared" si="202"/>
        <v>1.0889857805074401</v>
      </c>
      <c r="T73" s="4">
        <f t="shared" si="202"/>
        <v>0</v>
      </c>
      <c r="U73" s="4">
        <f>$C73*S73</f>
        <v>7.6229004635520807</v>
      </c>
      <c r="V73" s="267">
        <f>$D73*T73</f>
        <v>0</v>
      </c>
      <c r="W73" s="273"/>
      <c r="X73" s="4">
        <f t="shared" si="203"/>
        <v>0.99446904112308521</v>
      </c>
      <c r="Y73" s="4">
        <f t="shared" si="203"/>
        <v>0</v>
      </c>
      <c r="Z73" s="4">
        <f>$C73*X73</f>
        <v>6.9612832878615967</v>
      </c>
      <c r="AA73" s="267">
        <f>$D73*Y73</f>
        <v>0</v>
      </c>
      <c r="AB73" s="273"/>
      <c r="AC73" s="4">
        <f t="shared" si="204"/>
        <v>0.90705439567109847</v>
      </c>
      <c r="AD73" s="4">
        <f t="shared" si="204"/>
        <v>0.65150240667028636</v>
      </c>
      <c r="AE73" s="4">
        <f>$C73*AC73</f>
        <v>6.3493807696976896</v>
      </c>
      <c r="AF73" s="267">
        <f>$D73*AD73</f>
        <v>3.8764393196882039</v>
      </c>
      <c r="AG73" s="273"/>
      <c r="AH73" s="4">
        <f t="shared" si="205"/>
        <v>0.25611573271708454</v>
      </c>
      <c r="AI73" s="4">
        <f t="shared" si="205"/>
        <v>0.63123090951023109</v>
      </c>
      <c r="AJ73" s="4">
        <f>$C73*AH73</f>
        <v>1.7928101290195917</v>
      </c>
      <c r="AK73" s="267">
        <f>$D73*AI73</f>
        <v>3.7558239115858751</v>
      </c>
      <c r="AL73" s="273"/>
      <c r="AM73" s="4">
        <f t="shared" si="206"/>
        <v>8.9603819974977725E-2</v>
      </c>
      <c r="AN73" s="4">
        <f t="shared" si="206"/>
        <v>0.53161897916577039</v>
      </c>
      <c r="AO73" s="4">
        <f>$C73*AM73</f>
        <v>0.62722673982484412</v>
      </c>
      <c r="AP73" s="267">
        <f>$D73*AN73</f>
        <v>3.1631329260363339</v>
      </c>
      <c r="AQ73" s="273"/>
      <c r="AR73" s="4">
        <f t="shared" si="207"/>
        <v>0</v>
      </c>
      <c r="AS73" s="4">
        <f t="shared" si="207"/>
        <v>0.28844841013838207</v>
      </c>
      <c r="AT73" s="4">
        <f>$C73*AR73</f>
        <v>0</v>
      </c>
      <c r="AU73" s="267">
        <f>$D73*AS73</f>
        <v>1.7162680403233734</v>
      </c>
    </row>
    <row r="74" spans="1:47" x14ac:dyDescent="0.4">
      <c r="A74" t="s">
        <v>20</v>
      </c>
      <c r="D74" s="1">
        <f t="shared" si="200"/>
        <v>0</v>
      </c>
      <c r="E74" s="4">
        <f>SUM(E4:E73)</f>
        <v>1812603</v>
      </c>
      <c r="F74" s="6">
        <v>1</v>
      </c>
      <c r="H74" s="267">
        <f>SUM(H3,H11,H19,H27,H35,H43,H48,H56,H64,H69)</f>
        <v>1429.2405999999999</v>
      </c>
      <c r="I74" s="267">
        <f>SUM(I3,I12,I19,I27,I35,I43,I48,I56,I64,I69)</f>
        <v>0</v>
      </c>
      <c r="J74" s="267">
        <f>SUM(J3,J11,J19,J27,J35,J43,J48,J56,J64,J69)</f>
        <v>4085.3315011568311</v>
      </c>
      <c r="K74" s="267">
        <f>SUM(K3,K11,K19,K27,K35,K43,K48,K56,K64,K69)</f>
        <v>0</v>
      </c>
      <c r="L74" s="273"/>
      <c r="M74" s="267">
        <f>SUM(M3,M11,M19,M27,M35,M43,M48,M56,M64,M69)</f>
        <v>1437.424604606337</v>
      </c>
      <c r="N74" s="267">
        <f>SUM(N3,N12,N19,N27,N35,N43,N48,N56,N64,N69)</f>
        <v>0</v>
      </c>
      <c r="O74" s="4">
        <f>SUM(O3,O11,O19,O27,O35,O43,O48,O56,O64,O69)</f>
        <v>4100.5983767916514</v>
      </c>
      <c r="P74" s="267">
        <f>SUM(P3,P11,P19,P27,P35,P43,P48,P56,P64,P69)</f>
        <v>0</v>
      </c>
      <c r="Q74" s="6">
        <f>E74/$E$74</f>
        <v>1</v>
      </c>
      <c r="R74" s="273"/>
      <c r="S74" s="267">
        <f>SUM(S3,S11,S19,S27,S35,S43,S48,S56,S64,S69)</f>
        <v>1471.1652452554868</v>
      </c>
      <c r="T74" s="267">
        <f>SUM(T3,T12,T19,T27,T35,T43,T48,T56,T64,T69)</f>
        <v>0</v>
      </c>
      <c r="U74" s="4">
        <f>SUM(U3,U11,U19,U27,U35,U43,U48,U56,U64,U69)</f>
        <v>4186.2188656559401</v>
      </c>
      <c r="V74" s="267">
        <f>SUM(V3,V11,V19,V27,V35,V43,V48,V56,V64,V69)</f>
        <v>0</v>
      </c>
      <c r="W74" s="273"/>
      <c r="X74" s="267">
        <f>SUM(X3,X11,X19,X27,X35,X43,X48,X56,X64,X69)</f>
        <v>1435.1949685808015</v>
      </c>
      <c r="Y74" s="267">
        <f>SUM(Y3,Y12,Y19,Y27,Y35,Y43,Y48,Y56,Y64,Y69)</f>
        <v>0</v>
      </c>
      <c r="Z74" s="4">
        <f>SUM(Z3,Z11,Z19,Z27,Z35,Z43,Z48,Z56,Z64,Z69)</f>
        <v>4069.4184232813027</v>
      </c>
      <c r="AA74" s="267">
        <f>SUM(AA3,AA11,AA19,AA27,AA35,AA43,AA48,AA56,AA64,AA69)</f>
        <v>0</v>
      </c>
      <c r="AB74" s="273"/>
      <c r="AC74" s="267">
        <f>SUM(AC3,AC11,AC19,AC27,AC35,AC43,AC48,AC56,AC64,AC69)</f>
        <v>812.36725864670768</v>
      </c>
      <c r="AD74" s="267">
        <f>SUM(AD3,AD11,AD19,AD27,AD35,AD43,AD48,AD56,AD64,AD69)</f>
        <v>769.94340217149465</v>
      </c>
      <c r="AE74" s="4">
        <f>SUM(AE3,AE11,AE19,AE27,AE35,AE43,AE48,AE56,AE64,AE69)</f>
        <v>2396.0981675897506</v>
      </c>
      <c r="AF74" s="267">
        <f>SUM(AF3,AF11,AF19,AF27,AF35,AF43,AF48,AF56,AF64,AF69)</f>
        <v>1929.6249987537719</v>
      </c>
      <c r="AG74" s="273"/>
      <c r="AH74" s="267">
        <f>SUM(AH3,AH11,AH19,AH27,AH35,AH43,AH48,AH56,AH64,AH69)</f>
        <v>314.24922799290295</v>
      </c>
      <c r="AI74" s="267">
        <f>SUM(AI3,AI11,AI19,AI27,AI35,AI43,AI48,AI56,AI64,AI69)</f>
        <v>1036.9969119716116</v>
      </c>
      <c r="AJ74" s="4">
        <f>SUM(AJ3,AJ11,AJ19,AJ27,AJ35,AJ43,AJ48,AJ56,AJ64,AJ69)</f>
        <v>899.20112138368506</v>
      </c>
      <c r="AK74" s="267">
        <f>SUM(AK3,AK11,AK19,AK27,AK35,AK43,AK48,AK56,AK64,AK69)</f>
        <v>2515.151462865148</v>
      </c>
      <c r="AL74" s="273"/>
      <c r="AM74" s="267">
        <f>SUM(AM3,AM11,AM19,AM27,AM35,AM43,AM48,AM56,AM64,AM69)</f>
        <v>109.94221617559184</v>
      </c>
      <c r="AN74" s="267">
        <f>SUM(AN3,AN11,AN19,AN27,AN35,AN43,AN48,AN56,AN64,AN69)</f>
        <v>1126.7343643265915</v>
      </c>
      <c r="AO74" s="4">
        <f>SUM(AO3,AO11,AO19,AO27,AO35,AO43,AO48,AO56,AO64,AO69)</f>
        <v>314.59158930609169</v>
      </c>
      <c r="AP74" s="267">
        <f>SUM(AP3,AP11,AP19,AP27,AP35,AP43,AP48,AP56,AP64,AP69)</f>
        <v>2685.868820603373</v>
      </c>
      <c r="AQ74" s="273"/>
      <c r="AR74" s="267">
        <f>SUM(AR3,AR11,AR19,AR27,AR35,AR43,AR48,AR56,AR64,AR69)</f>
        <v>0</v>
      </c>
      <c r="AS74" s="267">
        <f>SUM(AS3,AS11,AS19,AS27,AS35,AS43,AS48,AS56,AS64,AS69)</f>
        <v>954.27474106871205</v>
      </c>
      <c r="AT74" s="4">
        <f>SUM(AT3,AT11,AT19,AT27,AT35,AT43,AT48,AT56,AT64,AT69)</f>
        <v>0</v>
      </c>
      <c r="AU74" s="267">
        <f>SUM(AU3,AU11,AU19,AU27,AU35,AU43,AU48,AU56,AU64,AU69)</f>
        <v>2231.1580750759854</v>
      </c>
    </row>
    <row r="75" spans="1:47" x14ac:dyDescent="0.4">
      <c r="A75" t="s">
        <v>74</v>
      </c>
      <c r="D75" s="1">
        <f t="shared" si="200"/>
        <v>0</v>
      </c>
      <c r="E75" s="4">
        <f>E74-A59</f>
        <v>1512603</v>
      </c>
      <c r="J75" s="267"/>
      <c r="K75" s="267"/>
      <c r="AC75" s="172">
        <f>AC74+AD74</f>
        <v>1582.3106608182025</v>
      </c>
      <c r="AH75" s="172">
        <f>AH74-AH56</f>
        <v>314.24922799290295</v>
      </c>
      <c r="AI75" s="172">
        <f>AI74-AI56</f>
        <v>656.99691197161155</v>
      </c>
      <c r="AM75" s="172">
        <f>AM74-AM56</f>
        <v>109.94221617559184</v>
      </c>
      <c r="AN75" s="172">
        <f>AN74-AN56</f>
        <v>601.7343643265915</v>
      </c>
      <c r="AR75" s="172">
        <f>AR74-AR56</f>
        <v>0</v>
      </c>
      <c r="AS75" s="172">
        <f>AS74-AS56</f>
        <v>354.27474106871205</v>
      </c>
    </row>
    <row r="76" spans="1:47" x14ac:dyDescent="0.4">
      <c r="J76" s="267"/>
      <c r="AH76" s="172">
        <f>AH74+AI74</f>
        <v>1351.2461399645144</v>
      </c>
      <c r="AM76" s="172">
        <f>AM74+AN74</f>
        <v>1236.6765805021832</v>
      </c>
      <c r="AR76" s="172">
        <f>AR74+AS74</f>
        <v>954.27474106871205</v>
      </c>
    </row>
  </sheetData>
  <phoneticPr fontId="2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3BDD5-E412-4B8F-8130-836A53438823}">
  <dimension ref="A1:AT82"/>
  <sheetViews>
    <sheetView topLeftCell="A34" workbookViewId="0">
      <selection activeCell="AR47" sqref="AR47"/>
    </sheetView>
  </sheetViews>
  <sheetFormatPr defaultRowHeight="15" x14ac:dyDescent="0.4"/>
  <cols>
    <col min="1" max="1" width="19.25" bestFit="1" customWidth="1"/>
    <col min="3" max="3" width="13.875" style="1" bestFit="1" customWidth="1"/>
    <col min="4" max="4" width="11.5" style="1" bestFit="1" customWidth="1"/>
    <col min="5" max="5" width="9.375" style="4" hidden="1" customWidth="1"/>
    <col min="6" max="6" width="8.75" style="4"/>
    <col min="7" max="7" width="7.25" style="4" customWidth="1"/>
    <col min="8" max="8" width="10.375" style="4" bestFit="1" customWidth="1"/>
    <col min="9" max="9" width="8.25" style="4" hidden="1" customWidth="1"/>
    <col min="10" max="10" width="12.375" style="4" bestFit="1" customWidth="1"/>
    <col min="11" max="11" width="0" style="4" hidden="1" customWidth="1"/>
    <col min="14" max="14" width="0" hidden="1" customWidth="1"/>
    <col min="16" max="16" width="0" style="302" hidden="1" customWidth="1"/>
    <col min="43" max="43" width="0" hidden="1" customWidth="1"/>
    <col min="45" max="45" width="0" hidden="1" customWidth="1"/>
  </cols>
  <sheetData>
    <row r="1" spans="1:46" x14ac:dyDescent="0.4">
      <c r="A1" s="8" t="s">
        <v>23</v>
      </c>
      <c r="C1" s="1" t="s">
        <v>29</v>
      </c>
      <c r="E1" s="4" t="s">
        <v>18</v>
      </c>
      <c r="G1" s="4" t="s">
        <v>42</v>
      </c>
      <c r="L1" s="4" t="s">
        <v>64</v>
      </c>
      <c r="M1" s="4"/>
      <c r="N1" s="4"/>
      <c r="O1" s="4"/>
      <c r="P1" s="297"/>
      <c r="Q1" s="4" t="s">
        <v>19</v>
      </c>
      <c r="R1" s="4"/>
      <c r="S1" s="4"/>
      <c r="T1" s="4"/>
      <c r="U1" s="297"/>
      <c r="V1" s="4" t="s">
        <v>32</v>
      </c>
      <c r="W1" s="4"/>
      <c r="X1" s="4"/>
      <c r="Y1" s="4"/>
      <c r="Z1" s="297"/>
      <c r="AA1" s="4" t="s">
        <v>172</v>
      </c>
      <c r="AB1" s="4"/>
      <c r="AC1" s="4"/>
      <c r="AD1" s="4"/>
      <c r="AE1" s="297"/>
      <c r="AF1" s="4" t="s">
        <v>173</v>
      </c>
      <c r="AG1" s="4"/>
      <c r="AH1" s="4"/>
      <c r="AI1" s="4"/>
      <c r="AJ1" s="297"/>
      <c r="AK1" s="4" t="s">
        <v>174</v>
      </c>
      <c r="AL1" s="4"/>
      <c r="AM1" s="4"/>
      <c r="AN1" s="4"/>
      <c r="AO1" s="297"/>
      <c r="AP1" s="4" t="s">
        <v>43</v>
      </c>
      <c r="AQ1" s="4"/>
      <c r="AR1" s="4"/>
      <c r="AS1" s="4"/>
      <c r="AT1" s="297"/>
    </row>
    <row r="2" spans="1:46" ht="18" customHeight="1" x14ac:dyDescent="0.4">
      <c r="C2" s="2" t="s">
        <v>4</v>
      </c>
      <c r="D2" s="2" t="s">
        <v>175</v>
      </c>
      <c r="E2" s="4" t="s">
        <v>19</v>
      </c>
      <c r="H2" s="4" t="s">
        <v>169</v>
      </c>
      <c r="I2" s="4" t="s">
        <v>170</v>
      </c>
      <c r="J2" s="4" t="s">
        <v>171</v>
      </c>
      <c r="K2" s="4" t="s">
        <v>84</v>
      </c>
      <c r="L2" s="4"/>
      <c r="M2" s="4" t="s">
        <v>169</v>
      </c>
      <c r="N2" s="4" t="s">
        <v>170</v>
      </c>
      <c r="O2" s="4" t="s">
        <v>171</v>
      </c>
      <c r="P2" s="297" t="s">
        <v>84</v>
      </c>
      <c r="Q2" s="4"/>
      <c r="R2" s="4" t="s">
        <v>169</v>
      </c>
      <c r="S2" s="4" t="s">
        <v>170</v>
      </c>
      <c r="T2" s="4" t="s">
        <v>171</v>
      </c>
      <c r="U2" s="297" t="s">
        <v>84</v>
      </c>
      <c r="V2" s="4"/>
      <c r="W2" s="4" t="s">
        <v>169</v>
      </c>
      <c r="X2" s="4" t="s">
        <v>170</v>
      </c>
      <c r="Y2" s="4" t="s">
        <v>171</v>
      </c>
      <c r="Z2" s="297" t="s">
        <v>84</v>
      </c>
      <c r="AA2" s="4"/>
      <c r="AB2" s="4" t="s">
        <v>169</v>
      </c>
      <c r="AC2" s="4" t="s">
        <v>170</v>
      </c>
      <c r="AD2" s="4" t="s">
        <v>171</v>
      </c>
      <c r="AE2" s="297" t="s">
        <v>84</v>
      </c>
      <c r="AF2" s="4"/>
      <c r="AG2" s="4" t="s">
        <v>169</v>
      </c>
      <c r="AH2" s="4" t="s">
        <v>170</v>
      </c>
      <c r="AI2" s="4" t="s">
        <v>171</v>
      </c>
      <c r="AJ2" s="297" t="s">
        <v>84</v>
      </c>
      <c r="AK2" s="4"/>
      <c r="AL2" s="4" t="s">
        <v>169</v>
      </c>
      <c r="AM2" s="4" t="s">
        <v>170</v>
      </c>
      <c r="AN2" s="4" t="s">
        <v>171</v>
      </c>
      <c r="AO2" s="297" t="s">
        <v>84</v>
      </c>
      <c r="AP2" s="4"/>
      <c r="AQ2" s="4" t="s">
        <v>169</v>
      </c>
      <c r="AR2" s="4" t="s">
        <v>170</v>
      </c>
      <c r="AS2" s="4" t="s">
        <v>171</v>
      </c>
      <c r="AT2" s="297" t="s">
        <v>84</v>
      </c>
    </row>
    <row r="3" spans="1:46" x14ac:dyDescent="0.4">
      <c r="B3" t="s">
        <v>2</v>
      </c>
      <c r="C3" s="1" t="s">
        <v>8</v>
      </c>
      <c r="F3" s="4" t="s">
        <v>21</v>
      </c>
      <c r="H3" s="4">
        <f>機器台数case1!D62</f>
        <v>352.92641975187382</v>
      </c>
      <c r="I3" s="4">
        <f>機器台数case1!D69</f>
        <v>0</v>
      </c>
      <c r="J3" s="4">
        <f>SUM(J4:J10)</f>
        <v>1372.4053890352111</v>
      </c>
      <c r="K3" s="4">
        <f>SUM(K4:K10)</f>
        <v>0</v>
      </c>
      <c r="L3" s="4"/>
      <c r="M3" s="4">
        <f>機器台数case1!F62</f>
        <v>376.81503286922901</v>
      </c>
      <c r="N3" s="4">
        <f>機器台数case1!F68</f>
        <v>0</v>
      </c>
      <c r="O3" s="4">
        <f>SUM(O4:O10)</f>
        <v>1465.2997135855946</v>
      </c>
      <c r="P3" s="297">
        <f>SUM(P4:P10)</f>
        <v>0</v>
      </c>
      <c r="Q3" s="4"/>
      <c r="R3" s="4">
        <f>機器台数case1!H62</f>
        <v>302.32815706581317</v>
      </c>
      <c r="S3" s="4">
        <f>機器台数case1!H69</f>
        <v>66.412196016389643</v>
      </c>
      <c r="T3" s="4">
        <f>SUM(T4:T10)</f>
        <v>1175.6467319899552</v>
      </c>
      <c r="U3" s="297">
        <f>SUM(U4:U10)</f>
        <v>219.51540892982746</v>
      </c>
      <c r="V3" s="4"/>
      <c r="W3" s="4">
        <f>機器台数case1!J62</f>
        <v>176.19104902836645</v>
      </c>
      <c r="X3" s="4">
        <f>機器台数case1!J69</f>
        <v>209.11280043510948</v>
      </c>
      <c r="Y3" s="4">
        <f>SUM(Y4:Y10)</f>
        <v>685.14435772844502</v>
      </c>
      <c r="Z3" s="297">
        <f>SUM(Z4:Z10)</f>
        <v>691.19054410798435</v>
      </c>
      <c r="AA3" s="4"/>
      <c r="AB3" s="4">
        <f>機器台数case1!L62</f>
        <v>131.44393022020222</v>
      </c>
      <c r="AC3" s="4">
        <f>機器台数case1!L69</f>
        <v>268.57692318711759</v>
      </c>
      <c r="AD3" s="4">
        <f>SUM(AD4:AD10)</f>
        <v>511.13871927468801</v>
      </c>
      <c r="AE3" s="297">
        <f>SUM(AE4:AE10)</f>
        <v>887.74015405220507</v>
      </c>
      <c r="AF3" s="4"/>
      <c r="AG3" s="4">
        <f>機器台数case1!N62</f>
        <v>184.28655426932744</v>
      </c>
      <c r="AH3" s="4">
        <f>機器台数case1!N69</f>
        <v>195.42820403388711</v>
      </c>
      <c r="AI3" s="4">
        <f>SUM(AI4:AI10)</f>
        <v>716.62489984107219</v>
      </c>
      <c r="AJ3" s="297">
        <f>SUM(AJ4:AJ10)</f>
        <v>645.95819289477288</v>
      </c>
      <c r="AK3" s="4"/>
      <c r="AL3" s="4">
        <f>機器台数case1!P62</f>
        <v>96.710844687536863</v>
      </c>
      <c r="AM3" s="4">
        <f>機器台数case1!P69</f>
        <v>218.1333608061091</v>
      </c>
      <c r="AN3" s="4">
        <f>SUM(AN4:AN10)</f>
        <v>376.0740964664439</v>
      </c>
      <c r="AO3" s="297">
        <f>SUM(AO4:AO10)</f>
        <v>721.00663388353541</v>
      </c>
      <c r="AP3" s="4"/>
      <c r="AQ3" s="4">
        <f>機器台数case1!R62</f>
        <v>0</v>
      </c>
      <c r="AR3" s="4">
        <f>機器台数case1!R69</f>
        <v>311.32701040033908</v>
      </c>
      <c r="AS3" s="4">
        <f>SUM(AS4:AS10)</f>
        <v>0</v>
      </c>
      <c r="AT3" s="297">
        <f>SUM(AT4:AT10)</f>
        <v>1029.0440626608013</v>
      </c>
    </row>
    <row r="4" spans="1:46" s="287" customFormat="1" x14ac:dyDescent="0.4">
      <c r="A4" s="287" t="s">
        <v>6</v>
      </c>
      <c r="B4" s="287">
        <v>1.5</v>
      </c>
      <c r="C4" s="288">
        <v>3</v>
      </c>
      <c r="D4" s="288">
        <f t="shared" ref="D4:D10" si="0">C4*0.85</f>
        <v>2.5499999999999998</v>
      </c>
      <c r="E4" s="114">
        <v>35090</v>
      </c>
      <c r="F4" s="289">
        <f t="shared" ref="F4:F10" si="1">E4/$A$6</f>
        <v>9.3588806682704875E-2</v>
      </c>
      <c r="G4" s="114">
        <f>SUM(H4:H10)</f>
        <v>352.92641975187382</v>
      </c>
      <c r="H4" s="114">
        <f t="shared" ref="H4:H10" si="2">F4*H$3</f>
        <v>33.029962471377274</v>
      </c>
      <c r="I4" s="114">
        <f t="shared" ref="I4:I10" si="3">$F4*I$3</f>
        <v>0</v>
      </c>
      <c r="J4" s="290">
        <f t="shared" ref="J4:K10" si="4">C4*H4</f>
        <v>99.089887414131823</v>
      </c>
      <c r="K4" s="290">
        <f t="shared" si="4"/>
        <v>0</v>
      </c>
      <c r="L4" s="114"/>
      <c r="M4" s="114">
        <f t="shared" ref="M4:N10" si="5">$F4*M$3</f>
        <v>35.265669266335358</v>
      </c>
      <c r="N4" s="114">
        <f t="shared" si="5"/>
        <v>0</v>
      </c>
      <c r="O4" s="290">
        <f t="shared" ref="O4:O10" si="6">$C4*M4</f>
        <v>105.79700779900608</v>
      </c>
      <c r="P4" s="298">
        <f t="shared" ref="P4:P10" si="7">$D4*N4</f>
        <v>0</v>
      </c>
      <c r="Q4" s="114"/>
      <c r="R4" s="114">
        <f t="shared" ref="R4:S10" si="8">$F4*R$3</f>
        <v>28.294531446370826</v>
      </c>
      <c r="S4" s="114">
        <f t="shared" si="8"/>
        <v>6.2154381743517932</v>
      </c>
      <c r="T4" s="290">
        <f t="shared" ref="T4:T10" si="9">$C4*R4</f>
        <v>84.883594339112477</v>
      </c>
      <c r="U4" s="298">
        <f t="shared" ref="U4:U10" si="10">$D4*S4</f>
        <v>15.849367344597072</v>
      </c>
      <c r="V4" s="114"/>
      <c r="W4" s="114">
        <f t="shared" ref="W4:X10" si="11">$F4*W$3</f>
        <v>16.489510026738763</v>
      </c>
      <c r="X4" s="114">
        <f t="shared" si="11"/>
        <v>19.570617454800505</v>
      </c>
      <c r="Y4" s="290">
        <f t="shared" ref="Y4:Y10" si="12">$C4*W4</f>
        <v>49.46853008021629</v>
      </c>
      <c r="Z4" s="298">
        <f t="shared" ref="Z4:Z10" si="13">$D4*X4</f>
        <v>49.905074509741283</v>
      </c>
      <c r="AA4" s="114"/>
      <c r="AB4" s="114">
        <f t="shared" ref="AB4:AC10" si="14">$F4*AB$3</f>
        <v>12.301680574993455</v>
      </c>
      <c r="AC4" s="114">
        <f t="shared" si="14"/>
        <v>25.135793743594824</v>
      </c>
      <c r="AD4" s="290">
        <f t="shared" ref="AD4:AD10" si="15">$C4*AB4</f>
        <v>36.905041724980364</v>
      </c>
      <c r="AE4" s="298">
        <f t="shared" ref="AE4:AE10" si="16">$D4*AC4</f>
        <v>64.096274046166798</v>
      </c>
      <c r="AF4" s="114">
        <f>SUM(AG4:AG10)</f>
        <v>184.28655426932747</v>
      </c>
      <c r="AG4" s="114">
        <f t="shared" ref="AG4:AH10" si="17">$F4*AG$3</f>
        <v>17.247158701733888</v>
      </c>
      <c r="AH4" s="114">
        <f t="shared" si="17"/>
        <v>18.289892407675666</v>
      </c>
      <c r="AI4" s="290">
        <f t="shared" ref="AI4:AI10" si="18">$C4*AG4</f>
        <v>51.741476105201663</v>
      </c>
      <c r="AJ4" s="298">
        <f t="shared" ref="AJ4:AJ10" si="19">$D4*AH4</f>
        <v>46.639225639572942</v>
      </c>
      <c r="AK4" s="114">
        <f>SUM(AL4:AL10)</f>
        <v>96.710844687536877</v>
      </c>
      <c r="AL4" s="114">
        <f t="shared" ref="AL4:AM10" si="20">$F4*AL$3</f>
        <v>9.0510525475829837</v>
      </c>
      <c r="AM4" s="114">
        <f t="shared" si="20"/>
        <v>20.414840935531657</v>
      </c>
      <c r="AN4" s="290">
        <f t="shared" ref="AN4:AN10" si="21">$C4*AL4</f>
        <v>27.153157642748951</v>
      </c>
      <c r="AO4" s="298">
        <f t="shared" ref="AO4:AO10" si="22">$D4*AM4</f>
        <v>52.057844385605719</v>
      </c>
      <c r="AP4" s="114"/>
      <c r="AQ4" s="114">
        <f t="shared" ref="AQ4:AR10" si="23">$F4*AQ$3</f>
        <v>0</v>
      </c>
      <c r="AR4" s="114">
        <f t="shared" si="23"/>
        <v>29.136723391461786</v>
      </c>
      <c r="AS4" s="290">
        <f t="shared" ref="AS4:AS10" si="24">$C4*AQ4</f>
        <v>0</v>
      </c>
      <c r="AT4" s="298">
        <f t="shared" ref="AT4:AT10" si="25">$D4*AR4</f>
        <v>74.298644648227551</v>
      </c>
    </row>
    <row r="5" spans="1:46" x14ac:dyDescent="0.4">
      <c r="A5" t="s">
        <v>30</v>
      </c>
      <c r="B5">
        <v>2</v>
      </c>
      <c r="C5" s="1">
        <v>3.3</v>
      </c>
      <c r="D5" s="1">
        <f t="shared" si="0"/>
        <v>2.8049999999999997</v>
      </c>
      <c r="E5" s="4">
        <v>99152</v>
      </c>
      <c r="F5" s="6">
        <f t="shared" si="1"/>
        <v>0.26444905557718879</v>
      </c>
      <c r="H5" s="4">
        <f t="shared" si="2"/>
        <v>93.331058391621539</v>
      </c>
      <c r="I5" s="4">
        <f t="shared" si="3"/>
        <v>0</v>
      </c>
      <c r="J5" s="267">
        <f t="shared" si="4"/>
        <v>307.99249269235105</v>
      </c>
      <c r="K5" s="267">
        <f t="shared" si="4"/>
        <v>0</v>
      </c>
      <c r="L5" s="4"/>
      <c r="M5" s="4">
        <f t="shared" si="5"/>
        <v>99.648379569554962</v>
      </c>
      <c r="N5" s="4">
        <f t="shared" si="5"/>
        <v>0</v>
      </c>
      <c r="O5" s="267">
        <f t="shared" si="6"/>
        <v>328.83965257953133</v>
      </c>
      <c r="P5" s="299">
        <f t="shared" si="7"/>
        <v>0</v>
      </c>
      <c r="Q5" s="4"/>
      <c r="R5" s="4">
        <f t="shared" si="8"/>
        <v>79.950395610446293</v>
      </c>
      <c r="S5" s="4">
        <f t="shared" si="8"/>
        <v>17.562642515341381</v>
      </c>
      <c r="T5" s="267">
        <f t="shared" si="9"/>
        <v>263.83630551447277</v>
      </c>
      <c r="U5" s="299">
        <f t="shared" si="10"/>
        <v>49.263212255532565</v>
      </c>
      <c r="V5" s="4"/>
      <c r="W5" s="4">
        <f t="shared" si="11"/>
        <v>46.593556516705675</v>
      </c>
      <c r="X5" s="4">
        <f t="shared" si="11"/>
        <v>55.299682584165851</v>
      </c>
      <c r="Y5" s="267">
        <f t="shared" si="12"/>
        <v>153.75873650512872</v>
      </c>
      <c r="Z5" s="299">
        <f t="shared" si="13"/>
        <v>155.11560964858521</v>
      </c>
      <c r="AA5" s="4"/>
      <c r="AB5" s="4">
        <f t="shared" si="14"/>
        <v>34.76022320808638</v>
      </c>
      <c r="AC5" s="4">
        <f t="shared" si="14"/>
        <v>71.024913686660426</v>
      </c>
      <c r="AD5" s="267">
        <f t="shared" si="15"/>
        <v>114.70873658668505</v>
      </c>
      <c r="AE5" s="299">
        <f t="shared" si="16"/>
        <v>199.22488289108247</v>
      </c>
      <c r="AF5" s="4"/>
      <c r="AG5" s="4">
        <f t="shared" si="17"/>
        <v>48.734405232097991</v>
      </c>
      <c r="AH5" s="4">
        <f t="shared" si="17"/>
        <v>51.680803989907602</v>
      </c>
      <c r="AI5" s="267">
        <f t="shared" si="18"/>
        <v>160.82353726592336</v>
      </c>
      <c r="AJ5" s="299">
        <f t="shared" si="19"/>
        <v>144.96465519169081</v>
      </c>
      <c r="AK5" s="4"/>
      <c r="AL5" s="4">
        <f t="shared" si="20"/>
        <v>25.575091541691307</v>
      </c>
      <c r="AM5" s="4">
        <f t="shared" si="20"/>
        <v>57.685161255053721</v>
      </c>
      <c r="AN5" s="267">
        <f t="shared" si="21"/>
        <v>84.397802087581312</v>
      </c>
      <c r="AO5" s="299">
        <f t="shared" si="22"/>
        <v>161.80687732042568</v>
      </c>
      <c r="AP5" s="4"/>
      <c r="AQ5" s="4">
        <f t="shared" si="23"/>
        <v>0</v>
      </c>
      <c r="AR5" s="4">
        <f t="shared" si="23"/>
        <v>82.330133876039298</v>
      </c>
      <c r="AS5" s="267">
        <f t="shared" si="24"/>
        <v>0</v>
      </c>
      <c r="AT5" s="299">
        <f t="shared" si="25"/>
        <v>230.93602552229021</v>
      </c>
    </row>
    <row r="6" spans="1:46" x14ac:dyDescent="0.4">
      <c r="A6" s="5">
        <f>SUM(E4:E10)</f>
        <v>374938</v>
      </c>
      <c r="B6">
        <v>2.5</v>
      </c>
      <c r="C6" s="1">
        <v>3.4</v>
      </c>
      <c r="D6" s="1">
        <f t="shared" si="0"/>
        <v>2.8899999999999997</v>
      </c>
      <c r="E6" s="4">
        <v>75562</v>
      </c>
      <c r="F6" s="6">
        <f t="shared" si="1"/>
        <v>0.20153198662178815</v>
      </c>
      <c r="H6" s="4">
        <f t="shared" si="2"/>
        <v>71.125962503910216</v>
      </c>
      <c r="I6" s="4">
        <f t="shared" si="3"/>
        <v>0</v>
      </c>
      <c r="J6" s="267">
        <f t="shared" si="4"/>
        <v>241.82827251329473</v>
      </c>
      <c r="K6" s="267">
        <f t="shared" si="4"/>
        <v>0</v>
      </c>
      <c r="L6" s="4"/>
      <c r="M6" s="4">
        <f t="shared" si="5"/>
        <v>75.940282163090117</v>
      </c>
      <c r="N6" s="4">
        <f t="shared" si="5"/>
        <v>0</v>
      </c>
      <c r="O6" s="267">
        <f t="shared" si="6"/>
        <v>258.19695935450642</v>
      </c>
      <c r="P6" s="299">
        <f t="shared" si="7"/>
        <v>0</v>
      </c>
      <c r="Q6" s="4"/>
      <c r="R6" s="4">
        <f t="shared" si="8"/>
        <v>60.928794105177325</v>
      </c>
      <c r="S6" s="4">
        <f t="shared" si="8"/>
        <v>13.384181799098609</v>
      </c>
      <c r="T6" s="267">
        <f t="shared" si="9"/>
        <v>207.15789995760289</v>
      </c>
      <c r="U6" s="299">
        <f t="shared" si="10"/>
        <v>38.680285399394975</v>
      </c>
      <c r="V6" s="4"/>
      <c r="W6" s="4">
        <f t="shared" si="11"/>
        <v>35.508132135663566</v>
      </c>
      <c r="X6" s="4">
        <f t="shared" si="11"/>
        <v>42.142918099733137</v>
      </c>
      <c r="Y6" s="267">
        <f t="shared" si="12"/>
        <v>120.72764926125612</v>
      </c>
      <c r="Z6" s="299">
        <f t="shared" si="13"/>
        <v>121.79303330822876</v>
      </c>
      <c r="AA6" s="4"/>
      <c r="AB6" s="4">
        <f t="shared" si="14"/>
        <v>26.490156386653048</v>
      </c>
      <c r="AC6" s="4">
        <f t="shared" si="14"/>
        <v>54.126840890667204</v>
      </c>
      <c r="AD6" s="267">
        <f t="shared" si="15"/>
        <v>90.066531714620368</v>
      </c>
      <c r="AE6" s="299">
        <f t="shared" si="16"/>
        <v>156.4265701740282</v>
      </c>
      <c r="AF6" s="4"/>
      <c r="AG6" s="4">
        <f t="shared" si="17"/>
        <v>37.139635389581535</v>
      </c>
      <c r="AH6" s="4">
        <f t="shared" si="17"/>
        <v>39.385034200877421</v>
      </c>
      <c r="AI6" s="267">
        <f t="shared" si="18"/>
        <v>126.27476032457722</v>
      </c>
      <c r="AJ6" s="299">
        <f t="shared" si="19"/>
        <v>113.82274884053574</v>
      </c>
      <c r="AK6" s="4"/>
      <c r="AL6" s="4">
        <f t="shared" si="20"/>
        <v>19.49032865775051</v>
      </c>
      <c r="AM6" s="4">
        <f t="shared" si="20"/>
        <v>43.960849551742463</v>
      </c>
      <c r="AN6" s="267">
        <f t="shared" si="21"/>
        <v>66.267117436351725</v>
      </c>
      <c r="AO6" s="299">
        <f t="shared" si="22"/>
        <v>127.0468552045357</v>
      </c>
      <c r="AP6" s="4"/>
      <c r="AQ6" s="4">
        <f t="shared" si="23"/>
        <v>0</v>
      </c>
      <c r="AR6" s="4">
        <f t="shared" si="23"/>
        <v>62.742350895002431</v>
      </c>
      <c r="AS6" s="267">
        <f t="shared" si="24"/>
        <v>0</v>
      </c>
      <c r="AT6" s="299">
        <f t="shared" si="25"/>
        <v>181.325394086557</v>
      </c>
    </row>
    <row r="7" spans="1:46" x14ac:dyDescent="0.4">
      <c r="A7" s="6">
        <f>A6/$E$51</f>
        <v>0.58643438981969243</v>
      </c>
      <c r="B7">
        <v>3</v>
      </c>
      <c r="C7" s="1">
        <v>3.2</v>
      </c>
      <c r="D7" s="1">
        <f t="shared" si="0"/>
        <v>2.72</v>
      </c>
      <c r="E7" s="4">
        <v>80334</v>
      </c>
      <c r="F7" s="6">
        <f t="shared" si="1"/>
        <v>0.21425942422480518</v>
      </c>
      <c r="H7" s="4">
        <f t="shared" si="2"/>
        <v>75.617811489758395</v>
      </c>
      <c r="I7" s="4">
        <f t="shared" si="3"/>
        <v>0</v>
      </c>
      <c r="J7" s="267">
        <f t="shared" si="4"/>
        <v>241.97699676722686</v>
      </c>
      <c r="K7" s="267">
        <f t="shared" si="4"/>
        <v>0</v>
      </c>
      <c r="L7" s="4"/>
      <c r="M7" s="4">
        <f t="shared" si="5"/>
        <v>80.736171981812049</v>
      </c>
      <c r="N7" s="4">
        <f t="shared" si="5"/>
        <v>0</v>
      </c>
      <c r="O7" s="267">
        <f t="shared" si="6"/>
        <v>258.35575034179857</v>
      </c>
      <c r="P7" s="299">
        <f t="shared" si="7"/>
        <v>0</v>
      </c>
      <c r="Q7" s="4"/>
      <c r="R7" s="4">
        <f t="shared" si="8"/>
        <v>64.7766568598676</v>
      </c>
      <c r="S7" s="4">
        <f t="shared" si="8"/>
        <v>14.229438879976545</v>
      </c>
      <c r="T7" s="267">
        <f t="shared" si="9"/>
        <v>207.28530195157634</v>
      </c>
      <c r="U7" s="299">
        <f t="shared" si="10"/>
        <v>38.704073753536207</v>
      </c>
      <c r="V7" s="4"/>
      <c r="W7" s="4">
        <f t="shared" si="11"/>
        <v>37.750592718382215</v>
      </c>
      <c r="X7" s="4">
        <f t="shared" si="11"/>
        <v>44.804388219263146</v>
      </c>
      <c r="Y7" s="267">
        <f t="shared" si="12"/>
        <v>120.8018966988231</v>
      </c>
      <c r="Z7" s="299">
        <f t="shared" si="13"/>
        <v>121.86793595639577</v>
      </c>
      <c r="AA7" s="4"/>
      <c r="AB7" s="4">
        <f t="shared" si="14"/>
        <v>28.163100806825998</v>
      </c>
      <c r="AC7" s="4">
        <f t="shared" si="14"/>
        <v>57.545136922141545</v>
      </c>
      <c r="AD7" s="267">
        <f t="shared" si="15"/>
        <v>90.121922581843194</v>
      </c>
      <c r="AE7" s="299">
        <f t="shared" si="16"/>
        <v>156.52277242822501</v>
      </c>
      <c r="AF7" s="4"/>
      <c r="AG7" s="4">
        <f t="shared" si="17"/>
        <v>39.48513101011941</v>
      </c>
      <c r="AH7" s="4">
        <f t="shared" si="17"/>
        <v>41.872334473588403</v>
      </c>
      <c r="AI7" s="267">
        <f t="shared" si="18"/>
        <v>126.35241923238212</v>
      </c>
      <c r="AJ7" s="299">
        <f t="shared" si="19"/>
        <v>113.89274976816046</v>
      </c>
      <c r="AK7" s="4"/>
      <c r="AL7" s="4">
        <f t="shared" si="20"/>
        <v>20.721209899046208</v>
      </c>
      <c r="AM7" s="4">
        <f t="shared" si="20"/>
        <v>46.737128290538621</v>
      </c>
      <c r="AN7" s="267">
        <f t="shared" si="21"/>
        <v>66.307871676947869</v>
      </c>
      <c r="AO7" s="299">
        <f t="shared" si="22"/>
        <v>127.12498895026506</v>
      </c>
      <c r="AP7" s="4"/>
      <c r="AQ7" s="4">
        <f t="shared" si="23"/>
        <v>0</v>
      </c>
      <c r="AR7" s="4">
        <f t="shared" si="23"/>
        <v>66.704745994006586</v>
      </c>
      <c r="AS7" s="267">
        <f t="shared" si="24"/>
        <v>0</v>
      </c>
      <c r="AT7" s="299">
        <f t="shared" si="25"/>
        <v>181.43690910369793</v>
      </c>
    </row>
    <row r="8" spans="1:46" x14ac:dyDescent="0.4">
      <c r="A8" s="6"/>
      <c r="B8">
        <v>3.5</v>
      </c>
      <c r="C8" s="1">
        <v>4.7</v>
      </c>
      <c r="D8" s="1">
        <f t="shared" si="0"/>
        <v>3.9950000000000001</v>
      </c>
      <c r="E8" s="4">
        <v>31154</v>
      </c>
      <c r="F8" s="6">
        <f t="shared" si="1"/>
        <v>8.3091071057081439E-2</v>
      </c>
      <c r="H8" s="4">
        <f t="shared" si="2"/>
        <v>29.325034221524298</v>
      </c>
      <c r="I8" s="4">
        <f t="shared" si="3"/>
        <v>0</v>
      </c>
      <c r="J8" s="267">
        <f t="shared" si="4"/>
        <v>137.8276608411642</v>
      </c>
      <c r="K8" s="267">
        <f t="shared" si="4"/>
        <v>0</v>
      </c>
      <c r="L8" s="4"/>
      <c r="M8" s="4">
        <f t="shared" si="5"/>
        <v>31.309964671513587</v>
      </c>
      <c r="N8" s="4">
        <f t="shared" si="5"/>
        <v>0</v>
      </c>
      <c r="O8" s="267">
        <f t="shared" si="6"/>
        <v>147.15683395611387</v>
      </c>
      <c r="P8" s="299">
        <f t="shared" si="7"/>
        <v>0</v>
      </c>
      <c r="Q8" s="4"/>
      <c r="R8" s="4">
        <f t="shared" si="8"/>
        <v>25.12077038131196</v>
      </c>
      <c r="S8" s="4">
        <f t="shared" si="8"/>
        <v>5.5182604982546524</v>
      </c>
      <c r="T8" s="267">
        <f t="shared" si="9"/>
        <v>118.06762079216621</v>
      </c>
      <c r="U8" s="299">
        <f t="shared" si="10"/>
        <v>22.045450690527336</v>
      </c>
      <c r="V8" s="4"/>
      <c r="W8" s="4">
        <f t="shared" si="11"/>
        <v>14.639902974437716</v>
      </c>
      <c r="X8" s="4">
        <f t="shared" si="11"/>
        <v>17.375406559898973</v>
      </c>
      <c r="Y8" s="267">
        <f t="shared" si="12"/>
        <v>68.807543979857272</v>
      </c>
      <c r="Z8" s="299">
        <f t="shared" si="13"/>
        <v>69.414749206796401</v>
      </c>
      <c r="AA8" s="4"/>
      <c r="AB8" s="4">
        <f t="shared" si="14"/>
        <v>10.921816945948876</v>
      </c>
      <c r="AC8" s="4">
        <f t="shared" si="14"/>
        <v>22.31634420883309</v>
      </c>
      <c r="AD8" s="267">
        <f t="shared" si="15"/>
        <v>51.33253964595972</v>
      </c>
      <c r="AE8" s="299">
        <f t="shared" si="16"/>
        <v>89.153795114288201</v>
      </c>
      <c r="AF8" s="4"/>
      <c r="AG8" s="4">
        <f t="shared" si="17"/>
        <v>15.312567175657382</v>
      </c>
      <c r="AH8" s="4">
        <f t="shared" si="17"/>
        <v>16.238338787937522</v>
      </c>
      <c r="AI8" s="267">
        <f t="shared" si="18"/>
        <v>71.969065725589701</v>
      </c>
      <c r="AJ8" s="299">
        <f t="shared" si="19"/>
        <v>64.872163457810402</v>
      </c>
      <c r="AK8" s="4"/>
      <c r="AL8" s="4">
        <f t="shared" si="20"/>
        <v>8.0358076679224926</v>
      </c>
      <c r="AM8" s="4">
        <f t="shared" si="20"/>
        <v>18.124934582660394</v>
      </c>
      <c r="AN8" s="267">
        <f t="shared" si="21"/>
        <v>37.768296039235715</v>
      </c>
      <c r="AO8" s="299">
        <f t="shared" si="22"/>
        <v>72.409113657728284</v>
      </c>
      <c r="AP8" s="4"/>
      <c r="AQ8" s="4">
        <f t="shared" si="23"/>
        <v>0</v>
      </c>
      <c r="AR8" s="4">
        <f t="shared" si="23"/>
        <v>25.868494743163307</v>
      </c>
      <c r="AS8" s="267">
        <f t="shared" si="24"/>
        <v>0</v>
      </c>
      <c r="AT8" s="299">
        <f t="shared" si="25"/>
        <v>103.34463649893742</v>
      </c>
    </row>
    <row r="9" spans="1:46" x14ac:dyDescent="0.4">
      <c r="B9">
        <v>4</v>
      </c>
      <c r="C9" s="1">
        <v>6.3</v>
      </c>
      <c r="D9" s="1">
        <f t="shared" si="0"/>
        <v>5.3549999999999995</v>
      </c>
      <c r="E9" s="4">
        <v>34249</v>
      </c>
      <c r="F9" s="6">
        <f t="shared" si="1"/>
        <v>9.1345769167168966E-2</v>
      </c>
      <c r="H9" s="4">
        <f t="shared" si="2"/>
        <v>32.238335271650051</v>
      </c>
      <c r="I9" s="4">
        <f t="shared" si="3"/>
        <v>0</v>
      </c>
      <c r="J9" s="267">
        <f t="shared" si="4"/>
        <v>203.10151221139532</v>
      </c>
      <c r="K9" s="267">
        <f t="shared" si="4"/>
        <v>0</v>
      </c>
      <c r="L9" s="4"/>
      <c r="M9" s="4">
        <f t="shared" si="5"/>
        <v>34.420459011191781</v>
      </c>
      <c r="N9" s="4">
        <f t="shared" si="5"/>
        <v>0</v>
      </c>
      <c r="O9" s="267">
        <f t="shared" si="6"/>
        <v>216.8488917705082</v>
      </c>
      <c r="P9" s="299">
        <f t="shared" si="7"/>
        <v>0</v>
      </c>
      <c r="Q9" s="4"/>
      <c r="R9" s="4">
        <f t="shared" si="8"/>
        <v>27.616398048069374</v>
      </c>
      <c r="S9" s="4">
        <f t="shared" si="8"/>
        <v>6.0664731271979067</v>
      </c>
      <c r="T9" s="267">
        <f t="shared" si="9"/>
        <v>173.98330770283707</v>
      </c>
      <c r="U9" s="299">
        <f t="shared" si="10"/>
        <v>32.485963596144785</v>
      </c>
      <c r="V9" s="4"/>
      <c r="W9" s="4">
        <f t="shared" si="11"/>
        <v>16.094306893866513</v>
      </c>
      <c r="X9" s="4">
        <f t="shared" si="11"/>
        <v>19.101569598445781</v>
      </c>
      <c r="Y9" s="267">
        <f t="shared" si="12"/>
        <v>101.39413343135902</v>
      </c>
      <c r="Z9" s="299">
        <f t="shared" si="13"/>
        <v>102.28890519967715</v>
      </c>
      <c r="AA9" s="4"/>
      <c r="AB9" s="4">
        <f t="shared" si="14"/>
        <v>12.006846908320057</v>
      </c>
      <c r="AC9" s="4">
        <f t="shared" si="14"/>
        <v>24.533365629078915</v>
      </c>
      <c r="AD9" s="267">
        <f t="shared" si="15"/>
        <v>75.643135522416358</v>
      </c>
      <c r="AE9" s="299">
        <f t="shared" si="16"/>
        <v>131.37617294371759</v>
      </c>
      <c r="AF9" s="4"/>
      <c r="AG9" s="4">
        <f t="shared" si="17"/>
        <v>16.83379704689894</v>
      </c>
      <c r="AH9" s="4">
        <f t="shared" si="17"/>
        <v>17.85153961443385</v>
      </c>
      <c r="AI9" s="267">
        <f t="shared" si="18"/>
        <v>106.05292139546331</v>
      </c>
      <c r="AJ9" s="299">
        <f t="shared" si="19"/>
        <v>95.594994635293261</v>
      </c>
      <c r="AK9" s="4"/>
      <c r="AL9" s="4">
        <f t="shared" si="20"/>
        <v>8.8341264947896718</v>
      </c>
      <c r="AM9" s="4">
        <f t="shared" si="20"/>
        <v>19.925559623853623</v>
      </c>
      <c r="AN9" s="267">
        <f t="shared" si="21"/>
        <v>55.654996917174934</v>
      </c>
      <c r="AO9" s="299">
        <f t="shared" si="22"/>
        <v>106.70137178573614</v>
      </c>
      <c r="AP9" s="4"/>
      <c r="AQ9" s="4">
        <f t="shared" si="23"/>
        <v>0</v>
      </c>
      <c r="AR9" s="4">
        <f t="shared" si="23"/>
        <v>28.438405227534187</v>
      </c>
      <c r="AS9" s="267">
        <f t="shared" si="24"/>
        <v>0</v>
      </c>
      <c r="AT9" s="299">
        <f t="shared" si="25"/>
        <v>152.28765999344554</v>
      </c>
    </row>
    <row r="10" spans="1:46" x14ac:dyDescent="0.4">
      <c r="B10">
        <v>5</v>
      </c>
      <c r="C10" s="1">
        <v>7.7</v>
      </c>
      <c r="D10" s="1">
        <f t="shared" si="0"/>
        <v>6.5449999999999999</v>
      </c>
      <c r="E10" s="4">
        <v>19397</v>
      </c>
      <c r="F10" s="6">
        <f t="shared" si="1"/>
        <v>5.1733886669262652E-2</v>
      </c>
      <c r="H10" s="4">
        <f t="shared" si="2"/>
        <v>18.258255402032059</v>
      </c>
      <c r="I10" s="4">
        <f t="shared" si="3"/>
        <v>0</v>
      </c>
      <c r="J10" s="267">
        <f t="shared" si="4"/>
        <v>140.58856659564685</v>
      </c>
      <c r="K10" s="267">
        <f t="shared" si="4"/>
        <v>0</v>
      </c>
      <c r="L10" s="4"/>
      <c r="M10" s="4">
        <f t="shared" si="5"/>
        <v>19.494106205731175</v>
      </c>
      <c r="N10" s="4">
        <f t="shared" si="5"/>
        <v>0</v>
      </c>
      <c r="O10" s="267">
        <f t="shared" si="6"/>
        <v>150.10461778413006</v>
      </c>
      <c r="P10" s="299">
        <f t="shared" si="7"/>
        <v>0</v>
      </c>
      <c r="Q10" s="4"/>
      <c r="R10" s="4">
        <f t="shared" si="8"/>
        <v>15.640610614569818</v>
      </c>
      <c r="S10" s="4">
        <f t="shared" si="8"/>
        <v>3.4357610221687582</v>
      </c>
      <c r="T10" s="267">
        <f t="shared" si="9"/>
        <v>120.4327017321876</v>
      </c>
      <c r="U10" s="299">
        <f t="shared" si="10"/>
        <v>22.487055890094524</v>
      </c>
      <c r="V10" s="4"/>
      <c r="W10" s="4">
        <f t="shared" si="11"/>
        <v>9.1150477625720097</v>
      </c>
      <c r="X10" s="4">
        <f t="shared" si="11"/>
        <v>10.818217918802091</v>
      </c>
      <c r="Y10" s="267">
        <f t="shared" si="12"/>
        <v>70.185867771804482</v>
      </c>
      <c r="Z10" s="299">
        <f t="shared" si="13"/>
        <v>70.80523627855969</v>
      </c>
      <c r="AA10" s="4"/>
      <c r="AB10" s="4">
        <f t="shared" si="14"/>
        <v>6.8001053893744094</v>
      </c>
      <c r="AC10" s="4">
        <f t="shared" si="14"/>
        <v>13.894528106141601</v>
      </c>
      <c r="AD10" s="267">
        <f t="shared" si="15"/>
        <v>52.360811498182954</v>
      </c>
      <c r="AE10" s="299">
        <f t="shared" si="16"/>
        <v>90.939686454696783</v>
      </c>
      <c r="AF10" s="4"/>
      <c r="AG10" s="4">
        <f t="shared" si="17"/>
        <v>9.5338597132383072</v>
      </c>
      <c r="AH10" s="4">
        <f t="shared" si="17"/>
        <v>10.110260559466655</v>
      </c>
      <c r="AI10" s="267">
        <f t="shared" si="18"/>
        <v>73.410719791934966</v>
      </c>
      <c r="AJ10" s="299">
        <f t="shared" si="19"/>
        <v>66.171655361709256</v>
      </c>
      <c r="AK10" s="4"/>
      <c r="AL10" s="4">
        <f t="shared" si="20"/>
        <v>5.0032278787536937</v>
      </c>
      <c r="AM10" s="4">
        <f t="shared" si="20"/>
        <v>11.284886566728627</v>
      </c>
      <c r="AN10" s="267">
        <f t="shared" si="21"/>
        <v>38.524854666403442</v>
      </c>
      <c r="AO10" s="299">
        <f t="shared" si="22"/>
        <v>73.859582579238861</v>
      </c>
      <c r="AP10" s="4"/>
      <c r="AQ10" s="4">
        <f t="shared" si="23"/>
        <v>0</v>
      </c>
      <c r="AR10" s="4">
        <f t="shared" si="23"/>
        <v>16.106156273131496</v>
      </c>
      <c r="AS10" s="267">
        <f t="shared" si="24"/>
        <v>0</v>
      </c>
      <c r="AT10" s="299">
        <f t="shared" si="25"/>
        <v>105.41479280764564</v>
      </c>
    </row>
    <row r="11" spans="1:46" s="287" customFormat="1" x14ac:dyDescent="0.4">
      <c r="C11" s="288"/>
      <c r="D11" s="288"/>
      <c r="E11" s="114"/>
      <c r="F11" s="289">
        <f>SUM(F4:F10)</f>
        <v>1</v>
      </c>
      <c r="G11" s="114"/>
      <c r="H11" s="114">
        <f>機器台数case1!D63</f>
        <v>31.101253633991924</v>
      </c>
      <c r="I11" s="114">
        <f>機器台数case1!D70</f>
        <v>0</v>
      </c>
      <c r="J11" s="114">
        <f>SUM(J12:J18)</f>
        <v>124.98598041904931</v>
      </c>
      <c r="K11" s="114">
        <f>SUM(K12:K18)</f>
        <v>0</v>
      </c>
      <c r="L11" s="114"/>
      <c r="M11" s="114">
        <f>機器台数case1!F63</f>
        <v>33.206411462781034</v>
      </c>
      <c r="N11" s="114">
        <f>機器台数case1!F70</f>
        <v>0</v>
      </c>
      <c r="O11" s="114">
        <f>SUM(O12:O18)</f>
        <v>133.44593570781214</v>
      </c>
      <c r="P11" s="300">
        <f>SUM(P12:P18)</f>
        <v>0</v>
      </c>
      <c r="Q11" s="114"/>
      <c r="R11" s="114">
        <f>機器台数case1!H63</f>
        <v>26.642337233386677</v>
      </c>
      <c r="S11" s="114">
        <f>機器台数case1!H70</f>
        <v>5.8525019298591507</v>
      </c>
      <c r="T11" s="114">
        <f>SUM(T12:T18)</f>
        <v>107.06702305177697</v>
      </c>
      <c r="U11" s="300">
        <f>SUM(U12:U18)</f>
        <v>19.9914317018753</v>
      </c>
      <c r="V11" s="114"/>
      <c r="W11" s="114">
        <f>機器台数case1!J63</f>
        <v>15.526642940822898</v>
      </c>
      <c r="X11" s="114">
        <f>機器台数case1!J70</f>
        <v>18.427836173384541</v>
      </c>
      <c r="Y11" s="114">
        <f>SUM(Y12:Y18)</f>
        <v>62.39660669029368</v>
      </c>
      <c r="Z11" s="300">
        <f>SUM(Z12:Z18)</f>
        <v>62.947237384752157</v>
      </c>
      <c r="AA11" s="114"/>
      <c r="AB11" s="114">
        <f>機器台数case1!L63</f>
        <v>11.583352176641741</v>
      </c>
      <c r="AC11" s="114">
        <f>機器台数case1!L70</f>
        <v>23.668046767800416</v>
      </c>
      <c r="AD11" s="114">
        <f>SUM(AD12:AD18)</f>
        <v>46.549783663844977</v>
      </c>
      <c r="AE11" s="300">
        <f>SUM(AE12:AE18)</f>
        <v>80.84715667691539</v>
      </c>
      <c r="AF11" s="114"/>
      <c r="AG11" s="114">
        <f>機器台数case1!N63</f>
        <v>16.240050460643754</v>
      </c>
      <c r="AH11" s="114">
        <f>機器台数case1!N70</f>
        <v>17.221896125449177</v>
      </c>
      <c r="AI11" s="114">
        <f>SUM(AI12:AI18)</f>
        <v>65.263563095088827</v>
      </c>
      <c r="AJ11" s="300">
        <f>SUM(AJ12:AJ18)</f>
        <v>58.827893488109275</v>
      </c>
      <c r="AK11" s="114"/>
      <c r="AL11" s="114">
        <f>機器台数case1!P63</f>
        <v>8.522537110991431</v>
      </c>
      <c r="AM11" s="114">
        <f>機器台数case1!P70</f>
        <v>19.222763161895166</v>
      </c>
      <c r="AN11" s="114">
        <f>SUM(AN12:AN18)</f>
        <v>34.24934792052224</v>
      </c>
      <c r="AO11" s="300">
        <f>SUM(AO12:AO18)</f>
        <v>65.662610876165942</v>
      </c>
      <c r="AP11" s="114"/>
      <c r="AQ11" s="114">
        <f>機器台数case1!R63</f>
        <v>0</v>
      </c>
      <c r="AR11" s="114">
        <f>機器台数case1!R70</f>
        <v>27.435351313117376</v>
      </c>
      <c r="AS11" s="114">
        <f>SUM(AS12:AS18)</f>
        <v>0</v>
      </c>
      <c r="AT11" s="300">
        <f>SUM(AT12:AT18)</f>
        <v>93.715808822696204</v>
      </c>
    </row>
    <row r="12" spans="1:46" x14ac:dyDescent="0.4">
      <c r="A12" t="s">
        <v>6</v>
      </c>
      <c r="B12">
        <v>1.5</v>
      </c>
      <c r="C12" s="1">
        <v>3</v>
      </c>
      <c r="D12" s="1">
        <f t="shared" ref="D12:D18" si="26">C12*0.85</f>
        <v>2.5499999999999998</v>
      </c>
      <c r="E12" s="4">
        <v>1882</v>
      </c>
      <c r="F12" s="6">
        <f>E12/A14</f>
        <v>5.6959535123028961E-2</v>
      </c>
      <c r="G12" s="4">
        <f>機器台数case1!D63</f>
        <v>31.101253633991924</v>
      </c>
      <c r="H12" s="4">
        <f t="shared" ref="H12:H18" si="27">F12*H$11</f>
        <v>1.7715129487355952</v>
      </c>
      <c r="I12" s="4">
        <f t="shared" ref="I12:I18" si="28">$F12*I$11</f>
        <v>0</v>
      </c>
      <c r="J12" s="4">
        <f t="shared" ref="J12:K18" si="29">C12*H12</f>
        <v>5.3145388462067853</v>
      </c>
      <c r="K12" s="267">
        <f t="shared" si="29"/>
        <v>0</v>
      </c>
      <c r="L12" s="4">
        <f>機器台数case1!I63</f>
        <v>5.1678887373465633E-2</v>
      </c>
      <c r="M12" s="4">
        <f t="shared" ref="M12:N18" si="30">$F12*M$11</f>
        <v>1.8914217600240277</v>
      </c>
      <c r="N12" s="4">
        <f t="shared" si="30"/>
        <v>0</v>
      </c>
      <c r="O12" s="267">
        <f t="shared" ref="O12:O18" si="31">$C12*M12</f>
        <v>5.674265280072083</v>
      </c>
      <c r="P12" s="299">
        <f t="shared" ref="P12:P18" si="32">$D12*N12</f>
        <v>0</v>
      </c>
      <c r="Q12" s="4">
        <f>機器台数case1!N63</f>
        <v>16.240050460643754</v>
      </c>
      <c r="R12" s="4">
        <f t="shared" ref="R12:S18" si="33">$F12*R$11</f>
        <v>1.5175351434046707</v>
      </c>
      <c r="S12" s="4">
        <f t="shared" si="33"/>
        <v>0.33335578923140707</v>
      </c>
      <c r="T12" s="267">
        <f t="shared" ref="T12:T18" si="34">$C12*R12</f>
        <v>4.5526054302140118</v>
      </c>
      <c r="U12" s="299">
        <f t="shared" ref="U12:U18" si="35">$D12*S12</f>
        <v>0.85005726254008795</v>
      </c>
      <c r="V12" s="4">
        <f>機器台数case1!S63</f>
        <v>0</v>
      </c>
      <c r="W12" s="4">
        <f t="shared" ref="W12:X18" si="36">$F12*W$11</f>
        <v>0.8843903639305315</v>
      </c>
      <c r="X12" s="4">
        <f t="shared" si="36"/>
        <v>1.0496409817593204</v>
      </c>
      <c r="Y12" s="267">
        <f t="shared" ref="Y12:Y18" si="37">$C12*W12</f>
        <v>2.6531710917915943</v>
      </c>
      <c r="Z12" s="299">
        <f t="shared" ref="Z12:Z18" si="38">$D12*X12</f>
        <v>2.676584503486267</v>
      </c>
      <c r="AA12" s="4">
        <f>機器台数case1!X63</f>
        <v>0</v>
      </c>
      <c r="AB12" s="4">
        <f t="shared" ref="AB12:AC18" si="39">$F12*AB$11</f>
        <v>0.65978235514783923</v>
      </c>
      <c r="AC12" s="4">
        <f t="shared" si="39"/>
        <v>1.3481209411640198</v>
      </c>
      <c r="AD12" s="267">
        <f t="shared" ref="AD12:AD18" si="40">$C12*AB12</f>
        <v>1.9793470654435177</v>
      </c>
      <c r="AE12" s="299">
        <f t="shared" ref="AE12:AE18" si="41">$D12*AC12</f>
        <v>3.4377083999682503</v>
      </c>
      <c r="AF12" s="114">
        <f>SUM(AG12:AG18)</f>
        <v>16.240050460643754</v>
      </c>
      <c r="AG12" s="4">
        <f t="shared" ref="AG12:AH18" si="42">$F12*AG$11</f>
        <v>0.92502572461280053</v>
      </c>
      <c r="AH12" s="4">
        <f t="shared" si="42"/>
        <v>0.98095119724267876</v>
      </c>
      <c r="AI12" s="267">
        <f t="shared" ref="AI12:AI18" si="43">$C12*AG12</f>
        <v>2.7750771738384015</v>
      </c>
      <c r="AJ12" s="299">
        <f t="shared" ref="AJ12:AJ18" si="44">$D12*AH12</f>
        <v>2.5014255529688305</v>
      </c>
      <c r="AK12" s="114">
        <f>SUM(AL12:AL18)</f>
        <v>8.522537110991431</v>
      </c>
      <c r="AL12" s="4">
        <f t="shared" ref="AL12:AM18" si="45">$F12*AL$11</f>
        <v>0.48543975191083416</v>
      </c>
      <c r="AM12" s="4">
        <f t="shared" si="45"/>
        <v>1.094919653481635</v>
      </c>
      <c r="AN12" s="267">
        <f t="shared" ref="AN12:AN18" si="46">$C12*AL12</f>
        <v>1.4563192557325024</v>
      </c>
      <c r="AO12" s="299">
        <f t="shared" ref="AO12:AO18" si="47">$D12*AM12</f>
        <v>2.7920451163781692</v>
      </c>
      <c r="AP12" s="4">
        <f>機器台数case1!AM63</f>
        <v>0</v>
      </c>
      <c r="AQ12" s="4">
        <f t="shared" ref="AQ12:AR18" si="48">$F12*AQ$11</f>
        <v>0</v>
      </c>
      <c r="AR12" s="4">
        <f t="shared" si="48"/>
        <v>1.562704856732148</v>
      </c>
      <c r="AS12" s="267">
        <f t="shared" ref="AS12:AS18" si="49">$C12*AQ12</f>
        <v>0</v>
      </c>
      <c r="AT12" s="299">
        <f t="shared" ref="AT12:AT18" si="50">$D12*AR12</f>
        <v>3.9848973846669771</v>
      </c>
    </row>
    <row r="13" spans="1:46" x14ac:dyDescent="0.4">
      <c r="A13" t="s">
        <v>5</v>
      </c>
      <c r="B13">
        <v>2</v>
      </c>
      <c r="C13" s="1">
        <v>3.3</v>
      </c>
      <c r="D13" s="1">
        <f t="shared" si="26"/>
        <v>2.8049999999999997</v>
      </c>
      <c r="E13" s="4">
        <v>7623</v>
      </c>
      <c r="F13" s="6">
        <f t="shared" ref="F13:F18" si="51">E13/$A$14</f>
        <v>0.23071335613328894</v>
      </c>
      <c r="H13" s="4">
        <f t="shared" si="27"/>
        <v>7.1754746058509253</v>
      </c>
      <c r="I13" s="4">
        <f t="shared" si="28"/>
        <v>0</v>
      </c>
      <c r="J13" s="267">
        <f t="shared" si="29"/>
        <v>23.679066199308053</v>
      </c>
      <c r="K13" s="267">
        <f t="shared" si="29"/>
        <v>0</v>
      </c>
      <c r="L13" s="4"/>
      <c r="M13" s="4">
        <f t="shared" si="30"/>
        <v>7.6611626337211289</v>
      </c>
      <c r="N13" s="4">
        <f t="shared" si="30"/>
        <v>0</v>
      </c>
      <c r="O13" s="267">
        <f t="shared" si="31"/>
        <v>25.281836691279725</v>
      </c>
      <c r="P13" s="299">
        <f t="shared" si="32"/>
        <v>0</v>
      </c>
      <c r="Q13" s="4"/>
      <c r="R13" s="4">
        <f t="shared" si="33"/>
        <v>6.1467430383495243</v>
      </c>
      <c r="S13" s="4">
        <f t="shared" si="33"/>
        <v>1.3502503620143551</v>
      </c>
      <c r="T13" s="267">
        <f t="shared" si="34"/>
        <v>20.284252026553428</v>
      </c>
      <c r="U13" s="299">
        <f t="shared" si="35"/>
        <v>3.7874522654502658</v>
      </c>
      <c r="V13" s="4"/>
      <c r="W13" s="4">
        <f t="shared" si="36"/>
        <v>3.5822039023604901</v>
      </c>
      <c r="X13" s="4">
        <f t="shared" si="36"/>
        <v>4.2515479298359722</v>
      </c>
      <c r="Y13" s="267">
        <f t="shared" si="37"/>
        <v>11.821272877789617</v>
      </c>
      <c r="Z13" s="299">
        <f t="shared" si="38"/>
        <v>11.9255919431899</v>
      </c>
      <c r="AA13" s="4"/>
      <c r="AB13" s="4">
        <f t="shared" si="39"/>
        <v>2.6724340559468538</v>
      </c>
      <c r="AC13" s="4">
        <f t="shared" si="39"/>
        <v>5.4605345029188754</v>
      </c>
      <c r="AD13" s="267">
        <f t="shared" si="40"/>
        <v>8.8190323846246166</v>
      </c>
      <c r="AE13" s="299">
        <f t="shared" si="41"/>
        <v>15.316799280687444</v>
      </c>
      <c r="AF13" s="4"/>
      <c r="AG13" s="4">
        <f t="shared" si="42"/>
        <v>3.7467965455490857</v>
      </c>
      <c r="AH13" s="4">
        <f t="shared" si="42"/>
        <v>3.9733214540812649</v>
      </c>
      <c r="AI13" s="267">
        <f t="shared" si="43"/>
        <v>12.364428600311982</v>
      </c>
      <c r="AJ13" s="299">
        <f t="shared" si="44"/>
        <v>11.145166678697947</v>
      </c>
      <c r="AK13" s="4"/>
      <c r="AL13" s="4">
        <f t="shared" si="45"/>
        <v>1.9662631396473376</v>
      </c>
      <c r="AM13" s="4">
        <f t="shared" si="45"/>
        <v>4.4349482032361873</v>
      </c>
      <c r="AN13" s="267">
        <f t="shared" si="46"/>
        <v>6.4886683608362139</v>
      </c>
      <c r="AO13" s="299">
        <f t="shared" si="47"/>
        <v>12.440029710077503</v>
      </c>
      <c r="AP13" s="4"/>
      <c r="AQ13" s="4">
        <f t="shared" si="48"/>
        <v>0</v>
      </c>
      <c r="AR13" s="4">
        <f t="shared" si="48"/>
        <v>6.3297019781451453</v>
      </c>
      <c r="AS13" s="267">
        <f t="shared" si="49"/>
        <v>0</v>
      </c>
      <c r="AT13" s="299">
        <f t="shared" si="50"/>
        <v>17.754814048697131</v>
      </c>
    </row>
    <row r="14" spans="1:46" x14ac:dyDescent="0.4">
      <c r="A14" s="5">
        <f>SUM(E12:E18)</f>
        <v>33041</v>
      </c>
      <c r="B14">
        <v>2.5</v>
      </c>
      <c r="C14" s="1">
        <v>3.4</v>
      </c>
      <c r="D14" s="1">
        <f t="shared" si="26"/>
        <v>2.8899999999999997</v>
      </c>
      <c r="E14" s="4">
        <v>7511</v>
      </c>
      <c r="F14" s="6">
        <f t="shared" si="51"/>
        <v>0.22732362821948487</v>
      </c>
      <c r="H14" s="4">
        <f t="shared" si="27"/>
        <v>7.0700498182534828</v>
      </c>
      <c r="I14" s="4">
        <f t="shared" si="28"/>
        <v>0</v>
      </c>
      <c r="J14" s="267">
        <f t="shared" si="29"/>
        <v>24.038169382061842</v>
      </c>
      <c r="K14" s="267">
        <f t="shared" si="29"/>
        <v>0</v>
      </c>
      <c r="L14" s="4"/>
      <c r="M14" s="4">
        <f t="shared" si="30"/>
        <v>7.5486019338684764</v>
      </c>
      <c r="N14" s="4">
        <f t="shared" si="30"/>
        <v>0</v>
      </c>
      <c r="O14" s="267">
        <f t="shared" si="31"/>
        <v>25.665246575152818</v>
      </c>
      <c r="P14" s="299">
        <f t="shared" si="32"/>
        <v>0</v>
      </c>
      <c r="Q14" s="4"/>
      <c r="R14" s="4">
        <f t="shared" si="33"/>
        <v>6.0564327641405322</v>
      </c>
      <c r="S14" s="4">
        <f t="shared" si="33"/>
        <v>1.3304119728571193</v>
      </c>
      <c r="T14" s="267">
        <f t="shared" si="34"/>
        <v>20.59187139807781</v>
      </c>
      <c r="U14" s="299">
        <f t="shared" si="35"/>
        <v>3.8448906015570743</v>
      </c>
      <c r="V14" s="4"/>
      <c r="W14" s="4">
        <f t="shared" si="36"/>
        <v>3.5295728073763137</v>
      </c>
      <c r="X14" s="4">
        <f t="shared" si="36"/>
        <v>4.1890825791680424</v>
      </c>
      <c r="Y14" s="267">
        <f t="shared" si="37"/>
        <v>12.000547545079467</v>
      </c>
      <c r="Z14" s="299">
        <f t="shared" si="38"/>
        <v>12.106448653795642</v>
      </c>
      <c r="AA14" s="4"/>
      <c r="AB14" s="4">
        <f t="shared" si="39"/>
        <v>2.6331696437382681</v>
      </c>
      <c r="AC14" s="4">
        <f t="shared" si="39"/>
        <v>5.380306264124842</v>
      </c>
      <c r="AD14" s="267">
        <f t="shared" si="40"/>
        <v>8.9527767887101106</v>
      </c>
      <c r="AE14" s="299">
        <f t="shared" si="41"/>
        <v>15.549085103320792</v>
      </c>
      <c r="AF14" s="4"/>
      <c r="AG14" s="4">
        <f t="shared" si="42"/>
        <v>3.691747193181055</v>
      </c>
      <c r="AH14" s="4">
        <f t="shared" si="42"/>
        <v>3.914943912056196</v>
      </c>
      <c r="AI14" s="267">
        <f t="shared" si="43"/>
        <v>12.551940456815586</v>
      </c>
      <c r="AJ14" s="299">
        <f t="shared" si="44"/>
        <v>11.314187905842406</v>
      </c>
      <c r="AK14" s="4"/>
      <c r="AL14" s="4">
        <f t="shared" si="45"/>
        <v>1.9373740577057788</v>
      </c>
      <c r="AM14" s="4">
        <f t="shared" si="45"/>
        <v>4.369788266365866</v>
      </c>
      <c r="AN14" s="267">
        <f t="shared" si="46"/>
        <v>6.5870717961996474</v>
      </c>
      <c r="AO14" s="299">
        <f t="shared" si="47"/>
        <v>12.628688089797352</v>
      </c>
      <c r="AP14" s="4"/>
      <c r="AQ14" s="4">
        <f t="shared" si="48"/>
        <v>0</v>
      </c>
      <c r="AR14" s="4">
        <f t="shared" si="48"/>
        <v>6.2367036019740505</v>
      </c>
      <c r="AS14" s="267">
        <f t="shared" si="49"/>
        <v>0</v>
      </c>
      <c r="AT14" s="299">
        <f t="shared" si="50"/>
        <v>18.024073409705004</v>
      </c>
    </row>
    <row r="15" spans="1:46" x14ac:dyDescent="0.4">
      <c r="A15" s="6">
        <f>A14/$E$51</f>
        <v>5.1678887373465633E-2</v>
      </c>
      <c r="B15">
        <v>3</v>
      </c>
      <c r="C15" s="1">
        <v>3.2</v>
      </c>
      <c r="D15" s="1">
        <f t="shared" si="26"/>
        <v>2.72</v>
      </c>
      <c r="E15" s="4">
        <v>7402</v>
      </c>
      <c r="F15" s="6">
        <f t="shared" si="51"/>
        <v>0.22402469658908628</v>
      </c>
      <c r="H15" s="4">
        <f t="shared" si="27"/>
        <v>6.9674489088952578</v>
      </c>
      <c r="I15" s="4">
        <f t="shared" si="28"/>
        <v>0</v>
      </c>
      <c r="J15" s="267">
        <f t="shared" si="29"/>
        <v>22.295836508464827</v>
      </c>
      <c r="K15" s="267">
        <f t="shared" si="29"/>
        <v>0</v>
      </c>
      <c r="L15" s="4"/>
      <c r="M15" s="4">
        <f t="shared" si="30"/>
        <v>7.439056252761878</v>
      </c>
      <c r="N15" s="4">
        <f t="shared" si="30"/>
        <v>0</v>
      </c>
      <c r="O15" s="267">
        <f t="shared" si="31"/>
        <v>23.804980008838012</v>
      </c>
      <c r="P15" s="299">
        <f t="shared" si="32"/>
        <v>0</v>
      </c>
      <c r="Q15" s="4"/>
      <c r="R15" s="4">
        <f t="shared" si="33"/>
        <v>5.9685415151335661</v>
      </c>
      <c r="S15" s="4">
        <f t="shared" si="33"/>
        <v>1.3111049691237382</v>
      </c>
      <c r="T15" s="267">
        <f t="shared" si="34"/>
        <v>19.099332848427412</v>
      </c>
      <c r="U15" s="299">
        <f t="shared" si="35"/>
        <v>3.5662055160165682</v>
      </c>
      <c r="V15" s="4"/>
      <c r="W15" s="4">
        <f t="shared" si="36"/>
        <v>3.4783514738649277</v>
      </c>
      <c r="X15" s="4">
        <f t="shared" si="36"/>
        <v>4.1282904075358609</v>
      </c>
      <c r="Y15" s="267">
        <f t="shared" si="37"/>
        <v>11.130724716367769</v>
      </c>
      <c r="Z15" s="299">
        <f t="shared" si="38"/>
        <v>11.228949908497542</v>
      </c>
      <c r="AA15" s="4"/>
      <c r="AB15" s="4">
        <f t="shared" si="39"/>
        <v>2.5949569568566981</v>
      </c>
      <c r="AC15" s="4">
        <f t="shared" si="39"/>
        <v>5.3022269960127923</v>
      </c>
      <c r="AD15" s="267">
        <f t="shared" si="40"/>
        <v>8.3038622619414344</v>
      </c>
      <c r="AE15" s="299">
        <f t="shared" si="41"/>
        <v>14.422057429154796</v>
      </c>
      <c r="AF15" s="4"/>
      <c r="AG15" s="4">
        <f t="shared" si="42"/>
        <v>3.6381723770371677</v>
      </c>
      <c r="AH15" s="4">
        <f t="shared" si="42"/>
        <v>3.8581300541925123</v>
      </c>
      <c r="AI15" s="267">
        <f t="shared" si="43"/>
        <v>11.642151606518937</v>
      </c>
      <c r="AJ15" s="299">
        <f t="shared" si="44"/>
        <v>10.494113747403635</v>
      </c>
      <c r="AK15" s="4"/>
      <c r="AL15" s="4">
        <f t="shared" si="45"/>
        <v>1.9092587904590832</v>
      </c>
      <c r="AM15" s="4">
        <f t="shared" si="45"/>
        <v>4.3063736849474292</v>
      </c>
      <c r="AN15" s="267">
        <f t="shared" si="46"/>
        <v>6.1096281294690664</v>
      </c>
      <c r="AO15" s="299">
        <f t="shared" si="47"/>
        <v>11.713336423057008</v>
      </c>
      <c r="AP15" s="4"/>
      <c r="AQ15" s="4">
        <f t="shared" si="48"/>
        <v>0</v>
      </c>
      <c r="AR15" s="4">
        <f t="shared" si="48"/>
        <v>6.1461962537361101</v>
      </c>
      <c r="AS15" s="267">
        <f t="shared" si="49"/>
        <v>0</v>
      </c>
      <c r="AT15" s="299">
        <f t="shared" si="50"/>
        <v>16.717653810162222</v>
      </c>
    </row>
    <row r="16" spans="1:46" x14ac:dyDescent="0.4">
      <c r="B16">
        <v>3.5</v>
      </c>
      <c r="C16" s="1">
        <v>4.7</v>
      </c>
      <c r="D16" s="1">
        <f t="shared" si="26"/>
        <v>3.9950000000000001</v>
      </c>
      <c r="E16" s="4">
        <v>3241</v>
      </c>
      <c r="F16" s="6">
        <f t="shared" si="51"/>
        <v>9.8090251505705037E-2</v>
      </c>
      <c r="H16" s="4">
        <f t="shared" si="27"/>
        <v>3.0507297911009905</v>
      </c>
      <c r="I16" s="4">
        <f t="shared" si="28"/>
        <v>0</v>
      </c>
      <c r="J16" s="267">
        <f t="shared" si="29"/>
        <v>14.338430018174655</v>
      </c>
      <c r="K16" s="267">
        <f t="shared" si="29"/>
        <v>0</v>
      </c>
      <c r="L16" s="4"/>
      <c r="M16" s="4">
        <f t="shared" si="30"/>
        <v>3.2572252519861182</v>
      </c>
      <c r="N16" s="4">
        <f t="shared" si="30"/>
        <v>0</v>
      </c>
      <c r="O16" s="267">
        <f t="shared" si="31"/>
        <v>15.308958684334756</v>
      </c>
      <c r="P16" s="299">
        <f t="shared" si="32"/>
        <v>0</v>
      </c>
      <c r="Q16" s="4"/>
      <c r="R16" s="4">
        <f t="shared" si="33"/>
        <v>2.6133535599227087</v>
      </c>
      <c r="S16" s="4">
        <f t="shared" si="33"/>
        <v>0.57407338623750814</v>
      </c>
      <c r="T16" s="267">
        <f t="shared" si="34"/>
        <v>12.282761731636731</v>
      </c>
      <c r="U16" s="299">
        <f t="shared" si="35"/>
        <v>2.2934231780188452</v>
      </c>
      <c r="V16" s="4"/>
      <c r="W16" s="4">
        <f t="shared" si="36"/>
        <v>1.5230123111045977</v>
      </c>
      <c r="X16" s="4">
        <f t="shared" si="36"/>
        <v>1.8075910849532189</v>
      </c>
      <c r="Y16" s="267">
        <f t="shared" si="37"/>
        <v>7.1581578621916098</v>
      </c>
      <c r="Z16" s="299">
        <f t="shared" si="38"/>
        <v>7.2213263843881093</v>
      </c>
      <c r="AA16" s="4"/>
      <c r="AB16" s="4">
        <f t="shared" si="39"/>
        <v>1.1362139282859443</v>
      </c>
      <c r="AC16" s="4">
        <f t="shared" si="39"/>
        <v>2.3216046601023321</v>
      </c>
      <c r="AD16" s="267">
        <f t="shared" si="40"/>
        <v>5.3402054629439384</v>
      </c>
      <c r="AE16" s="299">
        <f t="shared" si="41"/>
        <v>9.2748106171088178</v>
      </c>
      <c r="AF16" s="4"/>
      <c r="AG16" s="4">
        <f t="shared" si="42"/>
        <v>1.5929906341498867</v>
      </c>
      <c r="AH16" s="4">
        <f t="shared" si="42"/>
        <v>1.6893001223504369</v>
      </c>
      <c r="AI16" s="267">
        <f t="shared" si="43"/>
        <v>7.4870559805044676</v>
      </c>
      <c r="AJ16" s="299">
        <f t="shared" si="44"/>
        <v>6.7487539887899954</v>
      </c>
      <c r="AK16" s="4"/>
      <c r="AL16" s="4">
        <f t="shared" si="45"/>
        <v>0.8359778086838543</v>
      </c>
      <c r="AM16" s="4">
        <f t="shared" si="45"/>
        <v>1.8855656731848986</v>
      </c>
      <c r="AN16" s="267">
        <f t="shared" si="46"/>
        <v>3.9290957008141154</v>
      </c>
      <c r="AO16" s="299">
        <f t="shared" si="47"/>
        <v>7.5328348643736707</v>
      </c>
      <c r="AP16" s="4"/>
      <c r="AQ16" s="4">
        <f t="shared" si="48"/>
        <v>0</v>
      </c>
      <c r="AR16" s="4">
        <f t="shared" si="48"/>
        <v>2.6911405104510582</v>
      </c>
      <c r="AS16" s="267">
        <f t="shared" si="49"/>
        <v>0</v>
      </c>
      <c r="AT16" s="299">
        <f t="shared" si="50"/>
        <v>10.751106339251978</v>
      </c>
    </row>
    <row r="17" spans="1:46" x14ac:dyDescent="0.4">
      <c r="B17">
        <v>4</v>
      </c>
      <c r="C17" s="1">
        <v>6.3</v>
      </c>
      <c r="D17" s="1">
        <f t="shared" si="26"/>
        <v>5.3549999999999995</v>
      </c>
      <c r="E17" s="4">
        <v>2799</v>
      </c>
      <c r="F17" s="6">
        <f t="shared" si="51"/>
        <v>8.4712932417299713E-2</v>
      </c>
      <c r="H17" s="4">
        <f t="shared" si="27"/>
        <v>2.634678397189655</v>
      </c>
      <c r="I17" s="4">
        <f t="shared" si="28"/>
        <v>0</v>
      </c>
      <c r="J17" s="267">
        <f t="shared" si="29"/>
        <v>16.598473902294828</v>
      </c>
      <c r="K17" s="267">
        <f t="shared" si="29"/>
        <v>0</v>
      </c>
      <c r="L17" s="4"/>
      <c r="M17" s="4">
        <f t="shared" si="30"/>
        <v>2.8130124900676163</v>
      </c>
      <c r="N17" s="4">
        <f t="shared" si="30"/>
        <v>0</v>
      </c>
      <c r="O17" s="267">
        <f t="shared" si="31"/>
        <v>17.721978687425981</v>
      </c>
      <c r="P17" s="299">
        <f t="shared" si="32"/>
        <v>0</v>
      </c>
      <c r="Q17" s="4"/>
      <c r="R17" s="4">
        <f t="shared" si="33"/>
        <v>2.2569505134907932</v>
      </c>
      <c r="S17" s="4">
        <f t="shared" si="33"/>
        <v>0.49578260045627437</v>
      </c>
      <c r="T17" s="267">
        <f t="shared" si="34"/>
        <v>14.218788234991997</v>
      </c>
      <c r="U17" s="299">
        <f t="shared" si="35"/>
        <v>2.6549158254433491</v>
      </c>
      <c r="V17" s="4"/>
      <c r="W17" s="4">
        <f t="shared" si="36"/>
        <v>1.3153074541134737</v>
      </c>
      <c r="X17" s="4">
        <f t="shared" si="36"/>
        <v>1.5610760403529955</v>
      </c>
      <c r="Y17" s="267">
        <f t="shared" si="37"/>
        <v>8.2864369609148838</v>
      </c>
      <c r="Z17" s="299">
        <f t="shared" si="38"/>
        <v>8.3595621960902911</v>
      </c>
      <c r="AA17" s="4"/>
      <c r="AB17" s="4">
        <f t="shared" si="39"/>
        <v>0.98125973010563328</v>
      </c>
      <c r="AC17" s="4">
        <f t="shared" si="39"/>
        <v>2.0049896462901655</v>
      </c>
      <c r="AD17" s="267">
        <f t="shared" si="40"/>
        <v>6.1819362996654892</v>
      </c>
      <c r="AE17" s="299">
        <f t="shared" si="41"/>
        <v>10.736719555883836</v>
      </c>
      <c r="AF17" s="4"/>
      <c r="AG17" s="4">
        <f t="shared" si="42"/>
        <v>1.3757422971260513</v>
      </c>
      <c r="AH17" s="4">
        <f t="shared" si="42"/>
        <v>1.4589173225729319</v>
      </c>
      <c r="AI17" s="267">
        <f t="shared" si="43"/>
        <v>8.6671764718941233</v>
      </c>
      <c r="AJ17" s="299">
        <f t="shared" si="44"/>
        <v>7.8125022623780502</v>
      </c>
      <c r="AK17" s="4"/>
      <c r="AL17" s="4">
        <f t="shared" si="45"/>
        <v>0.72196911030734578</v>
      </c>
      <c r="AM17" s="4">
        <f t="shared" si="45"/>
        <v>1.6284166366073838</v>
      </c>
      <c r="AN17" s="267">
        <f t="shared" si="46"/>
        <v>4.5484053949362782</v>
      </c>
      <c r="AO17" s="299">
        <f t="shared" si="47"/>
        <v>8.7201710890325401</v>
      </c>
      <c r="AP17" s="4"/>
      <c r="AQ17" s="4">
        <f t="shared" si="48"/>
        <v>0</v>
      </c>
      <c r="AR17" s="4">
        <f t="shared" si="48"/>
        <v>2.3241290616329873</v>
      </c>
      <c r="AS17" s="267">
        <f t="shared" si="49"/>
        <v>0</v>
      </c>
      <c r="AT17" s="299">
        <f t="shared" si="50"/>
        <v>12.445711125044646</v>
      </c>
    </row>
    <row r="18" spans="1:46" x14ac:dyDescent="0.4">
      <c r="B18">
        <v>5</v>
      </c>
      <c r="C18" s="1">
        <v>7.7</v>
      </c>
      <c r="D18" s="1">
        <f t="shared" si="26"/>
        <v>6.5449999999999999</v>
      </c>
      <c r="E18" s="4">
        <v>2583</v>
      </c>
      <c r="F18" s="6">
        <f t="shared" si="51"/>
        <v>7.8175600012106175E-2</v>
      </c>
      <c r="H18" s="4">
        <f t="shared" si="27"/>
        <v>2.4313591639660164</v>
      </c>
      <c r="I18" s="4">
        <f t="shared" si="28"/>
        <v>0</v>
      </c>
      <c r="J18" s="267">
        <f t="shared" si="29"/>
        <v>18.721465562538327</v>
      </c>
      <c r="K18" s="267">
        <f t="shared" si="29"/>
        <v>0</v>
      </c>
      <c r="L18" s="4"/>
      <c r="M18" s="4">
        <f t="shared" si="30"/>
        <v>2.5959311403517877</v>
      </c>
      <c r="N18" s="4">
        <f t="shared" si="30"/>
        <v>0</v>
      </c>
      <c r="O18" s="267">
        <f t="shared" si="31"/>
        <v>19.988669780708765</v>
      </c>
      <c r="P18" s="299">
        <f t="shared" si="32"/>
        <v>0</v>
      </c>
      <c r="Q18" s="4"/>
      <c r="R18" s="4">
        <f t="shared" si="33"/>
        <v>2.0827806989448803</v>
      </c>
      <c r="S18" s="4">
        <f t="shared" si="33"/>
        <v>0.45752284993874842</v>
      </c>
      <c r="T18" s="267">
        <f t="shared" si="34"/>
        <v>16.037411381875579</v>
      </c>
      <c r="U18" s="299">
        <f t="shared" si="35"/>
        <v>2.9944870528491085</v>
      </c>
      <c r="V18" s="4"/>
      <c r="W18" s="4">
        <f t="shared" si="36"/>
        <v>1.2138046280725627</v>
      </c>
      <c r="X18" s="4">
        <f t="shared" si="36"/>
        <v>1.4406071497791311</v>
      </c>
      <c r="Y18" s="267">
        <f t="shared" si="37"/>
        <v>9.3462956361587324</v>
      </c>
      <c r="Z18" s="299">
        <f t="shared" si="38"/>
        <v>9.4287737953044122</v>
      </c>
      <c r="AA18" s="4"/>
      <c r="AB18" s="4">
        <f t="shared" si="39"/>
        <v>0.90553550656050419</v>
      </c>
      <c r="AC18" s="4">
        <f t="shared" si="39"/>
        <v>1.8502637571873877</v>
      </c>
      <c r="AD18" s="267">
        <f t="shared" si="40"/>
        <v>6.9726234005158823</v>
      </c>
      <c r="AE18" s="299">
        <f t="shared" si="41"/>
        <v>12.109976290791453</v>
      </c>
      <c r="AF18" s="4"/>
      <c r="AG18" s="4">
        <f t="shared" si="42"/>
        <v>1.2695756889877068</v>
      </c>
      <c r="AH18" s="4">
        <f t="shared" si="42"/>
        <v>1.3463320629531561</v>
      </c>
      <c r="AI18" s="267">
        <f t="shared" si="43"/>
        <v>9.775732805205342</v>
      </c>
      <c r="AJ18" s="299">
        <f t="shared" si="44"/>
        <v>8.8117433520284063</v>
      </c>
      <c r="AK18" s="4"/>
      <c r="AL18" s="4">
        <f t="shared" si="45"/>
        <v>0.66625445227719704</v>
      </c>
      <c r="AM18" s="4">
        <f t="shared" si="45"/>
        <v>1.502751044071766</v>
      </c>
      <c r="AN18" s="267">
        <f t="shared" si="46"/>
        <v>5.1301592825344171</v>
      </c>
      <c r="AO18" s="299">
        <f t="shared" si="47"/>
        <v>9.8355055834497076</v>
      </c>
      <c r="AP18" s="4"/>
      <c r="AQ18" s="4">
        <f t="shared" si="48"/>
        <v>0</v>
      </c>
      <c r="AR18" s="4">
        <f t="shared" si="48"/>
        <v>2.144775050445876</v>
      </c>
      <c r="AS18" s="267">
        <f t="shared" si="49"/>
        <v>0</v>
      </c>
      <c r="AT18" s="299">
        <f t="shared" si="50"/>
        <v>14.037552705168258</v>
      </c>
    </row>
    <row r="19" spans="1:46" s="287" customFormat="1" x14ac:dyDescent="0.4">
      <c r="C19" s="288"/>
      <c r="D19" s="288"/>
      <c r="E19" s="114"/>
      <c r="F19" s="289"/>
      <c r="G19" s="114"/>
      <c r="H19" s="114">
        <f>機器台数case1!D64</f>
        <v>100.70043930323205</v>
      </c>
      <c r="I19" s="114">
        <f>機器台数case1!D71</f>
        <v>0</v>
      </c>
      <c r="J19" s="114">
        <f>SUM(J20:J23)</f>
        <v>321.58796034578768</v>
      </c>
      <c r="K19" s="114">
        <f>SUM(K20:K26)</f>
        <v>0</v>
      </c>
      <c r="L19" s="114"/>
      <c r="M19" s="114">
        <f>機器台数case1!F64</f>
        <v>107.51657349050507</v>
      </c>
      <c r="N19" s="114">
        <f>機器台数case1!I71</f>
        <v>0.16732723132171323</v>
      </c>
      <c r="O19" s="114">
        <f>SUM(O20:O23)</f>
        <v>216.69442231008543</v>
      </c>
      <c r="P19" s="300">
        <f>SUM(P20:P23)</f>
        <v>0</v>
      </c>
      <c r="Q19" s="114"/>
      <c r="R19" s="114">
        <f>機器台数case1!H64</f>
        <v>86.263245046001643</v>
      </c>
      <c r="S19" s="114">
        <f>機器台数case1!H71</f>
        <v>18.949381343127076</v>
      </c>
      <c r="T19" s="114">
        <f>SUM(T20:T23)</f>
        <v>173.85937297831993</v>
      </c>
      <c r="U19" s="300">
        <f>SUM(U20:U23)</f>
        <v>5.8604069459728958</v>
      </c>
      <c r="V19" s="114"/>
      <c r="W19" s="114">
        <f>機器台数case1!J64</f>
        <v>50.272564040197764</v>
      </c>
      <c r="X19" s="114">
        <f>機器台数case1!J71</f>
        <v>59.666122141123196</v>
      </c>
      <c r="Y19" s="114">
        <f>SUM(Y20:Y23)</f>
        <v>985.1749571310296</v>
      </c>
      <c r="Z19" s="300">
        <f>SUM(Z20:Z23)</f>
        <v>161.9627546393138</v>
      </c>
      <c r="AA19" s="114"/>
      <c r="AB19" s="114">
        <f>機器台数case1!L64</f>
        <v>37.504875736488309</v>
      </c>
      <c r="AC19" s="114">
        <f>機器台数case1!L71</f>
        <v>76.633010843075454</v>
      </c>
      <c r="AD19" s="114">
        <f>SUM(AD20:AD23)</f>
        <v>119.77223311609116</v>
      </c>
      <c r="AE19" s="300">
        <f>SUM(AE20:AE23)</f>
        <v>208.01910844972599</v>
      </c>
      <c r="AF19" s="114"/>
      <c r="AG19" s="114">
        <f>機器台数case1!N64</f>
        <v>52.582453265038275</v>
      </c>
      <c r="AH19" s="114">
        <f>機器台数case1!N71</f>
        <v>55.761498423070684</v>
      </c>
      <c r="AI19" s="114">
        <f>SUM(AI20:AI23)</f>
        <v>167.92264276585561</v>
      </c>
      <c r="AJ19" s="300">
        <f>SUM(AJ20:AJ23)</f>
        <v>151.36371467304929</v>
      </c>
      <c r="AK19" s="114"/>
      <c r="AL19" s="114">
        <f>機器台数case1!P64</f>
        <v>27.594489957052581</v>
      </c>
      <c r="AM19" s="114">
        <f>機器台数case1!P71</f>
        <v>62.239957199319235</v>
      </c>
      <c r="AN19" s="114">
        <f>SUM(AN20:AN23)</f>
        <v>88.123307142176913</v>
      </c>
      <c r="AO19" s="300">
        <f>SUM(AO20:AO23)</f>
        <v>168.9493896183173</v>
      </c>
      <c r="AP19" s="114"/>
      <c r="AQ19" s="114">
        <f>機器台数case1!R64</f>
        <v>0</v>
      </c>
      <c r="AR19" s="114">
        <f>機器台数case1!R71</f>
        <v>88.830886438927706</v>
      </c>
      <c r="AS19" s="114">
        <f>SUM(AS20:AS23)</f>
        <v>0</v>
      </c>
      <c r="AT19" s="300">
        <f>SUM(AT20:AT23)</f>
        <v>241.13005082971117</v>
      </c>
    </row>
    <row r="20" spans="1:46" x14ac:dyDescent="0.4">
      <c r="A20" t="s">
        <v>6</v>
      </c>
      <c r="B20">
        <v>1.5</v>
      </c>
      <c r="C20" s="1">
        <v>3</v>
      </c>
      <c r="D20" s="1">
        <f>C20*0.85</f>
        <v>2.5499999999999998</v>
      </c>
      <c r="E20" s="4">
        <v>42010</v>
      </c>
      <c r="F20" s="6">
        <f>E20/$A$22</f>
        <v>0.39268655181761247</v>
      </c>
      <c r="G20" s="114">
        <f>SUM(H20:H23)</f>
        <v>100.70043930323205</v>
      </c>
      <c r="H20" s="4">
        <f>F20*H$19</f>
        <v>39.543708276504972</v>
      </c>
      <c r="I20" s="4">
        <f>$F20*I$11</f>
        <v>0</v>
      </c>
      <c r="J20" s="267">
        <f t="shared" ref="J20:K23" si="52">C20*H20</f>
        <v>118.63112482951492</v>
      </c>
      <c r="K20" s="267">
        <f t="shared" si="52"/>
        <v>0</v>
      </c>
      <c r="L20" s="4"/>
      <c r="M20" s="4">
        <f>K20*M$19</f>
        <v>0</v>
      </c>
      <c r="N20" s="4">
        <f>$F20*N$11</f>
        <v>0</v>
      </c>
      <c r="O20" s="267">
        <f>$C20*M20</f>
        <v>0</v>
      </c>
      <c r="P20" s="299">
        <f>$D20*N20</f>
        <v>0</v>
      </c>
      <c r="Q20" s="4"/>
      <c r="R20" s="4">
        <f>P20*R$19</f>
        <v>0</v>
      </c>
      <c r="S20" s="4">
        <f>$F20*S$11</f>
        <v>2.2981988023423123</v>
      </c>
      <c r="T20" s="267">
        <f>$C20*R20</f>
        <v>0</v>
      </c>
      <c r="U20" s="299">
        <f>$D20*S20</f>
        <v>5.8604069459728958</v>
      </c>
      <c r="V20" s="4"/>
      <c r="W20" s="4">
        <f>U20*W$19</f>
        <v>294.61768349304219</v>
      </c>
      <c r="X20" s="4">
        <f>$F20*X$19</f>
        <v>23.43008376392617</v>
      </c>
      <c r="Y20" s="267">
        <f>$C20*W20</f>
        <v>883.85305047912652</v>
      </c>
      <c r="Z20" s="299">
        <f>$D20*X20</f>
        <v>59.746713598011731</v>
      </c>
      <c r="AA20" s="4"/>
      <c r="AB20" s="4">
        <f>$F20*AB$19</f>
        <v>14.727660329309632</v>
      </c>
      <c r="AC20" s="4">
        <f>$F20*AC$19</f>
        <v>30.092752783369008</v>
      </c>
      <c r="AD20" s="267">
        <f>$C20*AB20</f>
        <v>44.1829809879289</v>
      </c>
      <c r="AE20" s="299">
        <f>$D20*AC20</f>
        <v>76.73651959759097</v>
      </c>
      <c r="AF20" s="114">
        <f>SUM(AG20:AG23)</f>
        <v>52.582453265038268</v>
      </c>
      <c r="AG20" s="4">
        <f>F20*AG$19</f>
        <v>20.648422258758639</v>
      </c>
      <c r="AH20" s="4">
        <f>$F20*AH$19</f>
        <v>21.896790539938863</v>
      </c>
      <c r="AI20" s="267">
        <f>$C20*AG20</f>
        <v>61.945266776275915</v>
      </c>
      <c r="AJ20" s="299">
        <f>$D20*AH20</f>
        <v>55.836815876844099</v>
      </c>
      <c r="AK20" s="114">
        <f>SUM(AL20:AL23)</f>
        <v>27.594489957052581</v>
      </c>
      <c r="AL20" s="4">
        <f>F20*AL$19</f>
        <v>10.835985110400715</v>
      </c>
      <c r="AM20" s="4">
        <f>$F20*AM$19</f>
        <v>24.440794177876455</v>
      </c>
      <c r="AN20" s="267">
        <f>$C20*AL20</f>
        <v>32.507955331202147</v>
      </c>
      <c r="AO20" s="299">
        <f>$D20*AM20</f>
        <v>62.324025153584955</v>
      </c>
      <c r="AP20" s="4"/>
      <c r="AQ20" s="4">
        <f>AQ$19*$F20</f>
        <v>0</v>
      </c>
      <c r="AR20" s="4">
        <f>$F20*AR$19</f>
        <v>34.882694490604436</v>
      </c>
      <c r="AS20" s="267">
        <f>$C20*AQ20</f>
        <v>0</v>
      </c>
      <c r="AT20" s="299">
        <f>$D20*AR20</f>
        <v>88.95087095104131</v>
      </c>
    </row>
    <row r="21" spans="1:46" x14ac:dyDescent="0.4">
      <c r="A21" t="s">
        <v>10</v>
      </c>
      <c r="B21">
        <v>2</v>
      </c>
      <c r="C21" s="1">
        <v>3.3</v>
      </c>
      <c r="D21" s="1">
        <f>C21*0.85</f>
        <v>2.8049999999999997</v>
      </c>
      <c r="E21" s="4">
        <v>42936</v>
      </c>
      <c r="F21" s="6">
        <f>E21/$A$22</f>
        <v>0.40134229442611302</v>
      </c>
      <c r="H21" s="4">
        <f>H$19*$F21</f>
        <v>40.415345359676678</v>
      </c>
      <c r="I21" s="4">
        <f>G21*$G$3</f>
        <v>0</v>
      </c>
      <c r="J21" s="4">
        <f t="shared" si="52"/>
        <v>133.37063968693303</v>
      </c>
      <c r="K21" s="267">
        <f t="shared" si="52"/>
        <v>0</v>
      </c>
      <c r="L21" s="4"/>
      <c r="M21" s="4">
        <f>M$19*$F21</f>
        <v>43.150948293513103</v>
      </c>
      <c r="N21" s="4">
        <f>L21*$G$3</f>
        <v>0</v>
      </c>
      <c r="O21" s="4">
        <f>$C21*M21</f>
        <v>142.39812936859323</v>
      </c>
      <c r="P21" s="299">
        <f>$D21*N21</f>
        <v>0</v>
      </c>
      <c r="Q21" s="4"/>
      <c r="R21" s="4">
        <f>R$19*$F21</f>
        <v>34.621088691404324</v>
      </c>
      <c r="S21" s="4">
        <f>Q21*$G$3</f>
        <v>0</v>
      </c>
      <c r="T21" s="4">
        <f>$C21*R21</f>
        <v>114.24959268163427</v>
      </c>
      <c r="U21" s="299">
        <f>$D21*S21</f>
        <v>0</v>
      </c>
      <c r="V21" s="4"/>
      <c r="W21" s="4">
        <f>W$19*$F21</f>
        <v>20.176506198576671</v>
      </c>
      <c r="X21" s="4">
        <f>$F21*X$19</f>
        <v>23.946538359627088</v>
      </c>
      <c r="Y21" s="4">
        <f>$C21*W21</f>
        <v>66.58247045530301</v>
      </c>
      <c r="Z21" s="299">
        <f>$D21*X21</f>
        <v>67.170040098753972</v>
      </c>
      <c r="AA21" s="4"/>
      <c r="AB21" s="4">
        <f>AB$19*$F21</f>
        <v>15.052292880248473</v>
      </c>
      <c r="AC21" s="4">
        <f>$F21*AC$19</f>
        <v>30.7560684005411</v>
      </c>
      <c r="AD21" s="4">
        <f>$C21*AB21</f>
        <v>49.672566504819955</v>
      </c>
      <c r="AE21" s="299">
        <f>$D21*AC21</f>
        <v>86.27077186351778</v>
      </c>
      <c r="AF21" s="4"/>
      <c r="AG21" s="4">
        <f>AG$19*$F21</f>
        <v>21.103562439944319</v>
      </c>
      <c r="AH21" s="4">
        <f>$F21*AH$19</f>
        <v>22.379447717753273</v>
      </c>
      <c r="AI21" s="4">
        <f>$C21*AG21</f>
        <v>69.641756051816245</v>
      </c>
      <c r="AJ21" s="299">
        <f>$D21*AH21</f>
        <v>62.774350848297921</v>
      </c>
      <c r="AK21" s="4"/>
      <c r="AL21" s="4">
        <f>AL$19*$F21</f>
        <v>11.074835912881815</v>
      </c>
      <c r="AM21" s="4">
        <f>$F21*AM$19</f>
        <v>24.979527227357853</v>
      </c>
      <c r="AN21" s="4">
        <f>$C21*AL21</f>
        <v>36.546958512509988</v>
      </c>
      <c r="AO21" s="299">
        <f>$D21*AM21</f>
        <v>70.067573872738762</v>
      </c>
      <c r="AP21" s="4"/>
      <c r="AQ21" s="4">
        <f>AQ$19*$F21</f>
        <v>0</v>
      </c>
      <c r="AR21" s="4">
        <f>$F21*AR$19</f>
        <v>35.651591779304731</v>
      </c>
      <c r="AS21" s="4">
        <f>$C21*AQ21</f>
        <v>0</v>
      </c>
      <c r="AT21" s="299">
        <f>$D21*AR21</f>
        <v>100.00271494094976</v>
      </c>
    </row>
    <row r="22" spans="1:46" x14ac:dyDescent="0.4">
      <c r="A22" s="5">
        <f>SUM(E20:E23)</f>
        <v>106981</v>
      </c>
      <c r="B22">
        <v>2.5</v>
      </c>
      <c r="C22" s="1">
        <v>3.4</v>
      </c>
      <c r="D22" s="1">
        <f>C22*0.85</f>
        <v>2.8899999999999997</v>
      </c>
      <c r="E22" s="4">
        <v>17071</v>
      </c>
      <c r="F22" s="6">
        <f>E22/$A$22</f>
        <v>0.15957039100401005</v>
      </c>
      <c r="H22" s="4">
        <f>H$19*$F22</f>
        <v>16.068808473892318</v>
      </c>
      <c r="I22" s="4">
        <f>$F22*I$21</f>
        <v>0</v>
      </c>
      <c r="J22" s="267">
        <f t="shared" si="52"/>
        <v>54.633948811233878</v>
      </c>
      <c r="K22" s="267">
        <f t="shared" si="52"/>
        <v>0</v>
      </c>
      <c r="L22" s="4"/>
      <c r="M22" s="4">
        <f>M$19*$F22</f>
        <v>17.156461671291275</v>
      </c>
      <c r="N22" s="4">
        <f>$F22*N$21</f>
        <v>0</v>
      </c>
      <c r="O22" s="267">
        <f>$C22*M22</f>
        <v>58.331969682390337</v>
      </c>
      <c r="P22" s="299">
        <f>$D22*N22</f>
        <v>0</v>
      </c>
      <c r="Q22" s="4"/>
      <c r="R22" s="4">
        <f>R$19*$F22</f>
        <v>13.765059741265215</v>
      </c>
      <c r="S22" s="4">
        <f>$F22*S$21</f>
        <v>0</v>
      </c>
      <c r="T22" s="267">
        <f>$C22*R22</f>
        <v>46.801203120301729</v>
      </c>
      <c r="U22" s="299">
        <f>$D22*S22</f>
        <v>0</v>
      </c>
      <c r="V22" s="4"/>
      <c r="W22" s="4">
        <f>W$19*$F22</f>
        <v>8.0220127006684923</v>
      </c>
      <c r="X22" s="4">
        <f>$F22*X$19</f>
        <v>9.5209464397520502</v>
      </c>
      <c r="Y22" s="267">
        <f>$C22*W22</f>
        <v>27.274843182272871</v>
      </c>
      <c r="Z22" s="299">
        <f>$D22*X22</f>
        <v>27.515535210883421</v>
      </c>
      <c r="AA22" s="4"/>
      <c r="AB22" s="4">
        <f>AB$19*$F22</f>
        <v>5.9846676858282484</v>
      </c>
      <c r="AC22" s="4">
        <f>$F22*AC$19</f>
        <v>12.228359504044091</v>
      </c>
      <c r="AD22" s="267">
        <f>$C22*AB22</f>
        <v>20.347870131816045</v>
      </c>
      <c r="AE22" s="299">
        <f>$D22*AC22</f>
        <v>35.339958966687419</v>
      </c>
      <c r="AF22" s="4"/>
      <c r="AG22" s="4">
        <f>AG$19*$F22</f>
        <v>8.3906026274522425</v>
      </c>
      <c r="AH22" s="4">
        <f>$F22*AH$19</f>
        <v>8.8978841063388785</v>
      </c>
      <c r="AI22" s="267">
        <f>$C22*AG22</f>
        <v>28.528048933337622</v>
      </c>
      <c r="AJ22" s="299">
        <f>$D22*AH22</f>
        <v>25.714885067319354</v>
      </c>
      <c r="AK22" s="4"/>
      <c r="AL22" s="4">
        <f>AL$19*$F22</f>
        <v>4.4032635520031089</v>
      </c>
      <c r="AM22" s="4">
        <f>$F22*AM$19</f>
        <v>9.9316543063682197</v>
      </c>
      <c r="AN22" s="267">
        <f>$C22*AL22</f>
        <v>14.97109607681057</v>
      </c>
      <c r="AO22" s="299">
        <f>$D22*AM22</f>
        <v>28.702480945404151</v>
      </c>
      <c r="AP22" s="4"/>
      <c r="AQ22" s="4">
        <f>AQ$19*$F22</f>
        <v>0</v>
      </c>
      <c r="AR22" s="4">
        <f>$F22*AR$19</f>
        <v>14.174779282292508</v>
      </c>
      <c r="AS22" s="267">
        <f>$C22*AQ22</f>
        <v>0</v>
      </c>
      <c r="AT22" s="299">
        <f>$D22*AR22</f>
        <v>40.965112125825343</v>
      </c>
    </row>
    <row r="23" spans="1:46" x14ac:dyDescent="0.4">
      <c r="A23" s="6">
        <f>A22/$E$51</f>
        <v>0.16732723132171323</v>
      </c>
      <c r="B23">
        <v>3</v>
      </c>
      <c r="C23" s="1">
        <v>3.2</v>
      </c>
      <c r="D23" s="1">
        <f>C23*0.85</f>
        <v>2.72</v>
      </c>
      <c r="E23" s="4">
        <v>4964</v>
      </c>
      <c r="F23" s="6">
        <f>E23/$A$22</f>
        <v>4.6400762752264423E-2</v>
      </c>
      <c r="H23" s="4">
        <f>H$19*$F23</f>
        <v>4.672577193158074</v>
      </c>
      <c r="I23" s="4">
        <f>$F23*I$21</f>
        <v>0</v>
      </c>
      <c r="J23" s="267">
        <f t="shared" si="52"/>
        <v>14.952247018105837</v>
      </c>
      <c r="K23" s="267">
        <f t="shared" si="52"/>
        <v>0</v>
      </c>
      <c r="L23" s="4"/>
      <c r="M23" s="4">
        <f>M$19*$F23</f>
        <v>4.9888510184693278</v>
      </c>
      <c r="N23" s="4">
        <f>$F23*N$21</f>
        <v>0</v>
      </c>
      <c r="O23" s="267">
        <f>$C23*M23</f>
        <v>15.96432325910185</v>
      </c>
      <c r="P23" s="299">
        <f>$D23*N23</f>
        <v>0</v>
      </c>
      <c r="Q23" s="4"/>
      <c r="R23" s="4">
        <f>R$19*$F23</f>
        <v>4.0026803676199716</v>
      </c>
      <c r="S23" s="4">
        <f>$F23*S$21</f>
        <v>0</v>
      </c>
      <c r="T23" s="267">
        <f>$C23*R23</f>
        <v>12.80857717638391</v>
      </c>
      <c r="U23" s="299">
        <f>$D23*S23</f>
        <v>0</v>
      </c>
      <c r="V23" s="4"/>
      <c r="W23" s="4">
        <f>W$19*$F23</f>
        <v>2.3326853169772361</v>
      </c>
      <c r="X23" s="4">
        <f>$F23*X$19</f>
        <v>2.7685535778178889</v>
      </c>
      <c r="Y23" s="267">
        <f>$C23*W23</f>
        <v>7.4645930143271562</v>
      </c>
      <c r="Z23" s="299">
        <f>$D23*X23</f>
        <v>7.5304657316646582</v>
      </c>
      <c r="AA23" s="4"/>
      <c r="AB23" s="4">
        <f>AB$19*$F23</f>
        <v>1.7402548411019525</v>
      </c>
      <c r="AC23" s="4">
        <f>$F23*AC$19</f>
        <v>3.5558301551212512</v>
      </c>
      <c r="AD23" s="267">
        <f>$C23*AB23</f>
        <v>5.568815491526248</v>
      </c>
      <c r="AE23" s="299">
        <f>$D23*AC23</f>
        <v>9.671858021929804</v>
      </c>
      <c r="AF23" s="4"/>
      <c r="AG23" s="4">
        <f>AG$19*$F23</f>
        <v>2.4398659388830728</v>
      </c>
      <c r="AH23" s="4">
        <f>$F23*AH$19</f>
        <v>2.5873760590396695</v>
      </c>
      <c r="AI23" s="267">
        <f>$C23*AG23</f>
        <v>7.8075710044258333</v>
      </c>
      <c r="AJ23" s="299">
        <f>$D23*AH23</f>
        <v>7.0376628805879013</v>
      </c>
      <c r="AK23" s="4"/>
      <c r="AL23" s="4">
        <f>AL$19*$F23</f>
        <v>1.2804053817669401</v>
      </c>
      <c r="AM23" s="4">
        <f>$F23*AM$19</f>
        <v>2.8879814877167038</v>
      </c>
      <c r="AN23" s="267">
        <f>$C23*AL23</f>
        <v>4.0972972216542081</v>
      </c>
      <c r="AO23" s="299">
        <f>$D23*AM23</f>
        <v>7.8553096465894345</v>
      </c>
      <c r="AP23" s="4"/>
      <c r="AQ23" s="4">
        <f>AQ$19*$F23</f>
        <v>0</v>
      </c>
      <c r="AR23" s="4">
        <f>$F23*AR$19</f>
        <v>4.1218208867260273</v>
      </c>
      <c r="AS23" s="267">
        <f>$C23*AQ23</f>
        <v>0</v>
      </c>
      <c r="AT23" s="299">
        <f>$D23*AR23</f>
        <v>11.211352811894795</v>
      </c>
    </row>
    <row r="24" spans="1:46" x14ac:dyDescent="0.4">
      <c r="A24" s="6"/>
      <c r="F24" s="6"/>
      <c r="H24" s="4">
        <f>機器台数case1!D65</f>
        <v>77.091875930629783</v>
      </c>
      <c r="I24" s="4">
        <f>機器台数case1!D72</f>
        <v>0</v>
      </c>
      <c r="J24" s="4">
        <f>SUM(J25:J31)</f>
        <v>323.97121945041232</v>
      </c>
      <c r="K24" s="4">
        <f>SUM(K25:K31)</f>
        <v>0</v>
      </c>
      <c r="L24" s="4"/>
      <c r="M24" s="4">
        <f>機器台数case1!F65</f>
        <v>82.310011767251808</v>
      </c>
      <c r="N24" s="4">
        <v>0</v>
      </c>
      <c r="O24" s="4">
        <f>SUM(O25:O31)</f>
        <v>345.89993515282356</v>
      </c>
      <c r="P24" s="297">
        <f>SUM(P25:P31)</f>
        <v>0</v>
      </c>
      <c r="Q24" s="4"/>
      <c r="R24" s="4">
        <f>機器台数case1!H65</f>
        <v>66.039388015325486</v>
      </c>
      <c r="S24" s="4">
        <f>機器台数case1!H72</f>
        <v>14.506822071228608</v>
      </c>
      <c r="T24" s="4">
        <f>SUM(T25:T31)</f>
        <v>277.52419835179336</v>
      </c>
      <c r="U24" s="297">
        <f>SUM(U25:U31)</f>
        <v>51.818999901440606</v>
      </c>
      <c r="V24" s="4"/>
      <c r="W24" s="4">
        <f>機器台数case1!J65</f>
        <v>38.486488207178823</v>
      </c>
      <c r="X24" s="4">
        <f>機器台数case1!J72</f>
        <v>45.677787675923668</v>
      </c>
      <c r="Y24" s="4">
        <f>SUM(Y25:Y31)</f>
        <v>161.73577781481518</v>
      </c>
      <c r="Z24" s="297">
        <f>SUM(Z25:Z31)</f>
        <v>163.16304587282013</v>
      </c>
      <c r="AA24" s="4"/>
      <c r="AB24" s="4">
        <f>機器台数case1!L65</f>
        <v>28.712101427528182</v>
      </c>
      <c r="AC24" s="4">
        <f>機器台数case1!L72</f>
        <v>58.666899618136682</v>
      </c>
      <c r="AD24" s="4">
        <f>SUM(AD25:AD31)</f>
        <v>120.65985423458149</v>
      </c>
      <c r="AE24" s="297">
        <f>SUM(AE25:AE31)</f>
        <v>209.56071912947797</v>
      </c>
      <c r="AF24" s="4"/>
      <c r="AG24" s="4">
        <f>機器台数case1!N65</f>
        <v>40.254838919122413</v>
      </c>
      <c r="AH24" s="4">
        <f>機器台数case1!N72</f>
        <v>42.688577605831782</v>
      </c>
      <c r="AI24" s="4">
        <f>SUM(AI25:AI31)</f>
        <v>169.16710218782544</v>
      </c>
      <c r="AJ24" s="297">
        <f>SUM(AJ25:AJ31)</f>
        <v>152.4854573860429</v>
      </c>
      <c r="AK24" s="4"/>
      <c r="AL24" s="4">
        <f>機器台数case1!P65</f>
        <v>21.125141169764788</v>
      </c>
      <c r="AM24" s="4">
        <f>機器台数case1!P72</f>
        <v>47.64820383642185</v>
      </c>
      <c r="AN24" s="4">
        <f>SUM(AN25:AN31)</f>
        <v>88.776380950818307</v>
      </c>
      <c r="AO24" s="297">
        <f>SUM(AO25:AO31)</f>
        <v>170.20145816776082</v>
      </c>
      <c r="AP24" s="4"/>
      <c r="AQ24" s="4">
        <f>機器台数case1!R65</f>
        <v>0</v>
      </c>
      <c r="AR24" s="4">
        <f>機器台数case1!R72</f>
        <v>68.005062575113143</v>
      </c>
      <c r="AS24" s="4">
        <f>SUM(AS25:AS31)</f>
        <v>0</v>
      </c>
      <c r="AT24" s="297">
        <f>SUM(AT25:AT31)</f>
        <v>242.91704368983133</v>
      </c>
    </row>
    <row r="25" spans="1:46" s="291" customFormat="1" x14ac:dyDescent="0.4">
      <c r="A25" s="291" t="s">
        <v>6</v>
      </c>
      <c r="B25" s="291">
        <v>1.5</v>
      </c>
      <c r="C25" s="292">
        <v>3</v>
      </c>
      <c r="D25" s="292">
        <f t="shared" ref="D25:D31" si="53">C25*0.85</f>
        <v>2.5499999999999998</v>
      </c>
      <c r="E25" s="293">
        <v>10837</v>
      </c>
      <c r="F25" s="294">
        <f t="shared" ref="F25:F31" si="54">E25/$A$27</f>
        <v>0.13231990231990232</v>
      </c>
      <c r="G25" s="114">
        <f>SUM(H25:H31)</f>
        <v>77.091875930629769</v>
      </c>
      <c r="H25" s="293">
        <f t="shared" ref="H25:H31" si="55">F25*H$24</f>
        <v>10.200789492798961</v>
      </c>
      <c r="I25" s="293">
        <f t="shared" ref="I25:I31" si="56">$F25*I$24</f>
        <v>0</v>
      </c>
      <c r="J25" s="295">
        <f t="shared" ref="J25:K31" si="57">C25*H25</f>
        <v>30.602368478396883</v>
      </c>
      <c r="K25" s="295">
        <f t="shared" si="57"/>
        <v>0</v>
      </c>
      <c r="L25" s="293"/>
      <c r="M25" s="293">
        <f t="shared" ref="M25:M31" si="58">M$24*$F25</f>
        <v>10.891252716992769</v>
      </c>
      <c r="N25" s="293">
        <f t="shared" ref="N25:N31" si="59">$F25*N$24</f>
        <v>0</v>
      </c>
      <c r="O25" s="295">
        <f t="shared" ref="O25:O31" si="60">$C25*M25</f>
        <v>32.673758150978308</v>
      </c>
      <c r="P25" s="301">
        <f t="shared" ref="P25:P31" si="61">$D25*N25</f>
        <v>0</v>
      </c>
      <c r="Q25" s="293"/>
      <c r="R25" s="293">
        <f t="shared" ref="R25:R31" si="62">R$24*$F25</f>
        <v>8.7383253714539961</v>
      </c>
      <c r="S25" s="293">
        <f t="shared" ref="S25:S31" si="63">$F25*S$24</f>
        <v>1.9195412794371725</v>
      </c>
      <c r="T25" s="295">
        <f t="shared" ref="T25:T31" si="64">$C25*R25</f>
        <v>26.214976114361988</v>
      </c>
      <c r="U25" s="301">
        <f t="shared" ref="U25:U31" si="65">$D25*S25</f>
        <v>4.8948302625647893</v>
      </c>
      <c r="V25" s="293"/>
      <c r="W25" s="293">
        <f t="shared" ref="W25:W31" si="66">W$24*$F25</f>
        <v>5.0925283602099745</v>
      </c>
      <c r="X25" s="293">
        <f t="shared" ref="X25:X31" si="67">$F25*X$24</f>
        <v>6.0440804034674578</v>
      </c>
      <c r="Y25" s="295">
        <f t="shared" ref="Y25:Y31" si="68">$C25*W25</f>
        <v>15.277585080629922</v>
      </c>
      <c r="Z25" s="301">
        <f t="shared" ref="Z25:Z31" si="69">$D25*X25</f>
        <v>15.412405028842016</v>
      </c>
      <c r="AA25" s="293"/>
      <c r="AB25" s="293">
        <f t="shared" ref="AB25:AB31" si="70">AB$24*$F25</f>
        <v>3.7991824562896568</v>
      </c>
      <c r="AC25" s="293">
        <f t="shared" ref="AC25:AC31" si="71">$F25*AC$24</f>
        <v>7.7627984268833599</v>
      </c>
      <c r="AD25" s="295">
        <f t="shared" ref="AD25:AD31" si="72">$C25*AB25</f>
        <v>11.39754736886897</v>
      </c>
      <c r="AE25" s="301">
        <f t="shared" ref="AE25:AE31" si="73">$D25*AC25</f>
        <v>19.795135988552566</v>
      </c>
      <c r="AF25" s="114">
        <f>SUM(AG25:AG31)</f>
        <v>40.25483891912242</v>
      </c>
      <c r="AG25" s="293">
        <f t="shared" ref="AG25:AG31" si="74">AG$24*$F25</f>
        <v>5.3265163536816802</v>
      </c>
      <c r="AH25" s="293">
        <f t="shared" ref="AH25:AH31" si="75">$F25*AH$24</f>
        <v>5.6485484189792308</v>
      </c>
      <c r="AI25" s="295">
        <f t="shared" ref="AI25:AI31" si="76">$C25*AG25</f>
        <v>15.979549061045041</v>
      </c>
      <c r="AJ25" s="301">
        <f t="shared" ref="AJ25:AJ31" si="77">$D25*AH25</f>
        <v>14.403798468397037</v>
      </c>
      <c r="AK25" s="114">
        <f>SUM(AL25:AL31)</f>
        <v>21.125141169764792</v>
      </c>
      <c r="AL25" s="293">
        <f t="shared" ref="AL25:AL31" si="78">AL$24*$F25</f>
        <v>2.7952766160774236</v>
      </c>
      <c r="AM25" s="293">
        <f t="shared" ref="AM25:AM31" si="79">$F25*AM$24</f>
        <v>6.3048056773541337</v>
      </c>
      <c r="AN25" s="295">
        <f t="shared" ref="AN25:AN31" si="80">$C25*AL25</f>
        <v>8.3858298482322713</v>
      </c>
      <c r="AO25" s="301">
        <f t="shared" ref="AO25:AO31" si="81">$D25*AM25</f>
        <v>16.077254477253039</v>
      </c>
      <c r="AP25" s="293"/>
      <c r="AQ25" s="293">
        <f t="shared" ref="AQ25:AQ31" si="82">AQ$24*$F25</f>
        <v>0</v>
      </c>
      <c r="AR25" s="293">
        <f t="shared" ref="AR25:AR31" si="83">$F25*AR$24</f>
        <v>8.9984232371978159</v>
      </c>
      <c r="AS25" s="295">
        <f t="shared" ref="AS25:AS31" si="84">$C25*AQ25</f>
        <v>0</v>
      </c>
      <c r="AT25" s="301">
        <f t="shared" ref="AT25:AT31" si="85">$D25*AR25</f>
        <v>22.945979254854429</v>
      </c>
    </row>
    <row r="26" spans="1:46" x14ac:dyDescent="0.4">
      <c r="A26" t="s">
        <v>11</v>
      </c>
      <c r="B26">
        <v>2</v>
      </c>
      <c r="C26" s="1">
        <v>3.3</v>
      </c>
      <c r="D26" s="1">
        <f t="shared" si="53"/>
        <v>2.8049999999999997</v>
      </c>
      <c r="E26" s="4">
        <v>14510</v>
      </c>
      <c r="F26" s="6">
        <f t="shared" si="54"/>
        <v>0.17716727716727718</v>
      </c>
      <c r="H26" s="4">
        <f t="shared" si="55"/>
        <v>13.658157750347231</v>
      </c>
      <c r="I26" s="4">
        <f t="shared" si="56"/>
        <v>0</v>
      </c>
      <c r="J26" s="267">
        <f t="shared" si="57"/>
        <v>45.071920576145857</v>
      </c>
      <c r="K26" s="267">
        <f t="shared" si="57"/>
        <v>0</v>
      </c>
      <c r="L26" s="4"/>
      <c r="M26" s="4">
        <f t="shared" si="58"/>
        <v>14.582640668410548</v>
      </c>
      <c r="N26" s="4">
        <f t="shared" si="59"/>
        <v>0</v>
      </c>
      <c r="O26" s="267">
        <f t="shared" si="60"/>
        <v>48.122714205754804</v>
      </c>
      <c r="P26" s="299">
        <f t="shared" si="61"/>
        <v>0</v>
      </c>
      <c r="Q26" s="4"/>
      <c r="R26" s="4">
        <f t="shared" si="62"/>
        <v>11.700018560468532</v>
      </c>
      <c r="S26" s="4">
        <f t="shared" si="63"/>
        <v>2.570134166709733</v>
      </c>
      <c r="T26" s="267">
        <f t="shared" si="64"/>
        <v>38.610061249546156</v>
      </c>
      <c r="U26" s="299">
        <f t="shared" si="65"/>
        <v>7.2092263376208008</v>
      </c>
      <c r="V26" s="4"/>
      <c r="W26" s="4">
        <f t="shared" si="66"/>
        <v>6.8185463233963954</v>
      </c>
      <c r="X26" s="4">
        <f t="shared" si="67"/>
        <v>8.0926092695684062</v>
      </c>
      <c r="Y26" s="267">
        <f t="shared" si="68"/>
        <v>22.501202867208104</v>
      </c>
      <c r="Z26" s="299">
        <f t="shared" si="69"/>
        <v>22.699769001139376</v>
      </c>
      <c r="AA26" s="4"/>
      <c r="AB26" s="4">
        <f t="shared" si="70"/>
        <v>5.0868448316658599</v>
      </c>
      <c r="AC26" s="4">
        <f t="shared" si="71"/>
        <v>10.393854865191249</v>
      </c>
      <c r="AD26" s="267">
        <f t="shared" si="72"/>
        <v>16.786587944497338</v>
      </c>
      <c r="AE26" s="299">
        <f t="shared" si="73"/>
        <v>29.154762896861453</v>
      </c>
      <c r="AF26" s="4"/>
      <c r="AG26" s="4">
        <f t="shared" si="74"/>
        <v>7.1318402041082569</v>
      </c>
      <c r="AH26" s="4">
        <f t="shared" si="75"/>
        <v>7.5630190605692205</v>
      </c>
      <c r="AI26" s="267">
        <f t="shared" si="76"/>
        <v>23.535072673557245</v>
      </c>
      <c r="AJ26" s="299">
        <f t="shared" si="77"/>
        <v>21.214268464896662</v>
      </c>
      <c r="AK26" s="4"/>
      <c r="AL26" s="4">
        <f t="shared" si="78"/>
        <v>3.7426837408215761</v>
      </c>
      <c r="AM26" s="4">
        <f t="shared" si="79"/>
        <v>8.4417025356102702</v>
      </c>
      <c r="AN26" s="267">
        <f t="shared" si="80"/>
        <v>12.3508563447112</v>
      </c>
      <c r="AO26" s="299">
        <f t="shared" si="81"/>
        <v>23.678975612386804</v>
      </c>
      <c r="AP26" s="4"/>
      <c r="AQ26" s="4">
        <f t="shared" si="82"/>
        <v>0</v>
      </c>
      <c r="AR26" s="4">
        <f t="shared" si="83"/>
        <v>12.048271770023099</v>
      </c>
      <c r="AS26" s="267">
        <f t="shared" si="84"/>
        <v>0</v>
      </c>
      <c r="AT26" s="299">
        <f t="shared" si="85"/>
        <v>33.795402314914789</v>
      </c>
    </row>
    <row r="27" spans="1:46" x14ac:dyDescent="0.4">
      <c r="A27" s="5">
        <f>SUM(E25:E31)</f>
        <v>81900</v>
      </c>
      <c r="B27">
        <v>2.5</v>
      </c>
      <c r="C27" s="1">
        <v>3.4</v>
      </c>
      <c r="D27" s="1">
        <f t="shared" si="53"/>
        <v>2.8899999999999997</v>
      </c>
      <c r="E27" s="4">
        <v>12890</v>
      </c>
      <c r="F27" s="6">
        <f t="shared" si="54"/>
        <v>0.15738705738705738</v>
      </c>
      <c r="H27" s="4">
        <f t="shared" si="55"/>
        <v>12.133263501169937</v>
      </c>
      <c r="I27" s="4">
        <f t="shared" si="56"/>
        <v>0</v>
      </c>
      <c r="J27" s="267">
        <f t="shared" si="57"/>
        <v>41.253095903977787</v>
      </c>
      <c r="K27" s="267">
        <f t="shared" si="57"/>
        <v>0</v>
      </c>
      <c r="L27" s="4"/>
      <c r="M27" s="4">
        <f t="shared" si="58"/>
        <v>12.954530545541829</v>
      </c>
      <c r="N27" s="4">
        <f t="shared" si="59"/>
        <v>0</v>
      </c>
      <c r="O27" s="267">
        <f t="shared" si="60"/>
        <v>44.045403854842213</v>
      </c>
      <c r="P27" s="299">
        <f t="shared" si="61"/>
        <v>0</v>
      </c>
      <c r="Q27" s="4"/>
      <c r="R27" s="4">
        <f t="shared" si="62"/>
        <v>10.393744951374181</v>
      </c>
      <c r="S27" s="4">
        <f t="shared" si="63"/>
        <v>2.2831860378282878</v>
      </c>
      <c r="T27" s="267">
        <f t="shared" si="64"/>
        <v>35.338732834672214</v>
      </c>
      <c r="U27" s="299">
        <f t="shared" si="65"/>
        <v>6.5984076493237511</v>
      </c>
      <c r="V27" s="4"/>
      <c r="W27" s="4">
        <f t="shared" si="66"/>
        <v>6.0572751280895609</v>
      </c>
      <c r="X27" s="4">
        <f t="shared" si="67"/>
        <v>7.1890925902644209</v>
      </c>
      <c r="Y27" s="267">
        <f t="shared" si="68"/>
        <v>20.594735435504507</v>
      </c>
      <c r="Z27" s="299">
        <f t="shared" si="69"/>
        <v>20.776477585864175</v>
      </c>
      <c r="AA27" s="4"/>
      <c r="AB27" s="4">
        <f t="shared" si="70"/>
        <v>4.5189131550773904</v>
      </c>
      <c r="AC27" s="4">
        <f t="shared" si="71"/>
        <v>9.2334106969204122</v>
      </c>
      <c r="AD27" s="267">
        <f t="shared" si="72"/>
        <v>15.364304727263127</v>
      </c>
      <c r="AE27" s="299">
        <f t="shared" si="73"/>
        <v>26.684556914099989</v>
      </c>
      <c r="AF27" s="4"/>
      <c r="AG27" s="4">
        <f t="shared" si="74"/>
        <v>6.3355906430706703</v>
      </c>
      <c r="AH27" s="4">
        <f t="shared" si="75"/>
        <v>6.7186296134208989</v>
      </c>
      <c r="AI27" s="267">
        <f t="shared" si="76"/>
        <v>21.54100818644028</v>
      </c>
      <c r="AJ27" s="299">
        <f t="shared" si="77"/>
        <v>19.416839582786395</v>
      </c>
      <c r="AK27" s="4"/>
      <c r="AL27" s="4">
        <f t="shared" si="78"/>
        <v>3.3248238055954591</v>
      </c>
      <c r="AM27" s="4">
        <f t="shared" si="79"/>
        <v>7.4992105915931333</v>
      </c>
      <c r="AN27" s="267">
        <f t="shared" si="80"/>
        <v>11.304400939024561</v>
      </c>
      <c r="AO27" s="299">
        <f t="shared" si="81"/>
        <v>21.672718609704152</v>
      </c>
      <c r="AP27" s="4"/>
      <c r="AQ27" s="4">
        <f t="shared" si="82"/>
        <v>0</v>
      </c>
      <c r="AR27" s="4">
        <f t="shared" si="83"/>
        <v>10.703116686119762</v>
      </c>
      <c r="AS27" s="267">
        <f t="shared" si="84"/>
        <v>0</v>
      </c>
      <c r="AT27" s="299">
        <f t="shared" si="85"/>
        <v>30.932007222886106</v>
      </c>
    </row>
    <row r="28" spans="1:46" x14ac:dyDescent="0.4">
      <c r="A28" s="6">
        <f>A27/$E$51</f>
        <v>0.12809844968030132</v>
      </c>
      <c r="B28">
        <v>3</v>
      </c>
      <c r="C28" s="1">
        <v>3.2</v>
      </c>
      <c r="D28" s="1">
        <f t="shared" si="53"/>
        <v>2.72</v>
      </c>
      <c r="E28" s="4">
        <v>16504</v>
      </c>
      <c r="F28" s="6">
        <f t="shared" si="54"/>
        <v>0.20151404151404151</v>
      </c>
      <c r="H28" s="4">
        <f t="shared" si="55"/>
        <v>15.535095486680268</v>
      </c>
      <c r="I28" s="4">
        <f t="shared" si="56"/>
        <v>0</v>
      </c>
      <c r="J28" s="267">
        <f t="shared" si="57"/>
        <v>49.712305557376858</v>
      </c>
      <c r="K28" s="267">
        <f t="shared" si="57"/>
        <v>0</v>
      </c>
      <c r="L28" s="4"/>
      <c r="M28" s="4">
        <f t="shared" si="58"/>
        <v>16.586623128287226</v>
      </c>
      <c r="N28" s="4">
        <f t="shared" si="59"/>
        <v>0</v>
      </c>
      <c r="O28" s="267">
        <f t="shared" si="60"/>
        <v>53.077194010519122</v>
      </c>
      <c r="P28" s="299">
        <f t="shared" si="61"/>
        <v>0</v>
      </c>
      <c r="Q28" s="4"/>
      <c r="R28" s="4">
        <f t="shared" si="62"/>
        <v>13.307863978082196</v>
      </c>
      <c r="S28" s="4">
        <f t="shared" si="63"/>
        <v>2.9233283450983754</v>
      </c>
      <c r="T28" s="267">
        <f t="shared" si="64"/>
        <v>42.585164729863031</v>
      </c>
      <c r="U28" s="299">
        <f t="shared" si="65"/>
        <v>7.9514530986675815</v>
      </c>
      <c r="V28" s="4"/>
      <c r="W28" s="4">
        <f t="shared" si="66"/>
        <v>7.7555677823111022</v>
      </c>
      <c r="X28" s="4">
        <f t="shared" si="67"/>
        <v>9.2047156019956553</v>
      </c>
      <c r="Y28" s="267">
        <f t="shared" si="68"/>
        <v>24.817816903395528</v>
      </c>
      <c r="Z28" s="299">
        <f t="shared" si="69"/>
        <v>25.036826437428186</v>
      </c>
      <c r="AA28" s="4"/>
      <c r="AB28" s="4">
        <f t="shared" si="70"/>
        <v>5.7858915990222846</v>
      </c>
      <c r="AC28" s="4">
        <f t="shared" si="71"/>
        <v>11.8222040451493</v>
      </c>
      <c r="AD28" s="267">
        <f t="shared" si="72"/>
        <v>18.514853116871311</v>
      </c>
      <c r="AE28" s="299">
        <f t="shared" si="73"/>
        <v>32.1563950028061</v>
      </c>
      <c r="AF28" s="4"/>
      <c r="AG28" s="4">
        <f t="shared" si="74"/>
        <v>8.1119152810890878</v>
      </c>
      <c r="AH28" s="4">
        <f t="shared" si="75"/>
        <v>8.6023477998369682</v>
      </c>
      <c r="AI28" s="267">
        <f t="shared" si="76"/>
        <v>25.958128899485082</v>
      </c>
      <c r="AJ28" s="299">
        <f t="shared" si="77"/>
        <v>23.398386015556554</v>
      </c>
      <c r="AK28" s="4"/>
      <c r="AL28" s="4">
        <f t="shared" si="78"/>
        <v>4.2570125746739693</v>
      </c>
      <c r="AM28" s="4">
        <f t="shared" si="79"/>
        <v>9.6017821259622238</v>
      </c>
      <c r="AN28" s="267">
        <f t="shared" si="80"/>
        <v>13.622440238956703</v>
      </c>
      <c r="AO28" s="299">
        <f t="shared" si="81"/>
        <v>26.116847382617252</v>
      </c>
      <c r="AP28" s="4"/>
      <c r="AQ28" s="4">
        <f t="shared" si="82"/>
        <v>0</v>
      </c>
      <c r="AR28" s="4">
        <f t="shared" si="83"/>
        <v>13.70397500292634</v>
      </c>
      <c r="AS28" s="267">
        <f t="shared" si="84"/>
        <v>0</v>
      </c>
      <c r="AT28" s="299">
        <f t="shared" si="85"/>
        <v>37.274812007959646</v>
      </c>
    </row>
    <row r="29" spans="1:46" x14ac:dyDescent="0.4">
      <c r="B29">
        <v>3.5</v>
      </c>
      <c r="C29" s="1">
        <v>4.7</v>
      </c>
      <c r="D29" s="1">
        <f t="shared" si="53"/>
        <v>3.9950000000000001</v>
      </c>
      <c r="E29" s="4">
        <v>9281</v>
      </c>
      <c r="F29" s="6">
        <f t="shared" si="54"/>
        <v>0.11332112332112332</v>
      </c>
      <c r="H29" s="4">
        <f t="shared" si="55"/>
        <v>8.7361379793916356</v>
      </c>
      <c r="I29" s="4">
        <f t="shared" si="56"/>
        <v>0</v>
      </c>
      <c r="J29" s="267">
        <f t="shared" si="57"/>
        <v>41.059848503140692</v>
      </c>
      <c r="K29" s="267">
        <f t="shared" si="57"/>
        <v>0</v>
      </c>
      <c r="L29" s="4"/>
      <c r="M29" s="4">
        <f t="shared" si="58"/>
        <v>9.3274629940398537</v>
      </c>
      <c r="N29" s="4">
        <f t="shared" si="59"/>
        <v>0</v>
      </c>
      <c r="O29" s="267">
        <f t="shared" si="60"/>
        <v>43.839076071987314</v>
      </c>
      <c r="P29" s="299">
        <f t="shared" si="61"/>
        <v>0</v>
      </c>
      <c r="Q29" s="4"/>
      <c r="R29" s="4">
        <f t="shared" si="62"/>
        <v>7.4836576333362128</v>
      </c>
      <c r="S29" s="4">
        <f t="shared" si="63"/>
        <v>1.6439293729312907</v>
      </c>
      <c r="T29" s="267">
        <f t="shared" si="64"/>
        <v>35.173190876680202</v>
      </c>
      <c r="U29" s="299">
        <f t="shared" si="65"/>
        <v>6.5674978448605064</v>
      </c>
      <c r="V29" s="4"/>
      <c r="W29" s="4">
        <f t="shared" si="66"/>
        <v>4.3613320763226699</v>
      </c>
      <c r="X29" s="4">
        <f t="shared" si="67"/>
        <v>5.1762582102594328</v>
      </c>
      <c r="Y29" s="267">
        <f t="shared" si="68"/>
        <v>20.498260758716551</v>
      </c>
      <c r="Z29" s="299">
        <f t="shared" si="69"/>
        <v>20.679151549986436</v>
      </c>
      <c r="AA29" s="4"/>
      <c r="AB29" s="4">
        <f t="shared" si="70"/>
        <v>3.2536875866775219</v>
      </c>
      <c r="AC29" s="4">
        <f t="shared" si="71"/>
        <v>6.6481989664948298</v>
      </c>
      <c r="AD29" s="267">
        <f t="shared" si="72"/>
        <v>15.292331657384354</v>
      </c>
      <c r="AE29" s="299">
        <f t="shared" si="73"/>
        <v>26.559554871146847</v>
      </c>
      <c r="AF29" s="4"/>
      <c r="AG29" s="4">
        <f t="shared" si="74"/>
        <v>4.5617235654258259</v>
      </c>
      <c r="AH29" s="4">
        <f t="shared" si="75"/>
        <v>4.8375175672738067</v>
      </c>
      <c r="AI29" s="267">
        <f t="shared" si="76"/>
        <v>21.440100757501384</v>
      </c>
      <c r="AJ29" s="299">
        <f t="shared" si="77"/>
        <v>19.325882681258857</v>
      </c>
      <c r="AK29" s="4"/>
      <c r="AL29" s="4">
        <f t="shared" si="78"/>
        <v>2.393924727675055</v>
      </c>
      <c r="AM29" s="4">
        <f t="shared" si="79"/>
        <v>5.3995479829771815</v>
      </c>
      <c r="AN29" s="267">
        <f t="shared" si="80"/>
        <v>11.25144622007276</v>
      </c>
      <c r="AO29" s="299">
        <f t="shared" si="81"/>
        <v>21.57119419199384</v>
      </c>
      <c r="AP29" s="4"/>
      <c r="AQ29" s="4">
        <f t="shared" si="82"/>
        <v>0</v>
      </c>
      <c r="AR29" s="4">
        <f t="shared" si="83"/>
        <v>7.706410082535105</v>
      </c>
      <c r="AS29" s="267">
        <f t="shared" si="84"/>
        <v>0</v>
      </c>
      <c r="AT29" s="299">
        <f t="shared" si="85"/>
        <v>30.787108279727747</v>
      </c>
    </row>
    <row r="30" spans="1:46" x14ac:dyDescent="0.4">
      <c r="B30">
        <v>4</v>
      </c>
      <c r="C30" s="1">
        <v>6.3</v>
      </c>
      <c r="D30" s="1">
        <f t="shared" si="53"/>
        <v>5.3549999999999995</v>
      </c>
      <c r="E30" s="4">
        <v>10098</v>
      </c>
      <c r="F30" s="6">
        <f t="shared" si="54"/>
        <v>0.12329670329670329</v>
      </c>
      <c r="H30" s="4">
        <f t="shared" si="55"/>
        <v>9.5051741532051217</v>
      </c>
      <c r="I30" s="4">
        <f t="shared" si="56"/>
        <v>0</v>
      </c>
      <c r="J30" s="4">
        <f t="shared" si="57"/>
        <v>59.882597165192266</v>
      </c>
      <c r="K30" s="267">
        <f t="shared" si="57"/>
        <v>0</v>
      </c>
      <c r="L30" s="4"/>
      <c r="M30" s="4">
        <f t="shared" si="58"/>
        <v>10.148553099215002</v>
      </c>
      <c r="N30" s="4">
        <f t="shared" si="59"/>
        <v>0</v>
      </c>
      <c r="O30" s="4">
        <f t="shared" si="60"/>
        <v>63.935884525054512</v>
      </c>
      <c r="P30" s="299">
        <f t="shared" si="61"/>
        <v>0</v>
      </c>
      <c r="Q30" s="4"/>
      <c r="R30" s="4">
        <f t="shared" si="62"/>
        <v>8.1424388300214492</v>
      </c>
      <c r="S30" s="4">
        <f t="shared" si="63"/>
        <v>1.7886433366943404</v>
      </c>
      <c r="T30" s="4">
        <f t="shared" si="64"/>
        <v>51.297364629135132</v>
      </c>
      <c r="U30" s="299">
        <f t="shared" si="65"/>
        <v>9.5781850679981915</v>
      </c>
      <c r="V30" s="4"/>
      <c r="W30" s="4">
        <f t="shared" si="66"/>
        <v>4.7452571174125975</v>
      </c>
      <c r="X30" s="4">
        <f t="shared" si="67"/>
        <v>5.6319206343281705</v>
      </c>
      <c r="Y30" s="4">
        <f t="shared" si="68"/>
        <v>29.895119839699362</v>
      </c>
      <c r="Z30" s="299">
        <f t="shared" si="69"/>
        <v>30.158934996827352</v>
      </c>
      <c r="AA30" s="4"/>
      <c r="AB30" s="4">
        <f t="shared" si="70"/>
        <v>3.5401074507347934</v>
      </c>
      <c r="AC30" s="4">
        <f t="shared" si="71"/>
        <v>7.2334353155548747</v>
      </c>
      <c r="AD30" s="4">
        <f t="shared" si="72"/>
        <v>22.302676939629198</v>
      </c>
      <c r="AE30" s="299">
        <f t="shared" si="73"/>
        <v>38.735046114796354</v>
      </c>
      <c r="AF30" s="4"/>
      <c r="AG30" s="4">
        <f t="shared" si="74"/>
        <v>4.9632889304676207</v>
      </c>
      <c r="AH30" s="4">
        <f t="shared" si="75"/>
        <v>5.2633608872245334</v>
      </c>
      <c r="AI30" s="4">
        <f t="shared" si="76"/>
        <v>31.268720261946008</v>
      </c>
      <c r="AJ30" s="299">
        <f t="shared" si="77"/>
        <v>28.185297551087373</v>
      </c>
      <c r="AK30" s="4"/>
      <c r="AL30" s="4">
        <f t="shared" si="78"/>
        <v>2.6046602629094608</v>
      </c>
      <c r="AM30" s="4">
        <f t="shared" si="79"/>
        <v>5.8748664510401447</v>
      </c>
      <c r="AN30" s="4">
        <f t="shared" si="80"/>
        <v>16.409359656329602</v>
      </c>
      <c r="AO30" s="299">
        <f t="shared" si="81"/>
        <v>31.459909845319974</v>
      </c>
      <c r="AP30" s="4"/>
      <c r="AQ30" s="4">
        <f t="shared" si="82"/>
        <v>0</v>
      </c>
      <c r="AR30" s="4">
        <f t="shared" si="83"/>
        <v>8.3848000229974673</v>
      </c>
      <c r="AS30" s="4">
        <f t="shared" si="84"/>
        <v>0</v>
      </c>
      <c r="AT30" s="299">
        <f t="shared" si="85"/>
        <v>44.900604123151432</v>
      </c>
    </row>
    <row r="31" spans="1:46" x14ac:dyDescent="0.4">
      <c r="B31">
        <v>5</v>
      </c>
      <c r="C31" s="1">
        <v>7.7</v>
      </c>
      <c r="D31" s="1">
        <f t="shared" si="53"/>
        <v>6.5449999999999999</v>
      </c>
      <c r="E31" s="4">
        <v>7780</v>
      </c>
      <c r="F31" s="6">
        <f t="shared" si="54"/>
        <v>9.4993894993894989E-2</v>
      </c>
      <c r="H31" s="4">
        <f t="shared" si="55"/>
        <v>7.3232575670366264</v>
      </c>
      <c r="I31" s="4">
        <f t="shared" si="56"/>
        <v>0</v>
      </c>
      <c r="J31" s="267">
        <f t="shared" si="57"/>
        <v>56.389083266182027</v>
      </c>
      <c r="K31" s="267">
        <f t="shared" si="57"/>
        <v>0</v>
      </c>
      <c r="L31" s="4"/>
      <c r="M31" s="4">
        <f t="shared" si="58"/>
        <v>7.8189486147645795</v>
      </c>
      <c r="N31" s="4">
        <f t="shared" si="59"/>
        <v>0</v>
      </c>
      <c r="O31" s="267">
        <f t="shared" si="60"/>
        <v>60.205904333687265</v>
      </c>
      <c r="P31" s="299">
        <f t="shared" si="61"/>
        <v>0</v>
      </c>
      <c r="Q31" s="4"/>
      <c r="R31" s="4">
        <f t="shared" si="62"/>
        <v>6.2733386905889166</v>
      </c>
      <c r="S31" s="4">
        <f t="shared" si="63"/>
        <v>1.3780595325294087</v>
      </c>
      <c r="T31" s="267">
        <f t="shared" si="64"/>
        <v>48.304707917534657</v>
      </c>
      <c r="U31" s="299">
        <f t="shared" si="65"/>
        <v>9.0193996404049805</v>
      </c>
      <c r="V31" s="4"/>
      <c r="W31" s="4">
        <f t="shared" si="66"/>
        <v>3.655981419436523</v>
      </c>
      <c r="X31" s="4">
        <f t="shared" si="67"/>
        <v>4.3391109660401233</v>
      </c>
      <c r="Y31" s="267">
        <f t="shared" si="68"/>
        <v>28.151056929661227</v>
      </c>
      <c r="Z31" s="299">
        <f t="shared" si="69"/>
        <v>28.399481272732608</v>
      </c>
      <c r="AA31" s="4"/>
      <c r="AB31" s="4">
        <f t="shared" si="70"/>
        <v>2.7274743480606745</v>
      </c>
      <c r="AC31" s="4">
        <f t="shared" si="71"/>
        <v>5.572997301942654</v>
      </c>
      <c r="AD31" s="267">
        <f t="shared" si="72"/>
        <v>21.001552480067193</v>
      </c>
      <c r="AE31" s="299">
        <f t="shared" si="73"/>
        <v>36.475267341214668</v>
      </c>
      <c r="AF31" s="4"/>
      <c r="AG31" s="4">
        <f t="shared" si="74"/>
        <v>3.8239639412792719</v>
      </c>
      <c r="AH31" s="4">
        <f t="shared" si="75"/>
        <v>4.0551542585271214</v>
      </c>
      <c r="AI31" s="267">
        <f t="shared" si="76"/>
        <v>29.444522347850395</v>
      </c>
      <c r="AJ31" s="299">
        <f t="shared" si="77"/>
        <v>26.540984622060009</v>
      </c>
      <c r="AK31" s="4"/>
      <c r="AL31" s="4">
        <f t="shared" si="78"/>
        <v>2.0067594420118442</v>
      </c>
      <c r="AM31" s="4">
        <f t="shared" si="79"/>
        <v>4.5262884718847616</v>
      </c>
      <c r="AN31" s="267">
        <f t="shared" si="80"/>
        <v>15.4520477034912</v>
      </c>
      <c r="AO31" s="299">
        <f t="shared" si="81"/>
        <v>29.624558048485763</v>
      </c>
      <c r="AP31" s="4"/>
      <c r="AQ31" s="4">
        <f t="shared" si="82"/>
        <v>0</v>
      </c>
      <c r="AR31" s="4">
        <f t="shared" si="83"/>
        <v>6.4600657733135556</v>
      </c>
      <c r="AS31" s="267">
        <f t="shared" si="84"/>
        <v>0</v>
      </c>
      <c r="AT31" s="299">
        <f t="shared" si="85"/>
        <v>42.281130486337219</v>
      </c>
    </row>
    <row r="32" spans="1:46" s="274" customFormat="1" x14ac:dyDescent="0.4">
      <c r="C32" s="275"/>
      <c r="D32" s="275"/>
      <c r="E32" s="276"/>
      <c r="F32" s="277"/>
      <c r="G32" s="276"/>
      <c r="H32" s="276">
        <f>機器台数case1!D56</f>
        <v>25</v>
      </c>
      <c r="I32" s="276">
        <f>機器台数case1!D57</f>
        <v>0</v>
      </c>
      <c r="J32" s="4">
        <f>SUM(J33:J39)</f>
        <v>70.637500000000003</v>
      </c>
      <c r="K32" s="278"/>
      <c r="L32" s="276"/>
      <c r="M32" s="276">
        <f>機器台数case1!F56</f>
        <v>78</v>
      </c>
      <c r="N32" s="276">
        <v>0</v>
      </c>
      <c r="O32" s="4">
        <f>SUM(O33:O39)</f>
        <v>220.38900000000004</v>
      </c>
      <c r="P32" s="297">
        <f>SUM(P33:P39)</f>
        <v>0</v>
      </c>
      <c r="Q32" s="276"/>
      <c r="R32" s="276">
        <f>機器台数case1!H56</f>
        <v>51.752555495920006</v>
      </c>
      <c r="S32" s="276">
        <f>機器台数case1!H57</f>
        <v>113.24744450408001</v>
      </c>
      <c r="T32" s="4">
        <f>SUM(T33:T39)</f>
        <v>146.226845553722</v>
      </c>
      <c r="U32" s="297">
        <f>SUM(U33:U39)</f>
        <v>271.98355627933631</v>
      </c>
      <c r="V32" s="276"/>
      <c r="W32" s="276">
        <f>機器台数case1!J56</f>
        <v>81.747431055909971</v>
      </c>
      <c r="X32" s="276">
        <f>機器台数case1!J57</f>
        <v>203.25256894409006</v>
      </c>
      <c r="Y32" s="4">
        <f>SUM(Y33:Y39)</f>
        <v>230.97736644847362</v>
      </c>
      <c r="Z32" s="297">
        <f>SUM(Z33:Z39)</f>
        <v>488.14661351879755</v>
      </c>
      <c r="AA32" s="276"/>
      <c r="AB32" s="276">
        <f>機器台数case1!L56</f>
        <v>150</v>
      </c>
      <c r="AC32" s="276">
        <f>機器台数case1!L57</f>
        <v>270</v>
      </c>
      <c r="AD32" s="4">
        <f>SUM(AD33:AD39)</f>
        <v>423.82500000000005</v>
      </c>
      <c r="AE32" s="297">
        <f>SUM(AE33:AE39)</f>
        <v>648.45225000000005</v>
      </c>
      <c r="AF32" s="276"/>
      <c r="AG32" s="276">
        <f>機器台数case1!N56</f>
        <v>0</v>
      </c>
      <c r="AH32" s="276">
        <f>機器台数case1!N57</f>
        <v>620</v>
      </c>
      <c r="AI32" s="4">
        <f>SUM(AI33:AI39)</f>
        <v>0</v>
      </c>
      <c r="AJ32" s="297">
        <f>SUM(AJ33:AJ39)</f>
        <v>1489.0385000000001</v>
      </c>
      <c r="AK32" s="276"/>
      <c r="AL32" s="276">
        <f>機器台数case1!P56</f>
        <v>0</v>
      </c>
      <c r="AM32" s="276">
        <f>機器台数case1!P57</f>
        <v>975</v>
      </c>
      <c r="AN32" s="4">
        <f>SUM(AN33:AN39)</f>
        <v>0</v>
      </c>
      <c r="AO32" s="297">
        <f>SUM(AO33:AO39)</f>
        <v>2341.6331249999998</v>
      </c>
      <c r="AP32" s="276"/>
      <c r="AQ32" s="276">
        <f>機器台数case1!R56</f>
        <v>0</v>
      </c>
      <c r="AR32" s="276">
        <f>機器台数case1!R57</f>
        <v>1400</v>
      </c>
      <c r="AS32" s="4">
        <f>SUM(AS33:AS39)</f>
        <v>0</v>
      </c>
      <c r="AT32" s="297">
        <f>SUM(AT33:AT39)</f>
        <v>3362.3450000000003</v>
      </c>
    </row>
    <row r="33" spans="1:46" x14ac:dyDescent="0.4">
      <c r="A33" t="s">
        <v>12</v>
      </c>
      <c r="B33">
        <v>1.5</v>
      </c>
      <c r="C33" s="1">
        <v>2.2999999999999998</v>
      </c>
      <c r="D33" s="1">
        <f t="shared" ref="D33:D39" si="86">C33*0.85</f>
        <v>1.9549999999999998</v>
      </c>
      <c r="E33" s="4">
        <f t="shared" ref="E33:E39" si="87">$A$35*F33</f>
        <v>3000</v>
      </c>
      <c r="F33" s="6">
        <v>0.03</v>
      </c>
      <c r="G33" s="114">
        <f>SUM(H33:H39)</f>
        <v>25</v>
      </c>
      <c r="H33" s="4">
        <f t="shared" ref="H33:H39" si="88">F33*H$32</f>
        <v>0.75</v>
      </c>
      <c r="I33" s="4">
        <f t="shared" ref="I33:I39" si="89">$F33*I$32</f>
        <v>0</v>
      </c>
      <c r="J33" s="267">
        <f t="shared" ref="J33:K39" si="90">C33*H33</f>
        <v>1.7249999999999999</v>
      </c>
      <c r="K33" s="267">
        <f t="shared" si="90"/>
        <v>0</v>
      </c>
      <c r="L33" s="4"/>
      <c r="M33" s="4">
        <f t="shared" ref="M33:M39" si="91">M$32*$F33</f>
        <v>2.34</v>
      </c>
      <c r="N33" s="4">
        <f t="shared" ref="N33:N39" si="92">$F33*N$32</f>
        <v>0</v>
      </c>
      <c r="O33" s="267">
        <f t="shared" ref="O33:O39" si="93">$C33*M33</f>
        <v>5.3819999999999997</v>
      </c>
      <c r="P33" s="299">
        <f t="shared" ref="P33:P39" si="94">$D33*N33</f>
        <v>0</v>
      </c>
      <c r="Q33" s="4"/>
      <c r="R33" s="4">
        <f t="shared" ref="R33:R39" si="95">R$32*$F33</f>
        <v>1.5525766648776</v>
      </c>
      <c r="S33" s="4">
        <f t="shared" ref="S33:S39" si="96">$F33*S$32</f>
        <v>3.3974233351223999</v>
      </c>
      <c r="T33" s="267">
        <f t="shared" ref="T33:T39" si="97">$C33*R33</f>
        <v>3.5709263292184796</v>
      </c>
      <c r="U33" s="299">
        <f t="shared" ref="U33:U39" si="98">$D33*S33</f>
        <v>6.641962620164291</v>
      </c>
      <c r="V33" s="4"/>
      <c r="W33" s="4">
        <f t="shared" ref="W33:W39" si="99">W$32*$F33</f>
        <v>2.4524229316772992</v>
      </c>
      <c r="X33" s="4">
        <f t="shared" ref="X33:X39" si="100">$F33*X$32</f>
        <v>6.0975770683227015</v>
      </c>
      <c r="Y33" s="267">
        <f t="shared" ref="Y33:Y39" si="101">$C33*W33</f>
        <v>5.6405727428577874</v>
      </c>
      <c r="Z33" s="299">
        <f t="shared" ref="Z33:Z39" si="102">$D33*X33</f>
        <v>11.920763168570881</v>
      </c>
      <c r="AA33" s="4"/>
      <c r="AB33" s="4">
        <f t="shared" ref="AB33:AB39" si="103">AB$32*$F33</f>
        <v>4.5</v>
      </c>
      <c r="AC33" s="4">
        <f t="shared" ref="AC33:AC39" si="104">$F33*AC$32</f>
        <v>8.1</v>
      </c>
      <c r="AD33" s="267">
        <f t="shared" ref="AD33:AD39" si="105">$C33*AB33</f>
        <v>10.35</v>
      </c>
      <c r="AE33" s="299">
        <f t="shared" ref="AE33:AE39" si="106">$D33*AC33</f>
        <v>15.835499999999998</v>
      </c>
      <c r="AF33" s="114">
        <f>SUM(AG33:AG39)</f>
        <v>0</v>
      </c>
      <c r="AG33" s="4">
        <f t="shared" ref="AG33:AG39" si="107">AG$32*$F33</f>
        <v>0</v>
      </c>
      <c r="AH33" s="4">
        <f t="shared" ref="AH33:AH39" si="108">$F33*AH$32</f>
        <v>18.599999999999998</v>
      </c>
      <c r="AI33" s="267">
        <f t="shared" ref="AI33:AI39" si="109">$C33*AG33</f>
        <v>0</v>
      </c>
      <c r="AJ33" s="299">
        <f t="shared" ref="AJ33:AJ39" si="110">$D33*AH33</f>
        <v>36.362999999999992</v>
      </c>
      <c r="AK33" s="114">
        <f>SUM(AL33:AL39)</f>
        <v>0</v>
      </c>
      <c r="AL33" s="4">
        <f t="shared" ref="AL33:AL39" si="111">AL$32*$F33</f>
        <v>0</v>
      </c>
      <c r="AM33" s="4">
        <f t="shared" ref="AM33:AM39" si="112">$F33*AM$32</f>
        <v>29.25</v>
      </c>
      <c r="AN33" s="267">
        <f t="shared" ref="AN33:AN39" si="113">$C33*AL33</f>
        <v>0</v>
      </c>
      <c r="AO33" s="299">
        <f t="shared" ref="AO33:AO39" si="114">$D33*AM33</f>
        <v>57.183749999999996</v>
      </c>
      <c r="AP33" s="4"/>
      <c r="AQ33" s="4">
        <f t="shared" ref="AQ33:AQ39" si="115">AQ$32*$F33</f>
        <v>0</v>
      </c>
      <c r="AR33" s="4">
        <f t="shared" ref="AR33:AR39" si="116">$F33*AR$32</f>
        <v>42</v>
      </c>
      <c r="AS33" s="267">
        <f t="shared" ref="AS33:AS39" si="117">$C33*AQ33</f>
        <v>0</v>
      </c>
      <c r="AT33" s="299">
        <f t="shared" ref="AT33:AT39" si="118">$D33*AR33</f>
        <v>82.11</v>
      </c>
    </row>
    <row r="34" spans="1:46" x14ac:dyDescent="0.4">
      <c r="A34" t="s">
        <v>13</v>
      </c>
      <c r="B34">
        <v>2</v>
      </c>
      <c r="C34" s="1">
        <v>2.2999999999999998</v>
      </c>
      <c r="D34" s="1">
        <f t="shared" si="86"/>
        <v>1.9549999999999998</v>
      </c>
      <c r="E34" s="4">
        <f t="shared" si="87"/>
        <v>15000</v>
      </c>
      <c r="F34" s="6">
        <v>0.15</v>
      </c>
      <c r="H34" s="4">
        <f t="shared" si="88"/>
        <v>3.75</v>
      </c>
      <c r="I34" s="4">
        <f t="shared" si="89"/>
        <v>0</v>
      </c>
      <c r="J34" s="267">
        <f t="shared" si="90"/>
        <v>8.625</v>
      </c>
      <c r="K34" s="267">
        <f t="shared" si="90"/>
        <v>0</v>
      </c>
      <c r="L34" s="4"/>
      <c r="M34" s="4">
        <f t="shared" si="91"/>
        <v>11.7</v>
      </c>
      <c r="N34" s="4">
        <f t="shared" si="92"/>
        <v>0</v>
      </c>
      <c r="O34" s="267">
        <f t="shared" si="93"/>
        <v>26.909999999999997</v>
      </c>
      <c r="P34" s="299">
        <f t="shared" si="94"/>
        <v>0</v>
      </c>
      <c r="Q34" s="4"/>
      <c r="R34" s="4">
        <f t="shared" si="95"/>
        <v>7.7628833243880004</v>
      </c>
      <c r="S34" s="4">
        <f t="shared" si="96"/>
        <v>16.987116675612</v>
      </c>
      <c r="T34" s="267">
        <f t="shared" si="97"/>
        <v>17.8546316460924</v>
      </c>
      <c r="U34" s="299">
        <f t="shared" si="98"/>
        <v>33.209813100821457</v>
      </c>
      <c r="V34" s="4"/>
      <c r="W34" s="4">
        <f t="shared" si="99"/>
        <v>12.262114658386496</v>
      </c>
      <c r="X34" s="4">
        <f t="shared" si="100"/>
        <v>30.487885341613506</v>
      </c>
      <c r="Y34" s="267">
        <f t="shared" si="101"/>
        <v>28.202863714288938</v>
      </c>
      <c r="Z34" s="299">
        <f t="shared" si="102"/>
        <v>59.603815842854402</v>
      </c>
      <c r="AA34" s="4"/>
      <c r="AB34" s="4">
        <f t="shared" si="103"/>
        <v>22.5</v>
      </c>
      <c r="AC34" s="4">
        <f t="shared" si="104"/>
        <v>40.5</v>
      </c>
      <c r="AD34" s="267">
        <f t="shared" si="105"/>
        <v>51.749999999999993</v>
      </c>
      <c r="AE34" s="299">
        <f t="shared" si="106"/>
        <v>79.177499999999995</v>
      </c>
      <c r="AF34" s="4"/>
      <c r="AG34" s="4">
        <f t="shared" si="107"/>
        <v>0</v>
      </c>
      <c r="AH34" s="4">
        <f t="shared" si="108"/>
        <v>93</v>
      </c>
      <c r="AI34" s="267">
        <f t="shared" si="109"/>
        <v>0</v>
      </c>
      <c r="AJ34" s="299">
        <f t="shared" si="110"/>
        <v>181.815</v>
      </c>
      <c r="AK34" s="4"/>
      <c r="AL34" s="4">
        <f t="shared" si="111"/>
        <v>0</v>
      </c>
      <c r="AM34" s="4">
        <f t="shared" si="112"/>
        <v>146.25</v>
      </c>
      <c r="AN34" s="267">
        <f t="shared" si="113"/>
        <v>0</v>
      </c>
      <c r="AO34" s="299">
        <f t="shared" si="114"/>
        <v>285.91874999999999</v>
      </c>
      <c r="AP34" s="4"/>
      <c r="AQ34" s="4">
        <f t="shared" si="115"/>
        <v>0</v>
      </c>
      <c r="AR34" s="4">
        <f t="shared" si="116"/>
        <v>210</v>
      </c>
      <c r="AS34" s="267">
        <f t="shared" si="117"/>
        <v>0</v>
      </c>
      <c r="AT34" s="299">
        <f t="shared" si="118"/>
        <v>410.54999999999995</v>
      </c>
    </row>
    <row r="35" spans="1:46" x14ac:dyDescent="0.4">
      <c r="A35" s="7">
        <v>100000</v>
      </c>
      <c r="B35">
        <v>2.5</v>
      </c>
      <c r="C35" s="1">
        <v>2.5</v>
      </c>
      <c r="D35" s="1">
        <f t="shared" si="86"/>
        <v>2.125</v>
      </c>
      <c r="E35" s="4">
        <f t="shared" si="87"/>
        <v>17000</v>
      </c>
      <c r="F35" s="6">
        <v>0.17</v>
      </c>
      <c r="H35" s="4">
        <f t="shared" si="88"/>
        <v>4.25</v>
      </c>
      <c r="I35" s="4">
        <f t="shared" si="89"/>
        <v>0</v>
      </c>
      <c r="J35" s="267">
        <f t="shared" si="90"/>
        <v>10.625</v>
      </c>
      <c r="K35" s="267">
        <f t="shared" si="90"/>
        <v>0</v>
      </c>
      <c r="L35" s="4"/>
      <c r="M35" s="4">
        <f t="shared" si="91"/>
        <v>13.260000000000002</v>
      </c>
      <c r="N35" s="4">
        <f t="shared" si="92"/>
        <v>0</v>
      </c>
      <c r="O35" s="267">
        <f t="shared" si="93"/>
        <v>33.150000000000006</v>
      </c>
      <c r="P35" s="299">
        <f t="shared" si="94"/>
        <v>0</v>
      </c>
      <c r="Q35" s="4"/>
      <c r="R35" s="4">
        <f t="shared" si="95"/>
        <v>8.7979344343064021</v>
      </c>
      <c r="S35" s="4">
        <f t="shared" si="96"/>
        <v>19.252065565693602</v>
      </c>
      <c r="T35" s="267">
        <f t="shared" si="97"/>
        <v>21.994836085766003</v>
      </c>
      <c r="U35" s="299">
        <f t="shared" si="98"/>
        <v>40.910639327098906</v>
      </c>
      <c r="V35" s="4"/>
      <c r="W35" s="4">
        <f t="shared" si="99"/>
        <v>13.897063279504696</v>
      </c>
      <c r="X35" s="4">
        <f t="shared" si="100"/>
        <v>34.55293672049531</v>
      </c>
      <c r="Y35" s="267">
        <f t="shared" si="101"/>
        <v>34.742658198761738</v>
      </c>
      <c r="Z35" s="299">
        <f t="shared" si="102"/>
        <v>73.424990531052529</v>
      </c>
      <c r="AA35" s="4"/>
      <c r="AB35" s="4">
        <f t="shared" si="103"/>
        <v>25.500000000000004</v>
      </c>
      <c r="AC35" s="4">
        <f t="shared" si="104"/>
        <v>45.900000000000006</v>
      </c>
      <c r="AD35" s="267">
        <f t="shared" si="105"/>
        <v>63.750000000000007</v>
      </c>
      <c r="AE35" s="299">
        <f t="shared" si="106"/>
        <v>97.537500000000009</v>
      </c>
      <c r="AF35" s="4"/>
      <c r="AG35" s="4">
        <f t="shared" si="107"/>
        <v>0</v>
      </c>
      <c r="AH35" s="4">
        <f t="shared" si="108"/>
        <v>105.4</v>
      </c>
      <c r="AI35" s="267">
        <f t="shared" si="109"/>
        <v>0</v>
      </c>
      <c r="AJ35" s="299">
        <f t="shared" si="110"/>
        <v>223.97500000000002</v>
      </c>
      <c r="AK35" s="4"/>
      <c r="AL35" s="4">
        <f t="shared" si="111"/>
        <v>0</v>
      </c>
      <c r="AM35" s="4">
        <f t="shared" si="112"/>
        <v>165.75</v>
      </c>
      <c r="AN35" s="267">
        <f t="shared" si="113"/>
        <v>0</v>
      </c>
      <c r="AO35" s="299">
        <f t="shared" si="114"/>
        <v>352.21875</v>
      </c>
      <c r="AP35" s="4"/>
      <c r="AQ35" s="4">
        <f t="shared" si="115"/>
        <v>0</v>
      </c>
      <c r="AR35" s="4">
        <f t="shared" si="116"/>
        <v>238.00000000000003</v>
      </c>
      <c r="AS35" s="267">
        <f t="shared" si="117"/>
        <v>0</v>
      </c>
      <c r="AT35" s="299">
        <f t="shared" si="118"/>
        <v>505.75000000000006</v>
      </c>
    </row>
    <row r="36" spans="1:46" x14ac:dyDescent="0.4">
      <c r="B36">
        <v>3</v>
      </c>
      <c r="C36" s="1">
        <v>2.5</v>
      </c>
      <c r="D36" s="1">
        <f t="shared" si="86"/>
        <v>2.125</v>
      </c>
      <c r="E36" s="4">
        <f t="shared" si="87"/>
        <v>26000</v>
      </c>
      <c r="F36" s="6">
        <v>0.26</v>
      </c>
      <c r="H36" s="4">
        <f t="shared" si="88"/>
        <v>6.5</v>
      </c>
      <c r="I36" s="4">
        <f t="shared" si="89"/>
        <v>0</v>
      </c>
      <c r="J36" s="267">
        <f t="shared" si="90"/>
        <v>16.25</v>
      </c>
      <c r="K36" s="267">
        <f t="shared" si="90"/>
        <v>0</v>
      </c>
      <c r="L36" s="4"/>
      <c r="M36" s="4">
        <f t="shared" si="91"/>
        <v>20.28</v>
      </c>
      <c r="N36" s="4">
        <f t="shared" si="92"/>
        <v>0</v>
      </c>
      <c r="O36" s="267">
        <f t="shared" si="93"/>
        <v>50.7</v>
      </c>
      <c r="P36" s="299">
        <f t="shared" si="94"/>
        <v>0</v>
      </c>
      <c r="Q36" s="4"/>
      <c r="R36" s="4">
        <f t="shared" si="95"/>
        <v>13.455664428939203</v>
      </c>
      <c r="S36" s="4">
        <f t="shared" si="96"/>
        <v>29.444335571060805</v>
      </c>
      <c r="T36" s="267">
        <f t="shared" si="97"/>
        <v>33.63916107234801</v>
      </c>
      <c r="U36" s="299">
        <f t="shared" si="98"/>
        <v>62.569213088504213</v>
      </c>
      <c r="V36" s="4"/>
      <c r="W36" s="4">
        <f t="shared" si="99"/>
        <v>21.254332074536592</v>
      </c>
      <c r="X36" s="4">
        <f t="shared" si="100"/>
        <v>52.845667925463417</v>
      </c>
      <c r="Y36" s="267">
        <f t="shared" si="101"/>
        <v>53.135830186341479</v>
      </c>
      <c r="Z36" s="299">
        <f t="shared" si="102"/>
        <v>112.29704434160976</v>
      </c>
      <c r="AA36" s="4"/>
      <c r="AB36" s="4">
        <f t="shared" si="103"/>
        <v>39</v>
      </c>
      <c r="AC36" s="4">
        <f t="shared" si="104"/>
        <v>70.2</v>
      </c>
      <c r="AD36" s="267">
        <f t="shared" si="105"/>
        <v>97.5</v>
      </c>
      <c r="AE36" s="299">
        <f t="shared" si="106"/>
        <v>149.17500000000001</v>
      </c>
      <c r="AF36" s="4"/>
      <c r="AG36" s="4">
        <f t="shared" si="107"/>
        <v>0</v>
      </c>
      <c r="AH36" s="4">
        <f t="shared" si="108"/>
        <v>161.20000000000002</v>
      </c>
      <c r="AI36" s="267">
        <f t="shared" si="109"/>
        <v>0</v>
      </c>
      <c r="AJ36" s="299">
        <f t="shared" si="110"/>
        <v>342.55</v>
      </c>
      <c r="AK36" s="4"/>
      <c r="AL36" s="4">
        <f t="shared" si="111"/>
        <v>0</v>
      </c>
      <c r="AM36" s="4">
        <f t="shared" si="112"/>
        <v>253.5</v>
      </c>
      <c r="AN36" s="267">
        <f t="shared" si="113"/>
        <v>0</v>
      </c>
      <c r="AO36" s="299">
        <f t="shared" si="114"/>
        <v>538.6875</v>
      </c>
      <c r="AP36" s="4"/>
      <c r="AQ36" s="4">
        <f t="shared" si="115"/>
        <v>0</v>
      </c>
      <c r="AR36" s="4">
        <f t="shared" si="116"/>
        <v>364</v>
      </c>
      <c r="AS36" s="267">
        <f t="shared" si="117"/>
        <v>0</v>
      </c>
      <c r="AT36" s="299">
        <f t="shared" si="118"/>
        <v>773.5</v>
      </c>
    </row>
    <row r="37" spans="1:46" x14ac:dyDescent="0.4">
      <c r="B37">
        <v>3.5</v>
      </c>
      <c r="C37" s="1">
        <v>3.35</v>
      </c>
      <c r="D37" s="1">
        <f t="shared" si="86"/>
        <v>2.8475000000000001</v>
      </c>
      <c r="E37" s="4">
        <f t="shared" si="87"/>
        <v>10000</v>
      </c>
      <c r="F37" s="6">
        <v>0.1</v>
      </c>
      <c r="H37" s="4">
        <f t="shared" si="88"/>
        <v>2.5</v>
      </c>
      <c r="I37" s="4">
        <f t="shared" si="89"/>
        <v>0</v>
      </c>
      <c r="J37" s="267">
        <f t="shared" si="90"/>
        <v>8.375</v>
      </c>
      <c r="K37" s="267">
        <f t="shared" si="90"/>
        <v>0</v>
      </c>
      <c r="L37" s="4"/>
      <c r="M37" s="4">
        <f t="shared" si="91"/>
        <v>7.8000000000000007</v>
      </c>
      <c r="N37" s="4">
        <f t="shared" si="92"/>
        <v>0</v>
      </c>
      <c r="O37" s="267">
        <f t="shared" si="93"/>
        <v>26.130000000000003</v>
      </c>
      <c r="P37" s="299">
        <f t="shared" si="94"/>
        <v>0</v>
      </c>
      <c r="Q37" s="4"/>
      <c r="R37" s="4">
        <f t="shared" si="95"/>
        <v>5.1752555495920012</v>
      </c>
      <c r="S37" s="4">
        <f t="shared" si="96"/>
        <v>11.324744450408001</v>
      </c>
      <c r="T37" s="267">
        <f t="shared" si="97"/>
        <v>17.337106091133204</v>
      </c>
      <c r="U37" s="299">
        <f t="shared" si="98"/>
        <v>32.247209822536789</v>
      </c>
      <c r="V37" s="4"/>
      <c r="W37" s="4">
        <f t="shared" si="99"/>
        <v>8.1747431055909967</v>
      </c>
      <c r="X37" s="4">
        <f t="shared" si="100"/>
        <v>20.325256894409009</v>
      </c>
      <c r="Y37" s="267">
        <f t="shared" si="101"/>
        <v>27.385389403729839</v>
      </c>
      <c r="Z37" s="299">
        <f t="shared" si="102"/>
        <v>57.876169006829656</v>
      </c>
      <c r="AA37" s="4"/>
      <c r="AB37" s="4">
        <f t="shared" si="103"/>
        <v>15</v>
      </c>
      <c r="AC37" s="4">
        <f t="shared" si="104"/>
        <v>27</v>
      </c>
      <c r="AD37" s="267">
        <f t="shared" si="105"/>
        <v>50.25</v>
      </c>
      <c r="AE37" s="299">
        <f t="shared" si="106"/>
        <v>76.882500000000007</v>
      </c>
      <c r="AF37" s="4"/>
      <c r="AG37" s="4">
        <f t="shared" si="107"/>
        <v>0</v>
      </c>
      <c r="AH37" s="4">
        <f t="shared" si="108"/>
        <v>62</v>
      </c>
      <c r="AI37" s="267">
        <f t="shared" si="109"/>
        <v>0</v>
      </c>
      <c r="AJ37" s="299">
        <f t="shared" si="110"/>
        <v>176.54500000000002</v>
      </c>
      <c r="AK37" s="4"/>
      <c r="AL37" s="4">
        <f t="shared" si="111"/>
        <v>0</v>
      </c>
      <c r="AM37" s="4">
        <f t="shared" si="112"/>
        <v>97.5</v>
      </c>
      <c r="AN37" s="267">
        <f t="shared" si="113"/>
        <v>0</v>
      </c>
      <c r="AO37" s="299">
        <f t="shared" si="114"/>
        <v>277.63125000000002</v>
      </c>
      <c r="AP37" s="4"/>
      <c r="AQ37" s="4">
        <f t="shared" si="115"/>
        <v>0</v>
      </c>
      <c r="AR37" s="4">
        <f t="shared" si="116"/>
        <v>140</v>
      </c>
      <c r="AS37" s="267">
        <f t="shared" si="117"/>
        <v>0</v>
      </c>
      <c r="AT37" s="299">
        <f t="shared" si="118"/>
        <v>398.65000000000003</v>
      </c>
    </row>
    <row r="38" spans="1:46" x14ac:dyDescent="0.4">
      <c r="B38">
        <v>4</v>
      </c>
      <c r="C38" s="1">
        <v>3.35</v>
      </c>
      <c r="D38" s="1">
        <f t="shared" si="86"/>
        <v>2.8475000000000001</v>
      </c>
      <c r="E38" s="4">
        <f t="shared" si="87"/>
        <v>17000</v>
      </c>
      <c r="F38" s="6">
        <v>0.17</v>
      </c>
      <c r="H38" s="4">
        <f t="shared" si="88"/>
        <v>4.25</v>
      </c>
      <c r="I38" s="4">
        <f t="shared" si="89"/>
        <v>0</v>
      </c>
      <c r="J38" s="267">
        <f t="shared" si="90"/>
        <v>14.237500000000001</v>
      </c>
      <c r="K38" s="267">
        <f t="shared" si="90"/>
        <v>0</v>
      </c>
      <c r="L38" s="4"/>
      <c r="M38" s="4">
        <f t="shared" si="91"/>
        <v>13.260000000000002</v>
      </c>
      <c r="N38" s="4">
        <f t="shared" si="92"/>
        <v>0</v>
      </c>
      <c r="O38" s="267">
        <f t="shared" si="93"/>
        <v>44.421000000000006</v>
      </c>
      <c r="P38" s="299">
        <f t="shared" si="94"/>
        <v>0</v>
      </c>
      <c r="Q38" s="4"/>
      <c r="R38" s="4">
        <f t="shared" si="95"/>
        <v>8.7979344343064021</v>
      </c>
      <c r="S38" s="4">
        <f t="shared" si="96"/>
        <v>19.252065565693602</v>
      </c>
      <c r="T38" s="267">
        <f t="shared" si="97"/>
        <v>29.473080354926449</v>
      </c>
      <c r="U38" s="299">
        <f t="shared" si="98"/>
        <v>54.820256698312534</v>
      </c>
      <c r="V38" s="4"/>
      <c r="W38" s="4">
        <f t="shared" si="99"/>
        <v>13.897063279504696</v>
      </c>
      <c r="X38" s="4">
        <f t="shared" si="100"/>
        <v>34.55293672049531</v>
      </c>
      <c r="Y38" s="267">
        <f t="shared" si="101"/>
        <v>46.555161986340735</v>
      </c>
      <c r="Z38" s="299">
        <f t="shared" si="102"/>
        <v>98.389487311610395</v>
      </c>
      <c r="AA38" s="4"/>
      <c r="AB38" s="4">
        <f t="shared" si="103"/>
        <v>25.500000000000004</v>
      </c>
      <c r="AC38" s="4">
        <f t="shared" si="104"/>
        <v>45.900000000000006</v>
      </c>
      <c r="AD38" s="267">
        <f t="shared" si="105"/>
        <v>85.425000000000011</v>
      </c>
      <c r="AE38" s="299">
        <f t="shared" si="106"/>
        <v>130.70025000000001</v>
      </c>
      <c r="AF38" s="4"/>
      <c r="AG38" s="4">
        <f t="shared" si="107"/>
        <v>0</v>
      </c>
      <c r="AH38" s="4">
        <f t="shared" si="108"/>
        <v>105.4</v>
      </c>
      <c r="AI38" s="267">
        <f t="shared" si="109"/>
        <v>0</v>
      </c>
      <c r="AJ38" s="299">
        <f t="shared" si="110"/>
        <v>300.12650000000002</v>
      </c>
      <c r="AK38" s="4"/>
      <c r="AL38" s="4">
        <f t="shared" si="111"/>
        <v>0</v>
      </c>
      <c r="AM38" s="4">
        <f t="shared" si="112"/>
        <v>165.75</v>
      </c>
      <c r="AN38" s="267">
        <f t="shared" si="113"/>
        <v>0</v>
      </c>
      <c r="AO38" s="299">
        <f t="shared" si="114"/>
        <v>471.97312500000004</v>
      </c>
      <c r="AP38" s="4"/>
      <c r="AQ38" s="4">
        <f t="shared" si="115"/>
        <v>0</v>
      </c>
      <c r="AR38" s="4">
        <f t="shared" si="116"/>
        <v>238.00000000000003</v>
      </c>
      <c r="AS38" s="267">
        <f t="shared" si="117"/>
        <v>0</v>
      </c>
      <c r="AT38" s="299">
        <f t="shared" si="118"/>
        <v>677.70500000000015</v>
      </c>
    </row>
    <row r="39" spans="1:46" x14ac:dyDescent="0.4">
      <c r="B39">
        <v>5</v>
      </c>
      <c r="C39" s="1">
        <v>3.6</v>
      </c>
      <c r="D39" s="1">
        <f t="shared" si="86"/>
        <v>3.06</v>
      </c>
      <c r="E39" s="4">
        <f t="shared" si="87"/>
        <v>12000</v>
      </c>
      <c r="F39" s="6">
        <v>0.12</v>
      </c>
      <c r="H39" s="4">
        <f t="shared" si="88"/>
        <v>3</v>
      </c>
      <c r="I39" s="4">
        <f t="shared" si="89"/>
        <v>0</v>
      </c>
      <c r="J39" s="4">
        <f t="shared" si="90"/>
        <v>10.8</v>
      </c>
      <c r="K39" s="267">
        <f t="shared" si="90"/>
        <v>0</v>
      </c>
      <c r="L39" s="4"/>
      <c r="M39" s="4">
        <f t="shared" si="91"/>
        <v>9.36</v>
      </c>
      <c r="N39" s="4">
        <f t="shared" si="92"/>
        <v>0</v>
      </c>
      <c r="O39" s="267">
        <f t="shared" si="93"/>
        <v>33.695999999999998</v>
      </c>
      <c r="P39" s="299">
        <f t="shared" si="94"/>
        <v>0</v>
      </c>
      <c r="Q39" s="4"/>
      <c r="R39" s="4">
        <f t="shared" si="95"/>
        <v>6.2103066595104002</v>
      </c>
      <c r="S39" s="4">
        <f t="shared" si="96"/>
        <v>13.5896933404896</v>
      </c>
      <c r="T39" s="267">
        <f t="shared" si="97"/>
        <v>22.35710397423744</v>
      </c>
      <c r="U39" s="299">
        <f t="shared" si="98"/>
        <v>41.584461621898178</v>
      </c>
      <c r="V39" s="4"/>
      <c r="W39" s="4">
        <f t="shared" si="99"/>
        <v>9.8096917267091968</v>
      </c>
      <c r="X39" s="4">
        <f t="shared" si="100"/>
        <v>24.390308273290806</v>
      </c>
      <c r="Y39" s="267">
        <f t="shared" si="101"/>
        <v>35.31489021615311</v>
      </c>
      <c r="Z39" s="299">
        <f t="shared" si="102"/>
        <v>74.634343316269863</v>
      </c>
      <c r="AA39" s="4"/>
      <c r="AB39" s="4">
        <f t="shared" si="103"/>
        <v>18</v>
      </c>
      <c r="AC39" s="4">
        <f t="shared" si="104"/>
        <v>32.4</v>
      </c>
      <c r="AD39" s="267">
        <f t="shared" si="105"/>
        <v>64.8</v>
      </c>
      <c r="AE39" s="299">
        <f t="shared" si="106"/>
        <v>99.143999999999991</v>
      </c>
      <c r="AF39" s="4"/>
      <c r="AG39" s="4">
        <f t="shared" si="107"/>
        <v>0</v>
      </c>
      <c r="AH39" s="4">
        <f t="shared" si="108"/>
        <v>74.399999999999991</v>
      </c>
      <c r="AI39" s="267">
        <f t="shared" si="109"/>
        <v>0</v>
      </c>
      <c r="AJ39" s="299">
        <f t="shared" si="110"/>
        <v>227.66399999999999</v>
      </c>
      <c r="AK39" s="4"/>
      <c r="AL39" s="4">
        <f t="shared" si="111"/>
        <v>0</v>
      </c>
      <c r="AM39" s="4">
        <f t="shared" si="112"/>
        <v>117</v>
      </c>
      <c r="AN39" s="267">
        <f t="shared" si="113"/>
        <v>0</v>
      </c>
      <c r="AO39" s="299">
        <f t="shared" si="114"/>
        <v>358.02</v>
      </c>
      <c r="AP39" s="4"/>
      <c r="AQ39" s="4">
        <f t="shared" si="115"/>
        <v>0</v>
      </c>
      <c r="AR39" s="4">
        <f t="shared" si="116"/>
        <v>168</v>
      </c>
      <c r="AS39" s="267">
        <f t="shared" si="117"/>
        <v>0</v>
      </c>
      <c r="AT39" s="299">
        <f t="shared" si="118"/>
        <v>514.08000000000004</v>
      </c>
    </row>
    <row r="40" spans="1:46" x14ac:dyDescent="0.4">
      <c r="F40" s="6"/>
      <c r="H40" s="4">
        <f>機器台数case1!D66</f>
        <v>32.100906530674813</v>
      </c>
      <c r="I40" s="4">
        <f>機器台数case1!D73</f>
        <v>0</v>
      </c>
      <c r="J40" s="4">
        <f>SUM(J41:J44)</f>
        <v>199.13339850964726</v>
      </c>
      <c r="K40" s="267"/>
      <c r="L40" s="4"/>
      <c r="M40" s="4">
        <f>機器台数case1!F66</f>
        <v>34.273728098883865</v>
      </c>
      <c r="N40" s="4">
        <v>0</v>
      </c>
      <c r="O40" s="4">
        <f>SUM(O41:O44)</f>
        <v>212.61218742855431</v>
      </c>
      <c r="P40" s="297">
        <f>SUM(P41:P44)</f>
        <v>0</v>
      </c>
      <c r="Q40" s="4"/>
      <c r="R40" s="4">
        <f>機器台数case1!H66</f>
        <v>27.498672154904085</v>
      </c>
      <c r="S40" s="4">
        <f>機器台数case1!H73</f>
        <v>6.0406123699036529</v>
      </c>
      <c r="T40" s="4">
        <f>SUM(T41:T44)</f>
        <v>170.58409348894935</v>
      </c>
      <c r="U40" s="297">
        <f>SUM(U41:U44)</f>
        <v>31.851266218184463</v>
      </c>
      <c r="V40" s="4"/>
      <c r="W40" s="4">
        <f>機器台数case1!J66</f>
        <v>16.025698502190711</v>
      </c>
      <c r="X40" s="4">
        <f>機器台数case1!J73</f>
        <v>19.020141552039373</v>
      </c>
      <c r="Y40" s="4">
        <f>SUM(Y41:Y44)</f>
        <v>99.413136609793909</v>
      </c>
      <c r="Z40" s="297">
        <f>SUM(Z41:Z44)</f>
        <v>100.29042669579889</v>
      </c>
      <c r="AA40" s="4"/>
      <c r="AB40" s="4">
        <f>機器台数case1!L66</f>
        <v>11.955662942405294</v>
      </c>
      <c r="AC40" s="4">
        <f>機器台数case1!L73</f>
        <v>24.428782389222405</v>
      </c>
      <c r="AD40" s="4">
        <f>SUM(AD41:AD44)</f>
        <v>74.165251092893911</v>
      </c>
      <c r="AE40" s="297">
        <f>SUM(AE41:AE44)</f>
        <v>128.80939938174342</v>
      </c>
      <c r="AF40" s="4"/>
      <c r="AG40" s="4">
        <f>機器台数case1!N66</f>
        <v>16.762036283990618</v>
      </c>
      <c r="AH40" s="4">
        <f>機器台数case1!N73</f>
        <v>17.775440318579744</v>
      </c>
      <c r="AI40" s="4">
        <f>SUM(AI41:AI44)</f>
        <v>103.98090309329666</v>
      </c>
      <c r="AJ40" s="297">
        <f>SUM(AJ41:AJ44)</f>
        <v>93.727298999250877</v>
      </c>
      <c r="AK40" s="4"/>
      <c r="AL40" s="4">
        <f>機器台数case1!P66</f>
        <v>8.7964675129729972</v>
      </c>
      <c r="AM40" s="4">
        <f>機器台数case1!P73</f>
        <v>19.840618991861955</v>
      </c>
      <c r="AN40" s="4">
        <f>SUM(AN41:AN44)</f>
        <v>54.567632507953192</v>
      </c>
      <c r="AO40" s="297">
        <f>SUM(AO41:AO44)</f>
        <v>104.61668432689734</v>
      </c>
      <c r="AP40" s="4"/>
      <c r="AQ40" s="4">
        <f>機器台数case1!R66</f>
        <v>0</v>
      </c>
      <c r="AR40" s="4">
        <f>機器台数case1!R73</f>
        <v>28.31717520145401</v>
      </c>
      <c r="AS40" s="4">
        <f>SUM(AS41:AS44)</f>
        <v>0</v>
      </c>
      <c r="AT40" s="297">
        <f>SUM(AT41:AT44)</f>
        <v>149.31232640952737</v>
      </c>
    </row>
    <row r="41" spans="1:46" s="291" customFormat="1" x14ac:dyDescent="0.4">
      <c r="A41" s="291" t="s">
        <v>14</v>
      </c>
      <c r="B41" s="291">
        <v>2</v>
      </c>
      <c r="C41" s="292">
        <v>3.2</v>
      </c>
      <c r="D41" s="292">
        <f>C41*0.85</f>
        <v>2.72</v>
      </c>
      <c r="E41" s="293">
        <v>5785</v>
      </c>
      <c r="F41" s="294">
        <f>E41/$A$43</f>
        <v>0.16963317010233703</v>
      </c>
      <c r="G41" s="114">
        <f>SUM(H41:H44)</f>
        <v>32.100906530674806</v>
      </c>
      <c r="H41" s="293">
        <f>F41*H$40</f>
        <v>5.4453785379571817</v>
      </c>
      <c r="I41" s="293">
        <f>$F41*I$40</f>
        <v>0</v>
      </c>
      <c r="J41" s="295">
        <f t="shared" ref="J41:K43" si="119">C41*H41</f>
        <v>17.425211321462982</v>
      </c>
      <c r="K41" s="295">
        <f t="shared" si="119"/>
        <v>0</v>
      </c>
      <c r="L41" s="293"/>
      <c r="M41" s="293">
        <f>M$40*$F41</f>
        <v>5.8139611486392146</v>
      </c>
      <c r="N41" s="293">
        <f>$F41*N$40</f>
        <v>0</v>
      </c>
      <c r="O41" s="295">
        <f>$C41*M41</f>
        <v>18.604675675645488</v>
      </c>
      <c r="P41" s="301">
        <f>$D41*N41</f>
        <v>0</v>
      </c>
      <c r="Q41" s="293"/>
      <c r="R41" s="293">
        <f>R$40*$F41</f>
        <v>4.6646869312412438</v>
      </c>
      <c r="S41" s="293">
        <f>$F41*S$40</f>
        <v>1.0246882256661476</v>
      </c>
      <c r="T41" s="295">
        <f>$C41*R41</f>
        <v>14.926998179971982</v>
      </c>
      <c r="U41" s="301">
        <f>$D41*S41</f>
        <v>2.7871519738119215</v>
      </c>
      <c r="V41" s="293"/>
      <c r="W41" s="293">
        <f>W$40*$F41</f>
        <v>2.7184900400308845</v>
      </c>
      <c r="X41" s="293">
        <f>$F41*X$40</f>
        <v>3.2264469072676234</v>
      </c>
      <c r="Y41" s="295">
        <f>$C41*W41</f>
        <v>8.6991681280988313</v>
      </c>
      <c r="Z41" s="301">
        <f>$D41*X41</f>
        <v>8.7759355877679361</v>
      </c>
      <c r="AA41" s="293"/>
      <c r="AB41" s="293">
        <f>AB$40*$F41</f>
        <v>2.0280770055952444</v>
      </c>
      <c r="AC41" s="293">
        <f>$F41*AC$40</f>
        <v>4.1439317984239397</v>
      </c>
      <c r="AD41" s="295">
        <f>$C41*AB41</f>
        <v>6.4898464179047828</v>
      </c>
      <c r="AE41" s="301">
        <f>$D41*AC41</f>
        <v>11.271494491713117</v>
      </c>
      <c r="AF41" s="114">
        <f>SUM(AG41:AG44)</f>
        <v>16.762036283990618</v>
      </c>
      <c r="AG41" s="293">
        <f>AG$40*$F41</f>
        <v>2.8433973522237257</v>
      </c>
      <c r="AH41" s="293">
        <f>$F41*AH$40</f>
        <v>3.0153042912055774</v>
      </c>
      <c r="AI41" s="295">
        <f>$C41*AG41</f>
        <v>9.0988715271159233</v>
      </c>
      <c r="AJ41" s="301">
        <f>$D41*AH41</f>
        <v>8.2016276720791712</v>
      </c>
      <c r="AK41" s="114">
        <f>SUM(AL41:AL44)</f>
        <v>8.7964675129729972</v>
      </c>
      <c r="AL41" s="293">
        <f>AL$40*$F41</f>
        <v>1.4921726699278299</v>
      </c>
      <c r="AM41" s="293">
        <f>$F41*AM$40</f>
        <v>3.3656270963821777</v>
      </c>
      <c r="AN41" s="295">
        <f>$C41*AL41</f>
        <v>4.7749525437690563</v>
      </c>
      <c r="AO41" s="301">
        <f>$D41*AM41</f>
        <v>9.1545057021595238</v>
      </c>
      <c r="AP41" s="293"/>
      <c r="AQ41" s="293">
        <f>AQ$40*$F41</f>
        <v>0</v>
      </c>
      <c r="AR41" s="293">
        <f>$F41*AR$40</f>
        <v>4.8035321977659278</v>
      </c>
      <c r="AS41" s="295">
        <f>$C41*AQ41</f>
        <v>0</v>
      </c>
      <c r="AT41" s="301">
        <f>$D41*AR41</f>
        <v>13.065607577923325</v>
      </c>
    </row>
    <row r="42" spans="1:46" x14ac:dyDescent="0.4">
      <c r="A42" t="s">
        <v>15</v>
      </c>
      <c r="B42">
        <v>3</v>
      </c>
      <c r="C42" s="1">
        <v>4.7</v>
      </c>
      <c r="D42" s="1">
        <f>C42*0.85</f>
        <v>3.9950000000000001</v>
      </c>
      <c r="E42" s="4">
        <v>12483</v>
      </c>
      <c r="F42" s="6">
        <f>E42/$A$43</f>
        <v>0.36603817845937309</v>
      </c>
      <c r="H42" s="4">
        <f>F42*H$40</f>
        <v>11.750157353382802</v>
      </c>
      <c r="I42" s="4">
        <f>$F42*I$40</f>
        <v>0</v>
      </c>
      <c r="J42" s="267">
        <f t="shared" si="119"/>
        <v>55.225739560899171</v>
      </c>
      <c r="K42" s="267">
        <f t="shared" si="119"/>
        <v>0</v>
      </c>
      <c r="L42" s="4"/>
      <c r="M42" s="4">
        <f>M$40*$F42</f>
        <v>12.545493002327282</v>
      </c>
      <c r="N42" s="4">
        <f>$F42*N$40</f>
        <v>0</v>
      </c>
      <c r="O42" s="267">
        <f>$C42*M42</f>
        <v>58.96381711093823</v>
      </c>
      <c r="P42" s="299">
        <f>$D42*N42</f>
        <v>0</v>
      </c>
      <c r="Q42" s="4"/>
      <c r="R42" s="4">
        <f>R$40*$F42</f>
        <v>10.065563865632575</v>
      </c>
      <c r="S42" s="4">
        <f>$F42*S$40</f>
        <v>2.2110947486586898</v>
      </c>
      <c r="T42" s="267">
        <f>$C42*R42</f>
        <v>47.308150168473105</v>
      </c>
      <c r="U42" s="299">
        <f>$D42*S42</f>
        <v>8.8333235208914669</v>
      </c>
      <c r="V42" s="4"/>
      <c r="W42" s="4">
        <f>W$40*$F42</f>
        <v>5.866017488280991</v>
      </c>
      <c r="X42" s="4">
        <f>$F42*X$40</f>
        <v>6.9620979677479253</v>
      </c>
      <c r="Y42" s="267">
        <f>$C42*W42</f>
        <v>27.570282194920658</v>
      </c>
      <c r="Z42" s="299">
        <f>$D42*X42</f>
        <v>27.813581381152961</v>
      </c>
      <c r="AA42" s="4"/>
      <c r="AB42" s="4">
        <f>AB$40*$F42</f>
        <v>4.3762290857122625</v>
      </c>
      <c r="AC42" s="4">
        <f>$F42*AC$40</f>
        <v>8.941867007731382</v>
      </c>
      <c r="AD42" s="267">
        <f>$C42*AB42</f>
        <v>20.568276702847633</v>
      </c>
      <c r="AE42" s="299">
        <f>$D42*AC42</f>
        <v>35.722758695886874</v>
      </c>
      <c r="AF42" s="4"/>
      <c r="AG42" s="4">
        <f>AG$40*$F42</f>
        <v>6.1355452286618446</v>
      </c>
      <c r="AH42" s="4">
        <f>$F42*AH$40</f>
        <v>6.5064897955262282</v>
      </c>
      <c r="AI42" s="267">
        <f>$C42*AG42</f>
        <v>28.837062574710671</v>
      </c>
      <c r="AJ42" s="299">
        <f>$D42*AH42</f>
        <v>25.993426733127283</v>
      </c>
      <c r="AK42" s="4"/>
      <c r="AL42" s="4">
        <f>AL$40*$F42</f>
        <v>3.2198429453256878</v>
      </c>
      <c r="AM42" s="4">
        <f>$F42*AM$40</f>
        <v>7.2624240352875935</v>
      </c>
      <c r="AN42" s="267">
        <f>$C42*AL42</f>
        <v>15.133261843030734</v>
      </c>
      <c r="AO42" s="299">
        <f>$D42*AM42</f>
        <v>29.013384020973938</v>
      </c>
      <c r="AP42" s="4"/>
      <c r="AQ42" s="4">
        <f>AQ$40*$F42</f>
        <v>0</v>
      </c>
      <c r="AR42" s="4">
        <f>$F42*AR$40</f>
        <v>10.365167229855157</v>
      </c>
      <c r="AS42" s="267">
        <f>$C42*AQ42</f>
        <v>0</v>
      </c>
      <c r="AT42" s="299">
        <f>$D42*AR42</f>
        <v>41.40884308327135</v>
      </c>
    </row>
    <row r="43" spans="1:46" x14ac:dyDescent="0.4">
      <c r="A43" s="5">
        <f>SUM(E41:E44)</f>
        <v>34103</v>
      </c>
      <c r="B43">
        <v>4</v>
      </c>
      <c r="C43" s="1">
        <v>8.6999999999999993</v>
      </c>
      <c r="D43" s="1">
        <f>C43*0.85</f>
        <v>7.3949999999999996</v>
      </c>
      <c r="E43" s="4">
        <v>9048</v>
      </c>
      <c r="F43" s="6">
        <f>E43/$A$43</f>
        <v>0.26531390200275634</v>
      </c>
      <c r="H43" s="4">
        <f>F43*H$40</f>
        <v>8.5168167694790977</v>
      </c>
      <c r="I43" s="4">
        <f>$F43*I$40</f>
        <v>0</v>
      </c>
      <c r="J43" s="267">
        <f t="shared" si="119"/>
        <v>74.096305894468145</v>
      </c>
      <c r="K43" s="267">
        <f t="shared" si="119"/>
        <v>0</v>
      </c>
      <c r="L43" s="4"/>
      <c r="M43" s="4">
        <f>M$40*$F43</f>
        <v>9.0932965380963893</v>
      </c>
      <c r="N43" s="4">
        <f>$F43*N$40</f>
        <v>0</v>
      </c>
      <c r="O43" s="267">
        <f>$C43*M43</f>
        <v>79.111679881438576</v>
      </c>
      <c r="P43" s="299">
        <f>$D43*N43</f>
        <v>0</v>
      </c>
      <c r="Q43" s="4"/>
      <c r="R43" s="4">
        <f>R$40*$F43</f>
        <v>7.2957800093121472</v>
      </c>
      <c r="S43" s="4">
        <f>$F43*S$40</f>
        <v>1.6026584383452556</v>
      </c>
      <c r="T43" s="267">
        <f>$C43*R43</f>
        <v>63.473286081015672</v>
      </c>
      <c r="U43" s="299">
        <f>$D43*S43</f>
        <v>11.851659151563164</v>
      </c>
      <c r="V43" s="4"/>
      <c r="W43" s="4">
        <f>W$40*$F43</f>
        <v>4.2518406019359452</v>
      </c>
      <c r="X43" s="4">
        <f>$F43*X$40</f>
        <v>5.0463079718163284</v>
      </c>
      <c r="Y43" s="267">
        <f>$C43*W43</f>
        <v>36.991013236842718</v>
      </c>
      <c r="Z43" s="299">
        <f>$D43*X43</f>
        <v>37.317447451581749</v>
      </c>
      <c r="AA43" s="4"/>
      <c r="AB43" s="4">
        <f>AB$40*$F43</f>
        <v>3.1720035862793035</v>
      </c>
      <c r="AC43" s="4">
        <f>$F43*AC$40</f>
        <v>6.4812955768608136</v>
      </c>
      <c r="AD43" s="267">
        <f>$C43*AB43</f>
        <v>27.596431200629937</v>
      </c>
      <c r="AE43" s="299">
        <f>$D43*AC43</f>
        <v>47.929180790885717</v>
      </c>
      <c r="AF43" s="4"/>
      <c r="AG43" s="4">
        <f>AG$40*$F43</f>
        <v>4.447201252017333</v>
      </c>
      <c r="AH43" s="4">
        <f>$F43*AH$40</f>
        <v>4.7160714307395102</v>
      </c>
      <c r="AI43" s="267">
        <f>$C43*AG43</f>
        <v>38.690650892550792</v>
      </c>
      <c r="AJ43" s="299">
        <f>$D43*AH43</f>
        <v>34.875348230318679</v>
      </c>
      <c r="AK43" s="4"/>
      <c r="AL43" s="4">
        <f>AL$40*$F43</f>
        <v>2.3338251197073476</v>
      </c>
      <c r="AM43" s="4">
        <f>$F43*AM$40</f>
        <v>5.2639920428808891</v>
      </c>
      <c r="AN43" s="267">
        <f>$C43*AL43</f>
        <v>20.304278541453922</v>
      </c>
      <c r="AO43" s="299">
        <f>$D43*AM43</f>
        <v>38.927221157104171</v>
      </c>
      <c r="AP43" s="4"/>
      <c r="AQ43" s="4">
        <f>AQ$40*$F43</f>
        <v>0</v>
      </c>
      <c r="AR43" s="4">
        <f>$F43*AR$40</f>
        <v>7.5129402463934509</v>
      </c>
      <c r="AS43" s="267">
        <f>$C43*AQ43</f>
        <v>0</v>
      </c>
      <c r="AT43" s="299">
        <f>$D43*AR43</f>
        <v>55.558193122079565</v>
      </c>
    </row>
    <row r="44" spans="1:46" x14ac:dyDescent="0.4">
      <c r="A44" s="6">
        <f>A43/$E$51</f>
        <v>5.3339944193495914E-2</v>
      </c>
      <c r="B44">
        <v>5</v>
      </c>
      <c r="C44" s="1">
        <v>8.1999999999999993</v>
      </c>
      <c r="D44" s="1">
        <f>C44*0.85</f>
        <v>6.9699999999999989</v>
      </c>
      <c r="E44" s="4">
        <v>6787</v>
      </c>
      <c r="F44" s="6">
        <f>E44/$A$43</f>
        <v>0.19901474943553354</v>
      </c>
      <c r="H44" s="4">
        <f>F44*H$40</f>
        <v>6.3885538698557305</v>
      </c>
      <c r="I44" s="4">
        <f>$F44*I$40</f>
        <v>0</v>
      </c>
      <c r="J44" s="267">
        <f>$C44*H44</f>
        <v>52.386141732816988</v>
      </c>
      <c r="K44" s="267">
        <f>D44*I44</f>
        <v>0</v>
      </c>
      <c r="L44" s="4"/>
      <c r="M44" s="4">
        <f>M$40*$F44</f>
        <v>6.8209774098209781</v>
      </c>
      <c r="N44" s="4">
        <f>$F44*N$40</f>
        <v>0</v>
      </c>
      <c r="O44" s="267">
        <f>$C44*M44</f>
        <v>55.932014760532013</v>
      </c>
      <c r="P44" s="299">
        <f>$D44*N44</f>
        <v>0</v>
      </c>
      <c r="Q44" s="4"/>
      <c r="R44" s="4">
        <f>R$40*$F44</f>
        <v>5.4726413487181196</v>
      </c>
      <c r="S44" s="4">
        <f>$F44*S$40</f>
        <v>1.2021709572335599</v>
      </c>
      <c r="T44" s="267">
        <f>$C44*R44</f>
        <v>44.875659059488576</v>
      </c>
      <c r="U44" s="299">
        <f>$D44*S44</f>
        <v>8.3791315719179114</v>
      </c>
      <c r="V44" s="4"/>
      <c r="W44" s="4">
        <f>W$40*$F44</f>
        <v>3.1893503719428895</v>
      </c>
      <c r="X44" s="4">
        <f>$F44*X$40</f>
        <v>3.7852887052074959</v>
      </c>
      <c r="Y44" s="267">
        <f>$C44*W44</f>
        <v>26.152673049931693</v>
      </c>
      <c r="Z44" s="299">
        <f>$D44*X44</f>
        <v>26.383462275296242</v>
      </c>
      <c r="AA44" s="4"/>
      <c r="AB44" s="4">
        <f>AB$40*$F44</f>
        <v>2.3793532648184832</v>
      </c>
      <c r="AC44" s="4">
        <f>$F44*AC$40</f>
        <v>4.8616880062062711</v>
      </c>
      <c r="AD44" s="267">
        <f>$C44*AB44</f>
        <v>19.510696771511562</v>
      </c>
      <c r="AE44" s="299">
        <f>$D44*AC44</f>
        <v>33.885965403257707</v>
      </c>
      <c r="AF44" s="4"/>
      <c r="AG44" s="4">
        <f>AG$40*$F44</f>
        <v>3.3358924510877146</v>
      </c>
      <c r="AH44" s="4">
        <f>$F44*AH$40</f>
        <v>3.5375748011084283</v>
      </c>
      <c r="AI44" s="267">
        <f>$C44*AG44</f>
        <v>27.354318098919258</v>
      </c>
      <c r="AJ44" s="299">
        <f>$D44*AH44</f>
        <v>24.656896363725743</v>
      </c>
      <c r="AK44" s="4"/>
      <c r="AL44" s="4">
        <f>AL$40*$F44</f>
        <v>1.7506267780121321</v>
      </c>
      <c r="AM44" s="4">
        <f>$F44*AM$40</f>
        <v>3.948575817311295</v>
      </c>
      <c r="AN44" s="267">
        <f>$C44*AL44</f>
        <v>14.355139579699483</v>
      </c>
      <c r="AO44" s="299">
        <f>$D44*AM44</f>
        <v>27.521573446659723</v>
      </c>
      <c r="AP44" s="4"/>
      <c r="AQ44" s="4">
        <f>AQ$40*$F44</f>
        <v>0</v>
      </c>
      <c r="AR44" s="4">
        <f>$F44*AR$40</f>
        <v>5.6355355274394743</v>
      </c>
      <c r="AS44" s="267">
        <f>$C44*AQ44</f>
        <v>0</v>
      </c>
      <c r="AT44" s="299">
        <f>$D44*AR44</f>
        <v>39.279682626253127</v>
      </c>
    </row>
    <row r="45" spans="1:46" x14ac:dyDescent="0.4">
      <c r="A45" s="6"/>
      <c r="F45" s="6"/>
      <c r="H45" s="4">
        <f>機器台数case1!D67</f>
        <v>7.8965048495977195</v>
      </c>
      <c r="I45" s="4">
        <f>機器台数case1!D74</f>
        <v>0</v>
      </c>
      <c r="J45" s="4">
        <f>SUM(J46:J49)</f>
        <v>55.338882949017147</v>
      </c>
      <c r="K45" s="267"/>
      <c r="L45" s="4"/>
      <c r="M45" s="4">
        <f>機器台数case1!F67</f>
        <v>8.4309974202133748</v>
      </c>
      <c r="N45" s="4">
        <v>0</v>
      </c>
      <c r="O45" s="4">
        <f>SUM(O46:O49)</f>
        <v>59.084618862030084</v>
      </c>
      <c r="P45" s="297">
        <f>SUM(P46:P49)</f>
        <v>0</v>
      </c>
      <c r="Q45" s="4"/>
      <c r="R45" s="4">
        <f>機器台数case1!H67</f>
        <v>6.7644008066003103</v>
      </c>
      <c r="S45" s="4">
        <f>機器台数case1!H74</f>
        <v>1.4859307735718779</v>
      </c>
      <c r="T45" s="4">
        <f>SUM(T46:T49)</f>
        <v>47.405072444900973</v>
      </c>
      <c r="U45" s="297">
        <f>SUM(U46:U49)</f>
        <v>8.8514207371432061</v>
      </c>
      <c r="V45" s="4"/>
      <c r="W45" s="4">
        <f>機器台数case1!J67</f>
        <v>3.9421629984129805</v>
      </c>
      <c r="X45" s="4">
        <f>機器台数case1!J74</f>
        <v>4.6787663102969921</v>
      </c>
      <c r="Y45" s="4">
        <f>SUM(Y46:Y49)</f>
        <v>27.626766637930466</v>
      </c>
      <c r="Z45" s="297">
        <f>SUM(Z46:Z49)</f>
        <v>27.870564281847091</v>
      </c>
      <c r="AA45" s="4"/>
      <c r="AB45" s="4">
        <f>機器台数case1!L67</f>
        <v>2.9409745894448585</v>
      </c>
      <c r="AC45" s="4">
        <f>機器台数case1!L74</f>
        <v>6.0092383503852087</v>
      </c>
      <c r="AD45" s="4">
        <f>SUM(AD46:AD49)</f>
        <v>20.610415830950064</v>
      </c>
      <c r="AE45" s="297">
        <f>SUM(AE46:AE49)</f>
        <v>35.795945474079602</v>
      </c>
      <c r="AF45" s="114"/>
      <c r="AG45" s="4">
        <f>機器台数case1!N67</f>
        <v>4.1232947947804384</v>
      </c>
      <c r="AH45" s="4">
        <f>機器台数case1!N74</f>
        <v>4.372582143288434</v>
      </c>
      <c r="AI45" s="4">
        <f>SUM(AI46:AI49)</f>
        <v>28.896142326091361</v>
      </c>
      <c r="AJ45" s="297">
        <f>SUM(AJ46:AJ49)</f>
        <v>26.046680603383543</v>
      </c>
      <c r="AK45" s="114"/>
      <c r="AL45" s="4">
        <f>機器台数case1!P67</f>
        <v>2.1638438250690695</v>
      </c>
      <c r="AM45" s="4">
        <f>機器台数case1!P74</f>
        <v>4.8805956286171295</v>
      </c>
      <c r="AN45" s="4">
        <f>SUM(AN46:AN49)</f>
        <v>15.164266018471585</v>
      </c>
      <c r="AO45" s="297">
        <f>SUM(AO46:AO49)</f>
        <v>29.072825009813588</v>
      </c>
      <c r="AP45" s="4"/>
      <c r="AQ45" s="4">
        <f>機器台数case1!R67</f>
        <v>0</v>
      </c>
      <c r="AR45" s="4">
        <f>機器台数case1!R74</f>
        <v>6.9657444437438842</v>
      </c>
      <c r="AS45" s="4">
        <f>SUM(AS46:AS49)</f>
        <v>0</v>
      </c>
      <c r="AT45" s="297">
        <f>SUM(AT46:AT49)</f>
        <v>41.493679191248141</v>
      </c>
    </row>
    <row r="46" spans="1:46" x14ac:dyDescent="0.4">
      <c r="A46" t="s">
        <v>16</v>
      </c>
      <c r="B46">
        <v>2</v>
      </c>
      <c r="C46" s="1">
        <v>4.7</v>
      </c>
      <c r="D46" s="1">
        <f t="shared" ref="D46:D53" si="120">C46*0.85</f>
        <v>3.9950000000000001</v>
      </c>
      <c r="E46" s="4">
        <v>1935</v>
      </c>
      <c r="F46" s="6">
        <f>E46/$A$47</f>
        <v>0.2306591965669329</v>
      </c>
      <c r="G46" s="114">
        <f>SUM(H46:H49)</f>
        <v>7.8965048495977204</v>
      </c>
      <c r="H46" s="4">
        <f>F46*H$45</f>
        <v>1.8214014642950993</v>
      </c>
      <c r="I46" s="4">
        <f>$F46*I$45</f>
        <v>0</v>
      </c>
      <c r="J46" s="267">
        <f t="shared" ref="J46:K49" si="121">C46*H46</f>
        <v>8.5605868821869677</v>
      </c>
      <c r="K46" s="267">
        <f t="shared" si="121"/>
        <v>0</v>
      </c>
      <c r="L46" s="4"/>
      <c r="M46" s="4">
        <f>M$45*$F46</f>
        <v>1.9446870912043011</v>
      </c>
      <c r="N46" s="4">
        <f>$F46*N$45</f>
        <v>0</v>
      </c>
      <c r="O46" s="267">
        <f>$C46*M46</f>
        <v>9.1400293286602157</v>
      </c>
      <c r="P46" s="299">
        <f>$D46*N46</f>
        <v>0</v>
      </c>
      <c r="Q46" s="4"/>
      <c r="R46" s="4">
        <f>R$45*$F46</f>
        <v>1.5602712553071405</v>
      </c>
      <c r="S46" s="4">
        <f>$F46*S$45</f>
        <v>0.34274359838617041</v>
      </c>
      <c r="T46" s="267">
        <f>$C46*R46</f>
        <v>7.3332748999435609</v>
      </c>
      <c r="U46" s="299">
        <f>$D46*S46</f>
        <v>1.3692606755527508</v>
      </c>
      <c r="V46" s="4"/>
      <c r="W46" s="4">
        <f>W$45*$F46</f>
        <v>0.90929614994982921</v>
      </c>
      <c r="X46" s="4">
        <f>$F46*X$45</f>
        <v>1.0792004780575373</v>
      </c>
      <c r="Y46" s="267">
        <f>$C46*W46</f>
        <v>4.2736919047641972</v>
      </c>
      <c r="Z46" s="299">
        <f>$D46*X46</f>
        <v>4.3114059098398618</v>
      </c>
      <c r="AA46" s="4"/>
      <c r="AB46" s="4">
        <f>AB$45*$F46</f>
        <v>0.67836283592511637</v>
      </c>
      <c r="AC46" s="4">
        <f>$F46*AC$45</f>
        <v>1.3860860898790535</v>
      </c>
      <c r="AD46" s="267">
        <f>$C46*AB46</f>
        <v>3.1883053288480472</v>
      </c>
      <c r="AE46" s="299">
        <f>$D46*AC46</f>
        <v>5.537413929066819</v>
      </c>
      <c r="AF46" s="114">
        <f>SUM(AG46:AG49)</f>
        <v>4.1232947947804384</v>
      </c>
      <c r="AG46" s="4">
        <f>AG$45*$F46</f>
        <v>0.95107586457267235</v>
      </c>
      <c r="AH46" s="4">
        <f>$F46*AH$45</f>
        <v>1.0085762840938277</v>
      </c>
      <c r="AI46" s="267">
        <f>$C46*AG46</f>
        <v>4.4700565634915606</v>
      </c>
      <c r="AJ46" s="299">
        <f>$D46*AH46</f>
        <v>4.0292622549548422</v>
      </c>
      <c r="AK46" s="114">
        <f>SUM(AL46:AL49)</f>
        <v>2.1638438250690695</v>
      </c>
      <c r="AL46" s="4">
        <f>AL$45*$F46</f>
        <v>0.49911047818675047</v>
      </c>
      <c r="AM46" s="4">
        <f>$F46*AM$45</f>
        <v>1.1257542664649118</v>
      </c>
      <c r="AN46" s="267">
        <f>$C46*AL46</f>
        <v>2.3458192474777273</v>
      </c>
      <c r="AO46" s="299">
        <f>$D46*AM46</f>
        <v>4.4973882945273225</v>
      </c>
      <c r="AP46" s="4"/>
      <c r="AQ46" s="4">
        <f>AQ$45*$F46</f>
        <v>0</v>
      </c>
      <c r="AR46" s="4">
        <f>$F46*AR$45</f>
        <v>1.6067130168845414</v>
      </c>
      <c r="AS46" s="267">
        <f>$C46*AQ46</f>
        <v>0</v>
      </c>
      <c r="AT46" s="299">
        <f>$D46*AR46</f>
        <v>6.4188185024537434</v>
      </c>
    </row>
    <row r="47" spans="1:46" x14ac:dyDescent="0.4">
      <c r="A47" s="5">
        <f>SUM(E46:E49)</f>
        <v>8389</v>
      </c>
      <c r="B47">
        <v>3</v>
      </c>
      <c r="C47" s="1">
        <v>7.7</v>
      </c>
      <c r="D47" s="1">
        <f t="shared" si="120"/>
        <v>6.5449999999999999</v>
      </c>
      <c r="E47" s="4">
        <v>2780</v>
      </c>
      <c r="F47" s="6">
        <f>E47/$A$47</f>
        <v>0.33138633925378475</v>
      </c>
      <c r="H47" s="4">
        <f>F47*H$45</f>
        <v>2.6167938350079463</v>
      </c>
      <c r="I47" s="4">
        <f>$F47*I$45</f>
        <v>0</v>
      </c>
      <c r="J47" s="267">
        <f t="shared" si="121"/>
        <v>20.149312529561186</v>
      </c>
      <c r="K47" s="267">
        <f t="shared" si="121"/>
        <v>0</v>
      </c>
      <c r="L47" s="4"/>
      <c r="M47" s="4">
        <f>M$45*$F47</f>
        <v>2.7939173713426135</v>
      </c>
      <c r="N47" s="4">
        <f>$F47*N$45</f>
        <v>0</v>
      </c>
      <c r="O47" s="267">
        <f>$C47*M47</f>
        <v>21.513163759338124</v>
      </c>
      <c r="P47" s="299">
        <f>$D47*N47</f>
        <v>0</v>
      </c>
      <c r="Q47" s="4"/>
      <c r="R47" s="4">
        <f>R$45*$F47</f>
        <v>2.2416300205446258</v>
      </c>
      <c r="S47" s="4">
        <f>$F47*S$45</f>
        <v>0.4924171594385291</v>
      </c>
      <c r="T47" s="267">
        <f>$C47*R47</f>
        <v>17.260551158193618</v>
      </c>
      <c r="U47" s="299">
        <f>$D47*S47</f>
        <v>3.2228703085251729</v>
      </c>
      <c r="V47" s="4"/>
      <c r="W47" s="4">
        <f>W$45*$F47</f>
        <v>1.3063789647858013</v>
      </c>
      <c r="X47" s="4">
        <f>$F47*X$45</f>
        <v>1.5504792397932576</v>
      </c>
      <c r="Y47" s="267">
        <f>$C47*W47</f>
        <v>10.059118028850671</v>
      </c>
      <c r="Z47" s="299">
        <f>$D47*X47</f>
        <v>10.147886624446871</v>
      </c>
      <c r="AA47" s="4"/>
      <c r="AB47" s="4">
        <f>AB$45*$F47</f>
        <v>0.97459880303453417</v>
      </c>
      <c r="AC47" s="4">
        <f>$F47*AC$45</f>
        <v>1.9913794986376065</v>
      </c>
      <c r="AD47" s="267">
        <f>$C47*AB47</f>
        <v>7.5044107833659135</v>
      </c>
      <c r="AE47" s="299">
        <f>$D47*AC47</f>
        <v>13.033578818583134</v>
      </c>
      <c r="AF47" s="4"/>
      <c r="AG47" s="4">
        <f>AG$45*$F47</f>
        <v>1.3664035677064752</v>
      </c>
      <c r="AH47" s="4">
        <f>$F47*AH$45</f>
        <v>1.4490139895508223</v>
      </c>
      <c r="AI47" s="267">
        <f>$C47*AG47</f>
        <v>10.52130747133986</v>
      </c>
      <c r="AJ47" s="299">
        <f>$D47*AH47</f>
        <v>9.4837965616101325</v>
      </c>
      <c r="AK47" s="4"/>
      <c r="AL47" s="4">
        <f>AL$45*$F47</f>
        <v>0.71706828390654587</v>
      </c>
      <c r="AM47" s="4">
        <f>$F47*AM$45</f>
        <v>1.6173627187454549</v>
      </c>
      <c r="AN47" s="267">
        <f>$C47*AL47</f>
        <v>5.5214257860804032</v>
      </c>
      <c r="AO47" s="299">
        <f>$D47*AM47</f>
        <v>10.585638994189003</v>
      </c>
      <c r="AP47" s="4"/>
      <c r="AQ47" s="4">
        <f>AQ$45*$F47</f>
        <v>0</v>
      </c>
      <c r="AR47" s="4">
        <f>$F47*AR$45</f>
        <v>2.3083525513896768</v>
      </c>
      <c r="AS47" s="267">
        <f>$C47*AQ47</f>
        <v>0</v>
      </c>
      <c r="AT47" s="299">
        <f>$D47*AR47</f>
        <v>15.108167448845434</v>
      </c>
    </row>
    <row r="48" spans="1:46" x14ac:dyDescent="0.4">
      <c r="A48" s="6">
        <f>A47/$E$51</f>
        <v>1.3121097611331473E-2</v>
      </c>
      <c r="B48">
        <v>4</v>
      </c>
      <c r="C48" s="1">
        <v>7.7</v>
      </c>
      <c r="D48" s="1">
        <f t="shared" si="120"/>
        <v>6.5449999999999999</v>
      </c>
      <c r="E48" s="4">
        <v>2111</v>
      </c>
      <c r="F48" s="6">
        <f>E48/$A$47</f>
        <v>0.25163905113839552</v>
      </c>
      <c r="H48" s="4">
        <f>F48*H$45</f>
        <v>1.9870689876625087</v>
      </c>
      <c r="I48" s="4">
        <f>$F48*I$45</f>
        <v>0</v>
      </c>
      <c r="J48" s="267">
        <f t="shared" si="121"/>
        <v>15.300431205001317</v>
      </c>
      <c r="K48" s="267">
        <f t="shared" si="121"/>
        <v>0</v>
      </c>
      <c r="L48" s="4"/>
      <c r="M48" s="4">
        <f>M$45*$F48</f>
        <v>2.121568190972754</v>
      </c>
      <c r="N48" s="4">
        <f>$F48*N$45</f>
        <v>0</v>
      </c>
      <c r="O48" s="267">
        <f>$C48*M48</f>
        <v>16.336075070490207</v>
      </c>
      <c r="P48" s="299">
        <f>$D48*N48</f>
        <v>0</v>
      </c>
      <c r="Q48" s="4"/>
      <c r="R48" s="4">
        <f>R$45*$F48</f>
        <v>1.7021874004926993</v>
      </c>
      <c r="S48" s="4">
        <f>$F48*S$45</f>
        <v>0.3739182099189694</v>
      </c>
      <c r="T48" s="267">
        <f>$C48*R48</f>
        <v>13.106842983793785</v>
      </c>
      <c r="U48" s="299">
        <f>$D48*S48</f>
        <v>2.4472946839196545</v>
      </c>
      <c r="V48" s="4"/>
      <c r="W48" s="4">
        <f>W$45*$F48</f>
        <v>0.99200215635353461</v>
      </c>
      <c r="X48" s="4">
        <f>$F48*X$45</f>
        <v>1.1773603148214269</v>
      </c>
      <c r="Y48" s="267">
        <f>$C48*W48</f>
        <v>7.6384166039222166</v>
      </c>
      <c r="Z48" s="299">
        <f>$D48*X48</f>
        <v>7.7058232605062393</v>
      </c>
      <c r="AA48" s="4"/>
      <c r="AB48" s="4">
        <f>AB$45*$F48</f>
        <v>0.74006405511003648</v>
      </c>
      <c r="AC48" s="4">
        <f>$F48*AC$45</f>
        <v>1.512159036555391</v>
      </c>
      <c r="AD48" s="267">
        <f>$C48*AB48</f>
        <v>5.6984932243472812</v>
      </c>
      <c r="AE48" s="299">
        <f>$D48*AC48</f>
        <v>9.8970808942550335</v>
      </c>
      <c r="AF48" s="4"/>
      <c r="AG48" s="4">
        <f>AG$45*$F48</f>
        <v>1.0375819897224348</v>
      </c>
      <c r="AH48" s="4">
        <f>$F48*AH$45</f>
        <v>1.1003124215617934</v>
      </c>
      <c r="AI48" s="267">
        <f>$C48*AG48</f>
        <v>7.9893813208627478</v>
      </c>
      <c r="AJ48" s="299">
        <f>$D48*AH48</f>
        <v>7.2015447991219377</v>
      </c>
      <c r="AK48" s="4"/>
      <c r="AL48" s="4">
        <f>AL$45*$F48</f>
        <v>0.54450760695205691</v>
      </c>
      <c r="AM48" s="4">
        <f>$F48*AM$45</f>
        <v>1.2281484529754154</v>
      </c>
      <c r="AN48" s="267">
        <f>$C48*AL48</f>
        <v>4.1927085735308385</v>
      </c>
      <c r="AO48" s="299">
        <f>$D48*AM48</f>
        <v>8.0382316247240944</v>
      </c>
      <c r="AP48" s="4"/>
      <c r="AQ48" s="4">
        <f>AQ$45*$F48</f>
        <v>0</v>
      </c>
      <c r="AR48" s="4">
        <f>$F48*AR$45</f>
        <v>1.7528533222962617</v>
      </c>
      <c r="AS48" s="267">
        <f>$C48*AQ48</f>
        <v>0</v>
      </c>
      <c r="AT48" s="299">
        <f>$D48*AR48</f>
        <v>11.472424994429032</v>
      </c>
    </row>
    <row r="49" spans="1:46" x14ac:dyDescent="0.4">
      <c r="B49">
        <v>5</v>
      </c>
      <c r="C49" s="1">
        <v>7.7</v>
      </c>
      <c r="D49" s="1">
        <f t="shared" si="120"/>
        <v>6.5449999999999999</v>
      </c>
      <c r="E49" s="4">
        <v>1563</v>
      </c>
      <c r="F49" s="6">
        <f>E49/$A$47</f>
        <v>0.18631541304088686</v>
      </c>
      <c r="H49" s="4">
        <f>F49*H$45</f>
        <v>1.4712405626321654</v>
      </c>
      <c r="I49" s="4">
        <f>$F49*I$45</f>
        <v>0</v>
      </c>
      <c r="J49" s="267">
        <f t="shared" si="121"/>
        <v>11.328552332267673</v>
      </c>
      <c r="K49" s="267">
        <f t="shared" si="121"/>
        <v>0</v>
      </c>
      <c r="L49" s="4"/>
      <c r="M49" s="4">
        <f>M$45*$F49</f>
        <v>1.5708247666937065</v>
      </c>
      <c r="N49" s="4">
        <f>$F49*N$45</f>
        <v>0</v>
      </c>
      <c r="O49" s="267">
        <f>$C49*M49</f>
        <v>12.095350703541541</v>
      </c>
      <c r="P49" s="299">
        <f>$D49*N49</f>
        <v>0</v>
      </c>
      <c r="Q49" s="4"/>
      <c r="R49" s="4">
        <f>R$45*$F49</f>
        <v>1.2603121302558451</v>
      </c>
      <c r="S49" s="4">
        <f>$F49*S$45</f>
        <v>0.27685180582820895</v>
      </c>
      <c r="T49" s="267">
        <f>$C49*R49</f>
        <v>9.7044034029700068</v>
      </c>
      <c r="U49" s="299">
        <f>$D49*S49</f>
        <v>1.8119950691456275</v>
      </c>
      <c r="V49" s="4"/>
      <c r="W49" s="4">
        <f>W$45*$F49</f>
        <v>0.73448572732381545</v>
      </c>
      <c r="X49" s="4">
        <f>$F49*X$45</f>
        <v>0.87172627762477028</v>
      </c>
      <c r="Y49" s="267">
        <f>$C49*W49</f>
        <v>5.6555401003933792</v>
      </c>
      <c r="Z49" s="299">
        <f>$D49*X49</f>
        <v>5.7054484870541211</v>
      </c>
      <c r="AA49" s="4"/>
      <c r="AB49" s="4">
        <f>AB$45*$F49</f>
        <v>0.54794889537517144</v>
      </c>
      <c r="AC49" s="4">
        <f>$F49*AC$45</f>
        <v>1.1196137253131577</v>
      </c>
      <c r="AD49" s="267">
        <f>$C49*AB49</f>
        <v>4.2192064943888203</v>
      </c>
      <c r="AE49" s="299">
        <f>$D49*AC49</f>
        <v>7.3278718321746172</v>
      </c>
      <c r="AF49" s="4"/>
      <c r="AG49" s="4">
        <f>AG$45*$F49</f>
        <v>0.76823337277885617</v>
      </c>
      <c r="AH49" s="4">
        <f>$F49*AH$45</f>
        <v>0.81467944808199089</v>
      </c>
      <c r="AI49" s="267">
        <f>$C49*AG49</f>
        <v>5.9153969703971923</v>
      </c>
      <c r="AJ49" s="299">
        <f>$D49*AH49</f>
        <v>5.3320769876966301</v>
      </c>
      <c r="AK49" s="4"/>
      <c r="AL49" s="4">
        <f>AL$45*$F49</f>
        <v>0.40315745602371622</v>
      </c>
      <c r="AM49" s="4">
        <f>$F49*AM$45</f>
        <v>0.90933019043134733</v>
      </c>
      <c r="AN49" s="267">
        <f>$C49*AL49</f>
        <v>3.1043124113826148</v>
      </c>
      <c r="AO49" s="299">
        <f>$D49*AM49</f>
        <v>5.9515660963731678</v>
      </c>
      <c r="AP49" s="4"/>
      <c r="AQ49" s="4">
        <f>AQ$45*$F49</f>
        <v>0</v>
      </c>
      <c r="AR49" s="4">
        <f>$F49*AR$45</f>
        <v>1.2978255531734044</v>
      </c>
      <c r="AS49" s="267">
        <f>$C49*AQ49</f>
        <v>0</v>
      </c>
      <c r="AT49" s="299">
        <f>$D49*AR49</f>
        <v>8.4942682455199314</v>
      </c>
    </row>
    <row r="50" spans="1:46" s="283" customFormat="1" x14ac:dyDescent="0.4">
      <c r="A50" s="283" t="s">
        <v>20</v>
      </c>
      <c r="C50" s="284"/>
      <c r="D50" s="284">
        <f t="shared" si="120"/>
        <v>0</v>
      </c>
      <c r="E50" s="285">
        <f>SUM(E4:E49)</f>
        <v>739352</v>
      </c>
      <c r="F50" s="286">
        <f>E50/$E$50</f>
        <v>1</v>
      </c>
      <c r="G50" s="285"/>
      <c r="H50" s="285">
        <f>SUM(H3,H11,H19,H24,H32,H40,H45)</f>
        <v>626.81740000000013</v>
      </c>
      <c r="I50" s="285">
        <f>SUM(I3,I11,I19,I24,I32,I40,I45)</f>
        <v>0</v>
      </c>
      <c r="J50" s="285">
        <f>SUM(J3,J11,J19,J24,J32,J40,J45)</f>
        <v>2468.0603307091246</v>
      </c>
      <c r="K50" s="285">
        <f>SUM(K3,K11,K19,K24,K32,K40,K45)</f>
        <v>0</v>
      </c>
      <c r="L50" s="285"/>
      <c r="M50" s="285">
        <f>SUM(M3,M11,M19,M24,M32,M40,M45)</f>
        <v>720.55275510886429</v>
      </c>
      <c r="N50" s="285">
        <f>SUM(N3,N11,N19,N24,N32,N40,N45)</f>
        <v>0.16732723132171323</v>
      </c>
      <c r="O50" s="285">
        <f>SUM(O3,O11,O19,O24,O32,O40,O45)</f>
        <v>2653.4258130468997</v>
      </c>
      <c r="P50" s="296">
        <f>SUM(P3,P11,P19,P24,P32,P40,P45)</f>
        <v>0</v>
      </c>
      <c r="Q50" s="285"/>
      <c r="R50" s="285">
        <f>SUM(R3,R11,R19,R24,R32,R40,R45)</f>
        <v>567.28875581795137</v>
      </c>
      <c r="S50" s="285">
        <f>SUM(S3,S11,S19,S24,S32,S40,S45)</f>
        <v>226.49488900815999</v>
      </c>
      <c r="T50" s="285">
        <f>SUM(T3,T11,T19,T24,T32,T40,T45)</f>
        <v>2098.313337859418</v>
      </c>
      <c r="U50" s="296">
        <f>SUM(U3,U11,U19,U24,U32,U40,U45)</f>
        <v>609.87249071378028</v>
      </c>
      <c r="V50" s="285"/>
      <c r="W50" s="285">
        <f>SUM(W3,W11,W19,W24,W32,W40,W45)</f>
        <v>382.19203677307962</v>
      </c>
      <c r="X50" s="285">
        <f>SUM(X3,X11,X19,X24,X32,X40,X45)</f>
        <v>559.83602323196726</v>
      </c>
      <c r="Y50" s="285">
        <f>SUM(Y3,Y11,Y19,Y24,Y32,Y40,Y45)</f>
        <v>2252.4689690607815</v>
      </c>
      <c r="Z50" s="296">
        <f>SUM(Z3,Z11,Z19,Z24,Z32,Z40,Z45)</f>
        <v>1695.5711865013138</v>
      </c>
      <c r="AA50" s="285"/>
      <c r="AB50" s="285">
        <f>SUM(AB3,AB11,AB19,AB24,AB32,AB40,AB45)</f>
        <v>374.14089709271059</v>
      </c>
      <c r="AC50" s="285">
        <f>SUM(AC3,AC11,AC19,AC24,AC32,AC40,AC45)</f>
        <v>727.98290115573775</v>
      </c>
      <c r="AD50" s="285">
        <f>SUM(AD3,AD11,AD19,AD24,AD32,AD40,AD45)</f>
        <v>1316.7212572130497</v>
      </c>
      <c r="AE50" s="296">
        <f>SUM(AE3,AE11,AE19,AE24,AE32,AE40,AE45)</f>
        <v>2199.2247331641474</v>
      </c>
      <c r="AF50" s="285"/>
      <c r="AG50" s="285">
        <f>SUM(AG3,AG11,AG19,AG24,AG32,AG40,AG45)</f>
        <v>314.24922799290295</v>
      </c>
      <c r="AH50" s="285">
        <f>SUM(AH3,AH11,AH19,AH24,AH32,AH40,AH45)</f>
        <v>953.24819865010693</v>
      </c>
      <c r="AI50" s="285">
        <f>SUM(AI3,AI11,AI19,AI24,AI32,AI40,AI45)</f>
        <v>1251.85525330923</v>
      </c>
      <c r="AJ50" s="296">
        <f>SUM(AJ3,AJ11,AJ19,AJ24,AJ32,AJ40,AJ45)</f>
        <v>2617.4477380446087</v>
      </c>
      <c r="AK50" s="285"/>
      <c r="AL50" s="285">
        <f>SUM(AL3,AL11,AL19,AL24,AL32,AL40,AL45)</f>
        <v>164.91332426338775</v>
      </c>
      <c r="AM50" s="285">
        <f>SUM(AM3,AM11,AM19,AM24,AM32,AM40,AM45)</f>
        <v>1346.9654996242243</v>
      </c>
      <c r="AN50" s="285">
        <f>SUM(AN3,AN11,AN19,AN24,AN32,AN40,AN45)</f>
        <v>656.95503100638621</v>
      </c>
      <c r="AO50" s="296">
        <f>SUM(AO3,AO11,AO19,AO24,AO32,AO40,AO45)</f>
        <v>3601.1427268824905</v>
      </c>
      <c r="AP50" s="285"/>
      <c r="AQ50" s="285">
        <f>SUM(AQ3,AQ11,AQ19,AQ24,AQ32,AQ40,AQ45)</f>
        <v>0</v>
      </c>
      <c r="AR50" s="285">
        <f>SUM(AR3,AR11,AR19,AR24,AR32,AR40,AR45)</f>
        <v>1930.8812303726954</v>
      </c>
      <c r="AS50" s="285">
        <f>SUM(AS3,AS11,AS19,AS24,AS32,AS40,AS45)</f>
        <v>0</v>
      </c>
      <c r="AT50" s="296">
        <f>SUM(AT3,AT11,AT19,AT24,AT32,AT40,AT45)</f>
        <v>5159.9579716038161</v>
      </c>
    </row>
    <row r="51" spans="1:46" x14ac:dyDescent="0.4">
      <c r="A51" t="s">
        <v>74</v>
      </c>
      <c r="D51" s="1">
        <f t="shared" si="120"/>
        <v>0</v>
      </c>
      <c r="E51" s="4">
        <f>E50-A35</f>
        <v>639352</v>
      </c>
      <c r="J51" s="267"/>
      <c r="K51" s="267"/>
    </row>
    <row r="52" spans="1:46" x14ac:dyDescent="0.4">
      <c r="D52" s="1">
        <f t="shared" si="120"/>
        <v>0</v>
      </c>
      <c r="E52" s="4">
        <f>E51+[1]ﾕﾆﾀﾘAC!E66</f>
        <v>2151955</v>
      </c>
      <c r="J52" s="267"/>
      <c r="K52" s="267"/>
      <c r="R52" s="5">
        <f>R50+S50</f>
        <v>793.78364482611141</v>
      </c>
      <c r="W52" s="5">
        <f>W50+X50</f>
        <v>942.02806000504688</v>
      </c>
      <c r="AB52" s="5">
        <f>AB50+AC50</f>
        <v>1102.1237982484483</v>
      </c>
      <c r="AG52" s="5">
        <f>AG50+AH50</f>
        <v>1267.4974266430099</v>
      </c>
      <c r="AL52" s="5">
        <f>AL50+AM50</f>
        <v>1511.878823887612</v>
      </c>
      <c r="AQ52" s="5">
        <f>AQ50+AR50</f>
        <v>1930.8812303726954</v>
      </c>
    </row>
    <row r="53" spans="1:46" x14ac:dyDescent="0.4">
      <c r="D53" s="1">
        <f t="shared" si="120"/>
        <v>0</v>
      </c>
      <c r="E53" s="4">
        <f>E50+[1]ﾕﾆﾀﾘAC!E65</f>
        <v>2551955</v>
      </c>
      <c r="J53" s="267"/>
      <c r="K53" s="267"/>
    </row>
    <row r="54" spans="1:46" x14ac:dyDescent="0.4">
      <c r="K54" s="267"/>
    </row>
    <row r="55" spans="1:46" x14ac:dyDescent="0.4">
      <c r="J55" s="267"/>
      <c r="K55" s="267"/>
    </row>
    <row r="56" spans="1:46" x14ac:dyDescent="0.4">
      <c r="E56" s="4">
        <f>E51+[1]ﾕﾆﾀﾘAC!E66</f>
        <v>2151955</v>
      </c>
      <c r="J56" s="267"/>
      <c r="K56" s="267"/>
    </row>
    <row r="57" spans="1:46" x14ac:dyDescent="0.4">
      <c r="J57" s="267"/>
      <c r="K57" s="267"/>
    </row>
    <row r="58" spans="1:46" x14ac:dyDescent="0.4">
      <c r="J58" s="267"/>
      <c r="K58" s="267"/>
    </row>
    <row r="59" spans="1:46" x14ac:dyDescent="0.4">
      <c r="J59" s="267"/>
      <c r="K59" s="267"/>
    </row>
    <row r="60" spans="1:46" x14ac:dyDescent="0.4">
      <c r="J60" s="267"/>
      <c r="K60" s="267"/>
    </row>
    <row r="61" spans="1:46" x14ac:dyDescent="0.4">
      <c r="J61" s="267"/>
      <c r="K61" s="267"/>
    </row>
    <row r="62" spans="1:46" x14ac:dyDescent="0.4">
      <c r="G62" s="276"/>
      <c r="H62" s="276"/>
      <c r="I62" s="276"/>
      <c r="J62" s="276"/>
      <c r="K62" s="278"/>
    </row>
    <row r="63" spans="1:46" x14ac:dyDescent="0.4">
      <c r="J63" s="267"/>
      <c r="K63" s="267"/>
    </row>
    <row r="64" spans="1:46" x14ac:dyDescent="0.4">
      <c r="J64" s="267"/>
      <c r="K64" s="267"/>
    </row>
    <row r="65" spans="8:11" x14ac:dyDescent="0.4">
      <c r="J65" s="267"/>
      <c r="K65" s="267"/>
    </row>
    <row r="66" spans="8:11" x14ac:dyDescent="0.4">
      <c r="J66" s="267"/>
      <c r="K66" s="267"/>
    </row>
    <row r="67" spans="8:11" x14ac:dyDescent="0.4">
      <c r="J67" s="267"/>
      <c r="K67" s="267"/>
    </row>
    <row r="68" spans="8:11" x14ac:dyDescent="0.4">
      <c r="J68" s="267"/>
      <c r="K68" s="267"/>
    </row>
    <row r="69" spans="8:11" x14ac:dyDescent="0.4">
      <c r="J69" s="267"/>
      <c r="K69" s="267"/>
    </row>
    <row r="70" spans="8:11" x14ac:dyDescent="0.4">
      <c r="K70" s="267"/>
    </row>
    <row r="71" spans="8:11" x14ac:dyDescent="0.4">
      <c r="J71" s="267"/>
      <c r="K71" s="267"/>
    </row>
    <row r="72" spans="8:11" x14ac:dyDescent="0.4">
      <c r="J72" s="267"/>
      <c r="K72" s="267"/>
    </row>
    <row r="73" spans="8:11" x14ac:dyDescent="0.4">
      <c r="J73" s="267"/>
      <c r="K73" s="267"/>
    </row>
    <row r="74" spans="8:11" x14ac:dyDescent="0.4">
      <c r="J74" s="267"/>
      <c r="K74" s="267"/>
    </row>
    <row r="75" spans="8:11" x14ac:dyDescent="0.4">
      <c r="K75" s="267"/>
    </row>
    <row r="76" spans="8:11" x14ac:dyDescent="0.4">
      <c r="J76" s="267"/>
      <c r="K76" s="267"/>
    </row>
    <row r="77" spans="8:11" x14ac:dyDescent="0.4">
      <c r="J77" s="267"/>
      <c r="K77" s="267"/>
    </row>
    <row r="78" spans="8:11" x14ac:dyDescent="0.4">
      <c r="J78" s="267"/>
      <c r="K78" s="267"/>
    </row>
    <row r="79" spans="8:11" x14ac:dyDescent="0.4">
      <c r="J79" s="267"/>
      <c r="K79" s="267"/>
    </row>
    <row r="80" spans="8:11" x14ac:dyDescent="0.4">
      <c r="H80" s="267"/>
      <c r="I80" s="267"/>
      <c r="J80" s="267"/>
      <c r="K80" s="267"/>
    </row>
    <row r="81" spans="10:11" x14ac:dyDescent="0.4">
      <c r="J81" s="267"/>
      <c r="K81" s="267"/>
    </row>
    <row r="82" spans="10:11" x14ac:dyDescent="0.4">
      <c r="J82" s="267"/>
    </row>
  </sheetData>
  <phoneticPr fontId="2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11893-E3FD-4BA4-A046-6CB1B6605EA5}">
  <dimension ref="A3:I12"/>
  <sheetViews>
    <sheetView workbookViewId="0"/>
  </sheetViews>
  <sheetFormatPr defaultRowHeight="15" x14ac:dyDescent="0.4"/>
  <cols>
    <col min="2" max="2" width="13.875" bestFit="1" customWidth="1"/>
  </cols>
  <sheetData>
    <row r="3" spans="1:9" ht="15.6" thickBot="1" x14ac:dyDescent="0.45"/>
    <row r="4" spans="1:9" x14ac:dyDescent="0.4">
      <c r="B4" s="174" t="s">
        <v>134</v>
      </c>
      <c r="C4" s="175"/>
    </row>
    <row r="5" spans="1:9" x14ac:dyDescent="0.4">
      <c r="B5" s="176" t="s">
        <v>42</v>
      </c>
      <c r="C5" s="177">
        <v>7718</v>
      </c>
    </row>
    <row r="6" spans="1:9" x14ac:dyDescent="0.4">
      <c r="B6" s="176" t="s">
        <v>122</v>
      </c>
      <c r="C6" s="177">
        <f>C5*0.88</f>
        <v>6791.84</v>
      </c>
    </row>
    <row r="7" spans="1:9" ht="15.6" thickBot="1" x14ac:dyDescent="0.45">
      <c r="B7" s="178" t="s">
        <v>31</v>
      </c>
      <c r="C7" s="179">
        <f>C6*0.12</f>
        <v>815.02080000000001</v>
      </c>
    </row>
    <row r="9" spans="1:9" x14ac:dyDescent="0.4">
      <c r="A9" s="9"/>
      <c r="B9" s="9" t="s">
        <v>136</v>
      </c>
      <c r="C9" s="9" t="s">
        <v>64</v>
      </c>
      <c r="D9" s="9" t="s">
        <v>137</v>
      </c>
      <c r="E9" s="9" t="s">
        <v>138</v>
      </c>
      <c r="F9" s="9" t="s">
        <v>139</v>
      </c>
      <c r="G9" s="9" t="s">
        <v>140</v>
      </c>
      <c r="H9" s="9" t="s">
        <v>141</v>
      </c>
      <c r="I9" s="9" t="s">
        <v>142</v>
      </c>
    </row>
    <row r="10" spans="1:9" x14ac:dyDescent="0.4">
      <c r="A10" s="9" t="s">
        <v>135</v>
      </c>
      <c r="B10" s="10">
        <v>2006.058</v>
      </c>
      <c r="C10" s="10">
        <v>2007.9773597152011</v>
      </c>
      <c r="D10" s="10">
        <v>1964.9488900815982</v>
      </c>
      <c r="E10" s="10">
        <v>1877.2230285858486</v>
      </c>
      <c r="F10" s="10">
        <v>1795.0626269696008</v>
      </c>
      <c r="G10" s="10">
        <v>1618.7435666075244</v>
      </c>
      <c r="H10" s="10">
        <v>1248.5554043897955</v>
      </c>
      <c r="I10" s="10">
        <v>884.80205062115874</v>
      </c>
    </row>
    <row r="11" spans="1:9" x14ac:dyDescent="0.4">
      <c r="A11" s="9" t="s">
        <v>13</v>
      </c>
      <c r="B11" s="10">
        <v>50</v>
      </c>
      <c r="C11" s="10">
        <v>150</v>
      </c>
      <c r="D11" s="10">
        <v>300</v>
      </c>
      <c r="E11" s="10">
        <v>500</v>
      </c>
      <c r="F11" s="10">
        <v>700</v>
      </c>
      <c r="G11" s="10">
        <v>1000</v>
      </c>
      <c r="H11" s="10">
        <v>1500</v>
      </c>
      <c r="I11" s="10">
        <v>2000</v>
      </c>
    </row>
    <row r="12" spans="1:9" x14ac:dyDescent="0.4">
      <c r="A12" s="9" t="s">
        <v>20</v>
      </c>
      <c r="B12" s="10">
        <v>2056.058</v>
      </c>
      <c r="C12" s="10">
        <v>2157.9773597152011</v>
      </c>
      <c r="D12" s="10">
        <v>2264.9488900815982</v>
      </c>
      <c r="E12" s="10">
        <v>2377.2230285858486</v>
      </c>
      <c r="F12" s="10">
        <v>2495.0626269696008</v>
      </c>
      <c r="G12" s="10">
        <v>2618.7435666075244</v>
      </c>
      <c r="H12" s="10">
        <v>2748.5554043897955</v>
      </c>
      <c r="I12" s="10">
        <v>2884.8020506211587</v>
      </c>
    </row>
  </sheetData>
  <phoneticPr fontId="2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AE5A1-4457-440F-A482-3C909D0B2227}">
  <dimension ref="B2:AQ59"/>
  <sheetViews>
    <sheetView workbookViewId="0"/>
  </sheetViews>
  <sheetFormatPr defaultRowHeight="15" x14ac:dyDescent="0.4"/>
  <cols>
    <col min="2" max="2" width="11.5" customWidth="1"/>
    <col min="3" max="3" width="15.25" customWidth="1"/>
    <col min="4" max="4" width="16.125" bestFit="1" customWidth="1"/>
    <col min="5" max="5" width="12" bestFit="1" customWidth="1"/>
    <col min="6" max="9" width="15.75" customWidth="1"/>
    <col min="10" max="10" width="10.75" bestFit="1" customWidth="1"/>
    <col min="11" max="11" width="12.25" bestFit="1" customWidth="1"/>
    <col min="12" max="12" width="10.875" bestFit="1" customWidth="1"/>
    <col min="13" max="13" width="11.5" customWidth="1"/>
    <col min="14" max="14" width="10.375" bestFit="1" customWidth="1"/>
    <col min="15" max="15" width="12.75" customWidth="1"/>
    <col min="16" max="16" width="10.875" customWidth="1"/>
    <col min="17" max="17" width="17.75" bestFit="1" customWidth="1"/>
    <col min="18" max="18" width="10.375" bestFit="1" customWidth="1"/>
    <col min="19" max="19" width="10.875" customWidth="1"/>
    <col min="20" max="20" width="17.75" bestFit="1" customWidth="1"/>
    <col min="21" max="21" width="10.375" bestFit="1" customWidth="1"/>
    <col min="22" max="22" width="9.375" bestFit="1" customWidth="1"/>
    <col min="23" max="23" width="20.875" bestFit="1" customWidth="1"/>
    <col min="24" max="24" width="14.875" customWidth="1"/>
    <col min="25" max="25" width="11.125" customWidth="1"/>
    <col min="26" max="26" width="11.5" customWidth="1"/>
    <col min="27" max="27" width="9.375" bestFit="1" customWidth="1"/>
    <col min="28" max="28" width="10.375" bestFit="1" customWidth="1"/>
    <col min="29" max="29" width="11.125" customWidth="1"/>
    <col min="30" max="30" width="20.125" bestFit="1" customWidth="1"/>
    <col min="31" max="31" width="20.875" bestFit="1" customWidth="1"/>
    <col min="33" max="33" width="10.125" bestFit="1" customWidth="1"/>
    <col min="35" max="36" width="10.375" bestFit="1" customWidth="1"/>
  </cols>
  <sheetData>
    <row r="2" spans="2:43" x14ac:dyDescent="0.4">
      <c r="B2" s="62" t="s">
        <v>92</v>
      </c>
      <c r="C2" s="63"/>
      <c r="D2" s="63"/>
      <c r="E2" s="111">
        <v>3.5999999999999997E-2</v>
      </c>
      <c r="F2" s="14">
        <v>0.05</v>
      </c>
      <c r="G2" s="14">
        <v>0.05</v>
      </c>
      <c r="H2" s="14">
        <v>0.05</v>
      </c>
      <c r="I2" s="14">
        <v>0.05</v>
      </c>
      <c r="J2" s="14">
        <v>0.05</v>
      </c>
      <c r="K2" s="14">
        <v>0.05</v>
      </c>
      <c r="L2" s="14">
        <v>0.05</v>
      </c>
      <c r="M2" s="14">
        <v>0.05</v>
      </c>
      <c r="N2" s="125"/>
      <c r="O2" s="124"/>
      <c r="P2" s="54"/>
      <c r="Q2" s="76" t="s">
        <v>81</v>
      </c>
      <c r="R2" s="76" t="s">
        <v>100</v>
      </c>
      <c r="S2" s="76" t="s">
        <v>101</v>
      </c>
      <c r="T2" s="76" t="s">
        <v>20</v>
      </c>
      <c r="W2" s="9" t="s">
        <v>34</v>
      </c>
      <c r="X2" s="16" t="s">
        <v>35</v>
      </c>
      <c r="Y2" s="17" t="s">
        <v>36</v>
      </c>
    </row>
    <row r="3" spans="2:43" x14ac:dyDescent="0.4">
      <c r="B3" s="484" t="s">
        <v>89</v>
      </c>
      <c r="C3" s="171"/>
      <c r="D3" s="169" t="s">
        <v>90</v>
      </c>
      <c r="E3" s="170" t="s">
        <v>91</v>
      </c>
      <c r="F3" s="124" t="s">
        <v>97</v>
      </c>
      <c r="G3" s="124" t="s">
        <v>98</v>
      </c>
      <c r="H3" s="124" t="s">
        <v>71</v>
      </c>
      <c r="I3" s="124" t="s">
        <v>73</v>
      </c>
      <c r="J3" s="124" t="s">
        <v>77</v>
      </c>
      <c r="K3" s="124" t="s">
        <v>78</v>
      </c>
      <c r="L3" s="124" t="s">
        <v>79</v>
      </c>
      <c r="M3" s="124" t="s">
        <v>80</v>
      </c>
      <c r="N3" s="125"/>
      <c r="O3" s="124"/>
      <c r="P3" s="55" t="s">
        <v>3</v>
      </c>
      <c r="Q3" s="55">
        <v>1</v>
      </c>
      <c r="R3" s="77">
        <v>1</v>
      </c>
      <c r="S3" s="55">
        <v>1</v>
      </c>
      <c r="T3" s="55">
        <v>1</v>
      </c>
      <c r="U3" s="43"/>
      <c r="W3" s="9" t="s">
        <v>38</v>
      </c>
      <c r="X3" s="19">
        <f>IF(H17="R32",AB17,0)+IF(H18="R32",AB18,0)+IF(H19="R32",AB19,0)+IF(H20="R32",AB20,0)</f>
        <v>6497.9129841647655</v>
      </c>
      <c r="Y3" s="20">
        <f>SUM(AB21:AB23,IF(H18="R454B",AB18,0),IF(H19="R454B",AB19,0),IF(H20="R454B",AB20,0))</f>
        <v>22265.957808052626</v>
      </c>
    </row>
    <row r="4" spans="2:43" x14ac:dyDescent="0.4">
      <c r="B4" s="485"/>
      <c r="C4" s="22" t="s">
        <v>39</v>
      </c>
      <c r="D4" s="43">
        <v>0.22</v>
      </c>
      <c r="E4" s="24">
        <v>0.22800000000000001</v>
      </c>
      <c r="F4" s="66">
        <v>0.24</v>
      </c>
      <c r="G4" s="66">
        <v>0.25</v>
      </c>
      <c r="H4" s="66">
        <v>0.26</v>
      </c>
      <c r="I4" s="66">
        <v>0.26</v>
      </c>
      <c r="J4" s="66">
        <v>0.27</v>
      </c>
      <c r="K4" s="66">
        <v>0.27</v>
      </c>
      <c r="L4" s="66">
        <v>0.28000000000000003</v>
      </c>
      <c r="M4" s="66">
        <v>0.28000000000000003</v>
      </c>
      <c r="N4" s="125"/>
      <c r="O4" s="124"/>
      <c r="P4" s="73" t="s">
        <v>57</v>
      </c>
      <c r="Q4" s="73">
        <v>0.85</v>
      </c>
      <c r="R4" s="26">
        <v>0.88</v>
      </c>
      <c r="S4" s="75">
        <f>R8/R4</f>
        <v>0.88636363636363635</v>
      </c>
      <c r="T4" s="73">
        <f>Q4*R4*S4</f>
        <v>0.66300000000000003</v>
      </c>
      <c r="U4" s="18"/>
      <c r="W4" s="9" t="s">
        <v>40</v>
      </c>
      <c r="X4" s="19">
        <f>X3*675</f>
        <v>4386091.2643112168</v>
      </c>
      <c r="Y4" s="20">
        <f>Y3*465</f>
        <v>10353670.38074447</v>
      </c>
    </row>
    <row r="5" spans="2:43" x14ac:dyDescent="0.4">
      <c r="B5" s="485"/>
      <c r="C5" s="23" t="s">
        <v>41</v>
      </c>
      <c r="D5" s="43">
        <f t="shared" ref="D5:M5" si="0">0.2*(1-D4)</f>
        <v>0.15600000000000003</v>
      </c>
      <c r="E5" s="28">
        <f t="shared" si="0"/>
        <v>0.15440000000000001</v>
      </c>
      <c r="F5" s="67">
        <f t="shared" si="0"/>
        <v>0.15200000000000002</v>
      </c>
      <c r="G5" s="67">
        <f t="shared" si="0"/>
        <v>0.15000000000000002</v>
      </c>
      <c r="H5" s="67">
        <f t="shared" si="0"/>
        <v>0.14799999999999999</v>
      </c>
      <c r="I5" s="67">
        <f t="shared" si="0"/>
        <v>0.14799999999999999</v>
      </c>
      <c r="J5" s="67">
        <f t="shared" si="0"/>
        <v>0.14599999999999999</v>
      </c>
      <c r="K5" s="67">
        <f t="shared" si="0"/>
        <v>0.14599999999999999</v>
      </c>
      <c r="L5" s="67">
        <f t="shared" si="0"/>
        <v>0.14399999999999999</v>
      </c>
      <c r="M5" s="67">
        <f t="shared" si="0"/>
        <v>0.14399999999999999</v>
      </c>
      <c r="N5" s="125"/>
      <c r="O5" s="124"/>
      <c r="P5" s="56" t="s">
        <v>36</v>
      </c>
      <c r="Q5" s="56">
        <v>0.93</v>
      </c>
      <c r="R5" s="27">
        <v>0.95</v>
      </c>
      <c r="S5" s="74" t="s">
        <v>72</v>
      </c>
      <c r="T5" s="56">
        <f>Q5*R5</f>
        <v>0.88349999999999995</v>
      </c>
      <c r="AM5" s="9" t="s">
        <v>42</v>
      </c>
      <c r="AN5" s="9" t="s">
        <v>19</v>
      </c>
      <c r="AO5" s="9" t="s">
        <v>43</v>
      </c>
    </row>
    <row r="6" spans="2:43" x14ac:dyDescent="0.4">
      <c r="B6" s="21"/>
      <c r="C6" s="25" t="s">
        <v>44</v>
      </c>
      <c r="D6" s="43">
        <f t="shared" ref="D6:M6" si="1">0.23*(1-D4)</f>
        <v>0.1794</v>
      </c>
      <c r="E6" s="28">
        <f t="shared" si="1"/>
        <v>0.17756000000000002</v>
      </c>
      <c r="F6" s="67">
        <f t="shared" si="1"/>
        <v>0.17480000000000001</v>
      </c>
      <c r="G6" s="67">
        <f t="shared" si="1"/>
        <v>0.17250000000000001</v>
      </c>
      <c r="H6" s="67">
        <f t="shared" si="1"/>
        <v>0.17020000000000002</v>
      </c>
      <c r="I6" s="67">
        <f t="shared" si="1"/>
        <v>0.17020000000000002</v>
      </c>
      <c r="J6" s="67">
        <f t="shared" si="1"/>
        <v>0.16789999999999999</v>
      </c>
      <c r="K6" s="67">
        <f t="shared" si="1"/>
        <v>0.16789999999999999</v>
      </c>
      <c r="L6" s="67">
        <f t="shared" si="1"/>
        <v>0.1656</v>
      </c>
      <c r="M6" s="67">
        <f t="shared" si="1"/>
        <v>0.1656</v>
      </c>
      <c r="N6" s="121"/>
      <c r="O6" s="121"/>
      <c r="P6" s="18"/>
      <c r="W6" s="9"/>
      <c r="X6" s="16" t="s">
        <v>35</v>
      </c>
      <c r="Y6" s="17" t="s">
        <v>36</v>
      </c>
      <c r="AM6" s="9">
        <v>273.5</v>
      </c>
      <c r="AN6" s="9">
        <v>182.3</v>
      </c>
      <c r="AO6" s="9">
        <v>91.2</v>
      </c>
    </row>
    <row r="7" spans="2:43" x14ac:dyDescent="0.4">
      <c r="B7" s="21"/>
      <c r="C7" s="25" t="s">
        <v>45</v>
      </c>
      <c r="D7" s="43">
        <f t="shared" ref="D7:M7" si="2">0.04*(1-D4)</f>
        <v>3.1200000000000002E-2</v>
      </c>
      <c r="E7" s="28">
        <f t="shared" si="2"/>
        <v>3.0880000000000001E-2</v>
      </c>
      <c r="F7" s="67">
        <f t="shared" si="2"/>
        <v>3.04E-2</v>
      </c>
      <c r="G7" s="67">
        <f t="shared" si="2"/>
        <v>0.03</v>
      </c>
      <c r="H7" s="67">
        <f t="shared" si="2"/>
        <v>2.9600000000000001E-2</v>
      </c>
      <c r="I7" s="67">
        <f t="shared" si="2"/>
        <v>2.9600000000000001E-2</v>
      </c>
      <c r="J7" s="67">
        <f t="shared" si="2"/>
        <v>2.92E-2</v>
      </c>
      <c r="K7" s="67">
        <f t="shared" si="2"/>
        <v>2.92E-2</v>
      </c>
      <c r="L7" s="67">
        <f t="shared" si="2"/>
        <v>2.8799999999999999E-2</v>
      </c>
      <c r="M7" s="67">
        <f t="shared" si="2"/>
        <v>2.8799999999999999E-2</v>
      </c>
      <c r="N7" s="121"/>
      <c r="O7" s="121"/>
      <c r="P7" s="18"/>
      <c r="Q7" t="s">
        <v>123</v>
      </c>
      <c r="R7" t="s">
        <v>124</v>
      </c>
      <c r="W7" s="9" t="s">
        <v>46</v>
      </c>
      <c r="X7" s="26">
        <f>SUM(M4+IF(H18="R32",M5,0)+IF(H19="R32",M6,0)+IF(H20="R32",M7,0))</f>
        <v>0.28000000000000003</v>
      </c>
      <c r="Y7" s="27">
        <f>1-X7</f>
        <v>0.72</v>
      </c>
      <c r="AM7" s="9">
        <f>AM6*11%</f>
        <v>30.085000000000001</v>
      </c>
      <c r="AN7" s="9">
        <f>AN6*11%</f>
        <v>20.053000000000001</v>
      </c>
      <c r="AO7" s="9">
        <f>AO6*11%</f>
        <v>10.032</v>
      </c>
    </row>
    <row r="8" spans="2:43" x14ac:dyDescent="0.4">
      <c r="B8" s="21"/>
      <c r="C8" s="25" t="s">
        <v>47</v>
      </c>
      <c r="D8" s="64">
        <f t="shared" ref="D8:M8" si="3">0.32*(1-D4)</f>
        <v>0.24960000000000002</v>
      </c>
      <c r="E8" s="28">
        <f t="shared" si="3"/>
        <v>0.24704000000000001</v>
      </c>
      <c r="F8" s="68">
        <f t="shared" si="3"/>
        <v>0.2432</v>
      </c>
      <c r="G8" s="68">
        <f t="shared" si="3"/>
        <v>0.24</v>
      </c>
      <c r="H8" s="68">
        <f t="shared" si="3"/>
        <v>0.23680000000000001</v>
      </c>
      <c r="I8" s="68">
        <f t="shared" si="3"/>
        <v>0.23680000000000001</v>
      </c>
      <c r="J8" s="68">
        <f t="shared" si="3"/>
        <v>0.2336</v>
      </c>
      <c r="K8" s="68">
        <f t="shared" si="3"/>
        <v>0.2336</v>
      </c>
      <c r="L8" s="68">
        <f t="shared" si="3"/>
        <v>0.23039999999999999</v>
      </c>
      <c r="M8" s="68">
        <f t="shared" si="3"/>
        <v>0.23039999999999999</v>
      </c>
      <c r="N8" s="122"/>
      <c r="O8" s="122"/>
      <c r="Q8" s="18">
        <v>0.88</v>
      </c>
      <c r="R8" s="72">
        <v>0.78</v>
      </c>
      <c r="S8" s="18">
        <f>R8/R4</f>
        <v>0.88636363636363635</v>
      </c>
      <c r="AO8" t="s">
        <v>48</v>
      </c>
      <c r="AP8" t="s">
        <v>48</v>
      </c>
      <c r="AQ8" t="s">
        <v>49</v>
      </c>
    </row>
    <row r="9" spans="2:43" x14ac:dyDescent="0.4">
      <c r="B9" s="21"/>
      <c r="C9" s="25" t="s">
        <v>50</v>
      </c>
      <c r="D9" s="64">
        <f t="shared" ref="D9:M9" si="4">0.13*(1-D4)</f>
        <v>0.1014</v>
      </c>
      <c r="E9" s="28">
        <f t="shared" si="4"/>
        <v>0.10036</v>
      </c>
      <c r="F9" s="68">
        <f t="shared" si="4"/>
        <v>9.8799999999999999E-2</v>
      </c>
      <c r="G9" s="68">
        <f t="shared" si="4"/>
        <v>9.7500000000000003E-2</v>
      </c>
      <c r="H9" s="68">
        <f t="shared" si="4"/>
        <v>9.6200000000000008E-2</v>
      </c>
      <c r="I9" s="68">
        <f t="shared" si="4"/>
        <v>9.6200000000000008E-2</v>
      </c>
      <c r="J9" s="68">
        <f t="shared" si="4"/>
        <v>9.4899999999999998E-2</v>
      </c>
      <c r="K9" s="68">
        <f t="shared" si="4"/>
        <v>9.4899999999999998E-2</v>
      </c>
      <c r="L9" s="68">
        <f t="shared" si="4"/>
        <v>9.3600000000000003E-2</v>
      </c>
      <c r="M9" s="68">
        <f t="shared" si="4"/>
        <v>9.3600000000000003E-2</v>
      </c>
      <c r="N9" s="122"/>
      <c r="O9" s="122"/>
      <c r="P9" t="s">
        <v>125</v>
      </c>
      <c r="Q9" s="18">
        <f>Q8/Q5</f>
        <v>0.94623655913978488</v>
      </c>
      <c r="R9" s="6">
        <f>R8/R4</f>
        <v>0.88636363636363635</v>
      </c>
      <c r="X9" t="s">
        <v>128</v>
      </c>
      <c r="Y9" t="s">
        <v>126</v>
      </c>
      <c r="AO9" s="4">
        <f>AM7/2204*1000000</f>
        <v>13650.181488203267</v>
      </c>
      <c r="AP9" s="4">
        <f>AN7/2204*1000000</f>
        <v>9098.4573502722324</v>
      </c>
      <c r="AQ9" s="4">
        <f>AO7/675*1000000</f>
        <v>14862.222222222223</v>
      </c>
    </row>
    <row r="10" spans="2:43" x14ac:dyDescent="0.4">
      <c r="B10" s="31"/>
      <c r="C10" s="32" t="s">
        <v>52</v>
      </c>
      <c r="D10" s="65">
        <f t="shared" ref="D10:M10" si="5">0.08*(1-D4)</f>
        <v>6.2400000000000004E-2</v>
      </c>
      <c r="E10" s="70">
        <f t="shared" si="5"/>
        <v>6.1760000000000002E-2</v>
      </c>
      <c r="F10" s="69">
        <f t="shared" si="5"/>
        <v>6.08E-2</v>
      </c>
      <c r="G10" s="69">
        <f t="shared" si="5"/>
        <v>0.06</v>
      </c>
      <c r="H10" s="69">
        <f t="shared" si="5"/>
        <v>5.9200000000000003E-2</v>
      </c>
      <c r="I10" s="69">
        <f t="shared" si="5"/>
        <v>5.9200000000000003E-2</v>
      </c>
      <c r="J10" s="69">
        <f t="shared" si="5"/>
        <v>5.8400000000000001E-2</v>
      </c>
      <c r="K10" s="69">
        <f t="shared" si="5"/>
        <v>5.8400000000000001E-2</v>
      </c>
      <c r="L10" s="69">
        <f t="shared" si="5"/>
        <v>5.7599999999999998E-2</v>
      </c>
      <c r="M10" s="69">
        <f t="shared" si="5"/>
        <v>5.7599999999999998E-2</v>
      </c>
      <c r="N10" s="121"/>
      <c r="O10" s="121"/>
      <c r="Q10" s="6"/>
      <c r="W10" s="29" t="s">
        <v>51</v>
      </c>
      <c r="X10" s="160">
        <v>91.2</v>
      </c>
      <c r="Y10" s="163">
        <f>X10/675*1000000</f>
        <v>135111.11111111112</v>
      </c>
      <c r="AO10" s="4">
        <v>7252</v>
      </c>
      <c r="AP10" s="4">
        <v>5625</v>
      </c>
      <c r="AQ10" s="4">
        <v>7440.3538348726916</v>
      </c>
    </row>
    <row r="11" spans="2:43" x14ac:dyDescent="0.4">
      <c r="W11" s="33" t="s">
        <v>53</v>
      </c>
      <c r="X11" s="161">
        <f>X10*0.11</f>
        <v>10.032</v>
      </c>
      <c r="Y11" s="164">
        <f t="shared" ref="Y11:Y12" si="6">X11/675*1000000</f>
        <v>14862.222222222223</v>
      </c>
      <c r="AM11" s="6">
        <f>AO10/AO9</f>
        <v>0.53127498753531666</v>
      </c>
      <c r="AN11" s="6">
        <f>AP10/AP9</f>
        <v>0.61823667281703487</v>
      </c>
      <c r="AO11" s="6">
        <f>AQ10/AQ9</f>
        <v>0.50062189379376665</v>
      </c>
    </row>
    <row r="12" spans="2:43" x14ac:dyDescent="0.4">
      <c r="F12" s="486"/>
      <c r="G12" s="486"/>
      <c r="H12" s="59"/>
      <c r="I12" s="59"/>
      <c r="J12" s="59"/>
      <c r="K12" s="59"/>
      <c r="M12" s="136"/>
      <c r="N12" s="136"/>
      <c r="O12" s="136"/>
      <c r="P12" s="136"/>
      <c r="Q12" s="136"/>
      <c r="R12" s="136"/>
      <c r="W12" s="35" t="s">
        <v>54</v>
      </c>
      <c r="X12" s="162">
        <f>X11*0.6</f>
        <v>6.0191999999999997</v>
      </c>
      <c r="Y12" s="165">
        <f t="shared" si="6"/>
        <v>8917.3333333333321</v>
      </c>
    </row>
    <row r="13" spans="2:43" x14ac:dyDescent="0.4">
      <c r="D13" t="s">
        <v>115</v>
      </c>
      <c r="F13" s="59"/>
      <c r="G13" s="59"/>
      <c r="H13" s="59"/>
      <c r="I13" s="59"/>
      <c r="J13" s="59"/>
      <c r="K13" s="59"/>
      <c r="M13" s="127"/>
      <c r="N13" s="127"/>
      <c r="O13" s="127"/>
      <c r="P13" s="127"/>
      <c r="Q13" s="136"/>
      <c r="R13" s="136"/>
      <c r="W13" s="166"/>
      <c r="X13" s="167"/>
      <c r="Y13" s="168"/>
    </row>
    <row r="14" spans="2:43" ht="51" customHeight="1" x14ac:dyDescent="0.4">
      <c r="B14" s="487" t="s">
        <v>129</v>
      </c>
      <c r="C14" s="489" t="s">
        <v>127</v>
      </c>
      <c r="D14" s="489" t="s">
        <v>66</v>
      </c>
      <c r="E14" s="491" t="s">
        <v>88</v>
      </c>
      <c r="F14" s="489" t="s">
        <v>97</v>
      </c>
      <c r="G14" s="493" t="s">
        <v>98</v>
      </c>
      <c r="H14" s="487" t="s">
        <v>55</v>
      </c>
      <c r="I14" s="498" t="s">
        <v>112</v>
      </c>
      <c r="J14" s="487" t="s">
        <v>71</v>
      </c>
      <c r="K14" s="491"/>
      <c r="L14" s="491"/>
      <c r="M14" s="151"/>
      <c r="N14" s="488" t="s">
        <v>73</v>
      </c>
      <c r="O14" s="492"/>
      <c r="P14" s="499"/>
      <c r="Q14" s="487" t="s">
        <v>77</v>
      </c>
      <c r="R14" s="491"/>
      <c r="S14" s="498"/>
      <c r="T14" s="487" t="s">
        <v>78</v>
      </c>
      <c r="U14" s="491"/>
      <c r="V14" s="498"/>
      <c r="W14" s="491" t="s">
        <v>79</v>
      </c>
      <c r="X14" s="491"/>
      <c r="Y14" s="491"/>
      <c r="Z14" s="487" t="s">
        <v>80</v>
      </c>
      <c r="AA14" s="491"/>
      <c r="AB14" s="491"/>
      <c r="AC14" s="152"/>
    </row>
    <row r="15" spans="2:43" ht="28.8" customHeight="1" x14ac:dyDescent="0.4">
      <c r="B15" s="488"/>
      <c r="C15" s="490"/>
      <c r="D15" s="490"/>
      <c r="E15" s="492"/>
      <c r="F15" s="490"/>
      <c r="G15" s="494"/>
      <c r="H15" s="488"/>
      <c r="I15" s="499"/>
      <c r="J15" s="149"/>
      <c r="K15" s="150" t="s">
        <v>3</v>
      </c>
      <c r="L15" s="137" t="s">
        <v>117</v>
      </c>
      <c r="M15" s="138"/>
      <c r="N15" s="149"/>
      <c r="O15" s="150" t="s">
        <v>3</v>
      </c>
      <c r="P15" s="137" t="s">
        <v>117</v>
      </c>
      <c r="Q15" s="149"/>
      <c r="R15" s="150" t="s">
        <v>3</v>
      </c>
      <c r="S15" s="137" t="s">
        <v>117</v>
      </c>
      <c r="T15" s="149"/>
      <c r="U15" s="150" t="s">
        <v>3</v>
      </c>
      <c r="V15" s="138" t="s">
        <v>117</v>
      </c>
      <c r="W15" s="150"/>
      <c r="X15" s="150" t="s">
        <v>3</v>
      </c>
      <c r="Y15" s="137" t="s">
        <v>117</v>
      </c>
      <c r="Z15" s="149"/>
      <c r="AA15" s="150" t="s">
        <v>3</v>
      </c>
      <c r="AB15" s="137" t="s">
        <v>117</v>
      </c>
      <c r="AC15" s="138"/>
    </row>
    <row r="16" spans="2:43" ht="18" customHeight="1" x14ac:dyDescent="0.4">
      <c r="B16" s="132" t="s">
        <v>103</v>
      </c>
      <c r="C16" s="139" t="s">
        <v>3</v>
      </c>
      <c r="D16" s="139" t="s">
        <v>3</v>
      </c>
      <c r="E16" s="126" t="s">
        <v>3</v>
      </c>
      <c r="F16" s="139" t="s">
        <v>3</v>
      </c>
      <c r="G16" s="139" t="s">
        <v>3</v>
      </c>
      <c r="H16" s="132"/>
      <c r="I16" s="133"/>
      <c r="J16" s="131" t="s">
        <v>106</v>
      </c>
      <c r="K16" s="140">
        <f>1-L16</f>
        <v>0.87</v>
      </c>
      <c r="L16" s="140">
        <f>13%</f>
        <v>0.13</v>
      </c>
      <c r="M16" s="141" t="s">
        <v>108</v>
      </c>
      <c r="N16" s="131" t="s">
        <v>106</v>
      </c>
      <c r="O16" s="140">
        <f>1-P16</f>
        <v>0.8</v>
      </c>
      <c r="P16" s="142">
        <v>0.2</v>
      </c>
      <c r="Q16" s="131" t="s">
        <v>106</v>
      </c>
      <c r="R16" s="140">
        <f>1-S16</f>
        <v>0.6</v>
      </c>
      <c r="S16" s="142">
        <v>0.4</v>
      </c>
      <c r="T16" s="131" t="s">
        <v>106</v>
      </c>
      <c r="U16" s="140">
        <f>1-V16</f>
        <v>0.5</v>
      </c>
      <c r="V16" s="142">
        <v>0.5</v>
      </c>
      <c r="W16" s="126" t="s">
        <v>106</v>
      </c>
      <c r="X16" s="140">
        <f>1-Y16</f>
        <v>0.30000000000000004</v>
      </c>
      <c r="Y16" s="140">
        <v>0.7</v>
      </c>
      <c r="Z16" s="131" t="s">
        <v>106</v>
      </c>
      <c r="AA16" s="140">
        <f>1-AB16</f>
        <v>0</v>
      </c>
      <c r="AB16" s="140">
        <f>100%</f>
        <v>1</v>
      </c>
      <c r="AC16" s="141" t="s">
        <v>108</v>
      </c>
    </row>
    <row r="17" spans="2:34" x14ac:dyDescent="0.4">
      <c r="B17" s="40" t="s">
        <v>56</v>
      </c>
      <c r="C17" s="41">
        <f>F17/0.9</f>
        <v>6633.5494399999998</v>
      </c>
      <c r="D17" s="41">
        <f>5717*0.88</f>
        <v>5030.96</v>
      </c>
      <c r="E17" s="41">
        <f>E24*E4</f>
        <v>5401.6045439999998</v>
      </c>
      <c r="F17" s="41">
        <f>F24*$F$4</f>
        <v>5970.1944960000001</v>
      </c>
      <c r="G17" s="41">
        <f t="shared" ref="G17:G23" si="7">G$24*$G4</f>
        <v>6529.9002300000011</v>
      </c>
      <c r="H17" s="93" t="s">
        <v>57</v>
      </c>
      <c r="I17" s="102">
        <v>1</v>
      </c>
      <c r="J17" s="84">
        <f>J$24*$H4*$I$17</f>
        <v>7130.6510511600018</v>
      </c>
      <c r="K17" s="42">
        <f t="shared" ref="K17:K23" si="8">J17*K$16</f>
        <v>6203.6664145092018</v>
      </c>
      <c r="L17" s="42">
        <f t="shared" ref="L17:L23" si="9">IF($H17=$H$17,J17*$T$4*L$16,J17*L$16*$T$5)</f>
        <v>614.59081409948055</v>
      </c>
      <c r="M17" s="98">
        <f t="shared" ref="M17:M24" si="10">J17/C17</f>
        <v>1.0749375000000003</v>
      </c>
      <c r="N17" s="84">
        <f t="shared" ref="N17:N23" si="11">N$24*$I4*$I17</f>
        <v>7487.1836037180019</v>
      </c>
      <c r="O17" s="42">
        <f t="shared" ref="O17:O23" si="12">N17*O$16</f>
        <v>5989.7468829744021</v>
      </c>
      <c r="P17" s="85">
        <f t="shared" ref="P17:P23" si="13">IF($H17=$H$17,N17*$T$4*P$16,N17*P$16*$T$5)</f>
        <v>992.80054585300718</v>
      </c>
      <c r="Q17" s="84">
        <f t="shared" ref="Q17:Q23" si="14">Q$24*$J4*$I17</f>
        <v>8163.9098140540527</v>
      </c>
      <c r="R17" s="42">
        <f t="shared" ref="R17:R23" si="15">Q17*R$16</f>
        <v>4898.3458884324318</v>
      </c>
      <c r="S17" s="85">
        <f t="shared" ref="S17:S23" si="16">IF($H17=$H$17,Q17*$T$4*S$16,Q17*S$16*$T$5)</f>
        <v>2165.0688826871351</v>
      </c>
      <c r="T17" s="84">
        <f t="shared" ref="T17:T23" si="17">T$24*$K4*$I17</f>
        <v>8572.1053047567566</v>
      </c>
      <c r="U17" s="42">
        <f t="shared" ref="U17:U23" si="18">T17*U$16</f>
        <v>4286.0526523783783</v>
      </c>
      <c r="V17" s="85">
        <f t="shared" ref="V17:V23" si="19">IF($H17=$H$17,T17*$T$4*V$16,T17*V$16*$T$5)</f>
        <v>2841.6529085268648</v>
      </c>
      <c r="W17" s="41">
        <f>W$24*$L4*$I$17</f>
        <v>9334.0702207351351</v>
      </c>
      <c r="X17" s="42">
        <f t="shared" ref="X17:X23" si="20">W17*X$16</f>
        <v>2800.2210662205412</v>
      </c>
      <c r="Y17" s="42">
        <f t="shared" ref="Y17:Y23" si="21">IF($H17=$H$17,W17*$T$4*Y$16,W17*Y$16*$T$5)</f>
        <v>4331.9419894431758</v>
      </c>
      <c r="Z17" s="84">
        <f>Z$24*$M4*$I$17</f>
        <v>9800.7737317718929</v>
      </c>
      <c r="AA17" s="42">
        <f t="shared" ref="AA17:AA23" si="22">Z17*AA$16</f>
        <v>0</v>
      </c>
      <c r="AB17" s="42">
        <f t="shared" ref="AB17:AB23" si="23">IF($H17=$H$17,Z17*$T$4*AB$16,Z17*AB$16*$T$5)</f>
        <v>6497.9129841647655</v>
      </c>
      <c r="AC17" s="98">
        <f t="shared" ref="AC17:AC23" si="24">Z17/C17</f>
        <v>1.4774554437890635</v>
      </c>
    </row>
    <row r="18" spans="2:34" x14ac:dyDescent="0.4">
      <c r="B18" s="43" t="s">
        <v>41</v>
      </c>
      <c r="C18" s="44">
        <f t="shared" ref="C18:C24" si="25">F18/0.9</f>
        <v>4201.2479786666681</v>
      </c>
      <c r="D18" s="44">
        <f t="shared" ref="D18:E23" si="26">D$24*D5</f>
        <v>3567.4080000000008</v>
      </c>
      <c r="E18" s="44">
        <f t="shared" si="26"/>
        <v>3657.9286912000002</v>
      </c>
      <c r="F18" s="44">
        <f>F$24*$F$5</f>
        <v>3781.1231808000011</v>
      </c>
      <c r="G18" s="44">
        <f t="shared" si="7"/>
        <v>3917.9401380000013</v>
      </c>
      <c r="H18" s="86" t="s">
        <v>58</v>
      </c>
      <c r="I18" s="46">
        <v>1</v>
      </c>
      <c r="J18" s="86">
        <f>J$24*$H5*$I$18</f>
        <v>4058.9859829680004</v>
      </c>
      <c r="K18" s="44">
        <f t="shared" si="8"/>
        <v>3531.3178051821601</v>
      </c>
      <c r="L18" s="44">
        <f t="shared" si="9"/>
        <v>466.19483507378965</v>
      </c>
      <c r="M18" s="104">
        <f>J18/C18</f>
        <v>0.96613815789473656</v>
      </c>
      <c r="N18" s="86">
        <f t="shared" si="11"/>
        <v>4261.9352821164011</v>
      </c>
      <c r="O18" s="44">
        <f t="shared" si="12"/>
        <v>3409.5482256931209</v>
      </c>
      <c r="P18" s="45">
        <f t="shared" si="13"/>
        <v>753.08396434996803</v>
      </c>
      <c r="Q18" s="86">
        <f t="shared" si="14"/>
        <v>4414.558640192191</v>
      </c>
      <c r="R18" s="44">
        <f t="shared" si="15"/>
        <v>2648.7351841153145</v>
      </c>
      <c r="S18" s="45">
        <f t="shared" si="16"/>
        <v>1560.1050234439203</v>
      </c>
      <c r="T18" s="86">
        <f t="shared" si="17"/>
        <v>4635.2865722018005</v>
      </c>
      <c r="U18" s="44">
        <f t="shared" si="18"/>
        <v>2317.6432861009002</v>
      </c>
      <c r="V18" s="45">
        <f t="shared" si="19"/>
        <v>2047.6378432701451</v>
      </c>
      <c r="W18" s="44">
        <f>W$24*L$5*$I$18</f>
        <v>4800.3789706637835</v>
      </c>
      <c r="X18" s="44">
        <f t="shared" si="20"/>
        <v>1440.1136911991352</v>
      </c>
      <c r="Y18" s="44">
        <f t="shared" si="21"/>
        <v>2968.7943744070167</v>
      </c>
      <c r="Z18" s="86">
        <f>Z$24*M$5*$I$18</f>
        <v>5040.3979191969729</v>
      </c>
      <c r="AA18" s="44">
        <f t="shared" si="22"/>
        <v>0</v>
      </c>
      <c r="AB18" s="44">
        <f t="shared" si="23"/>
        <v>4453.1915616105252</v>
      </c>
      <c r="AC18" s="104">
        <f>Z18/C18</f>
        <v>1.199738255106908</v>
      </c>
    </row>
    <row r="19" spans="2:34" x14ac:dyDescent="0.4">
      <c r="B19" s="33" t="s">
        <v>44</v>
      </c>
      <c r="C19" s="44">
        <f t="shared" si="25"/>
        <v>4831.4351754666677</v>
      </c>
      <c r="D19" s="44">
        <f t="shared" si="26"/>
        <v>4102.5191999999997</v>
      </c>
      <c r="E19" s="44">
        <f t="shared" si="26"/>
        <v>4206.6179948800009</v>
      </c>
      <c r="F19" s="44">
        <f>F$24*$F$6</f>
        <v>4348.2916579200009</v>
      </c>
      <c r="G19" s="44">
        <f t="shared" si="7"/>
        <v>4505.6311587000009</v>
      </c>
      <c r="H19" s="86" t="s">
        <v>58</v>
      </c>
      <c r="I19" s="46">
        <v>1</v>
      </c>
      <c r="J19" s="86">
        <f>J$24*$H6*$I$19</f>
        <v>4667.8338804132018</v>
      </c>
      <c r="K19" s="44">
        <f t="shared" si="8"/>
        <v>4061.0154759594857</v>
      </c>
      <c r="L19" s="95">
        <f t="shared" si="9"/>
        <v>536.1240603348582</v>
      </c>
      <c r="M19" s="104">
        <f t="shared" si="10"/>
        <v>0.966138157894737</v>
      </c>
      <c r="N19" s="86">
        <f t="shared" si="11"/>
        <v>4901.2255744338618</v>
      </c>
      <c r="O19" s="44">
        <f t="shared" si="12"/>
        <v>3920.9804595470896</v>
      </c>
      <c r="P19" s="45">
        <f t="shared" si="13"/>
        <v>866.04655900246337</v>
      </c>
      <c r="Q19" s="86">
        <f t="shared" si="14"/>
        <v>5076.7424362210195</v>
      </c>
      <c r="R19" s="44">
        <f t="shared" si="15"/>
        <v>3046.0454617326118</v>
      </c>
      <c r="S19" s="45">
        <f t="shared" si="16"/>
        <v>1794.1207769605082</v>
      </c>
      <c r="T19" s="86">
        <f t="shared" si="17"/>
        <v>5330.579558032071</v>
      </c>
      <c r="U19" s="44">
        <f t="shared" si="18"/>
        <v>2665.2897790160355</v>
      </c>
      <c r="V19" s="45">
        <f t="shared" si="19"/>
        <v>2354.7835197606673</v>
      </c>
      <c r="W19" s="44">
        <f>W$24*L6*$I19</f>
        <v>5520.4358162633507</v>
      </c>
      <c r="X19" s="44">
        <f t="shared" si="20"/>
        <v>1656.1307448790055</v>
      </c>
      <c r="Y19" s="44">
        <f t="shared" si="21"/>
        <v>3414.1135305680691</v>
      </c>
      <c r="Z19" s="86">
        <f>Z$24*M$6*$I19</f>
        <v>5796.4576070765188</v>
      </c>
      <c r="AA19" s="44">
        <f t="shared" si="22"/>
        <v>0</v>
      </c>
      <c r="AB19" s="44">
        <f t="shared" si="23"/>
        <v>5121.1702958521037</v>
      </c>
      <c r="AC19" s="104">
        <f t="shared" si="24"/>
        <v>1.1997382551069082</v>
      </c>
    </row>
    <row r="20" spans="2:34" x14ac:dyDescent="0.4">
      <c r="B20" s="33" t="s">
        <v>45</v>
      </c>
      <c r="C20" s="44">
        <f t="shared" si="25"/>
        <v>840.24959573333331</v>
      </c>
      <c r="D20" s="44">
        <f t="shared" si="26"/>
        <v>713.48160000000007</v>
      </c>
      <c r="E20" s="44">
        <f t="shared" si="26"/>
        <v>731.58573824000007</v>
      </c>
      <c r="F20" s="44">
        <f>F$24*$F$7</f>
        <v>756.22463616000005</v>
      </c>
      <c r="G20" s="44">
        <f t="shared" si="7"/>
        <v>783.58802760000015</v>
      </c>
      <c r="H20" s="86" t="s">
        <v>58</v>
      </c>
      <c r="I20" s="99">
        <v>1</v>
      </c>
      <c r="J20" s="86">
        <f>J$24*$H7*$I$20</f>
        <v>811.79719659360023</v>
      </c>
      <c r="K20" s="44">
        <f t="shared" si="8"/>
        <v>706.26356103643218</v>
      </c>
      <c r="L20" s="44">
        <f t="shared" si="9"/>
        <v>93.238967014757961</v>
      </c>
      <c r="M20" s="104">
        <f t="shared" si="10"/>
        <v>0.96613815789473712</v>
      </c>
      <c r="N20" s="86">
        <f t="shared" si="11"/>
        <v>852.38705642328023</v>
      </c>
      <c r="O20" s="44">
        <f t="shared" si="12"/>
        <v>681.90964513862423</v>
      </c>
      <c r="P20" s="45">
        <f t="shared" si="13"/>
        <v>150.61679286999362</v>
      </c>
      <c r="Q20" s="86">
        <f t="shared" si="14"/>
        <v>882.91172803843824</v>
      </c>
      <c r="R20" s="44">
        <f t="shared" si="15"/>
        <v>529.7470368230629</v>
      </c>
      <c r="S20" s="45">
        <f t="shared" si="16"/>
        <v>312.0210046887841</v>
      </c>
      <c r="T20" s="86">
        <f t="shared" si="17"/>
        <v>927.05731444036019</v>
      </c>
      <c r="U20" s="44">
        <f t="shared" si="18"/>
        <v>463.52865722018009</v>
      </c>
      <c r="V20" s="45">
        <f t="shared" si="19"/>
        <v>409.5275686540291</v>
      </c>
      <c r="W20" s="44">
        <f>W$24*L7*$I20</f>
        <v>960.07579413275664</v>
      </c>
      <c r="X20" s="44">
        <f t="shared" si="20"/>
        <v>288.02273823982705</v>
      </c>
      <c r="Y20" s="44">
        <f t="shared" si="21"/>
        <v>593.75887488140324</v>
      </c>
      <c r="Z20" s="86">
        <f>Z$24*M$7*$I20</f>
        <v>1008.0795838393946</v>
      </c>
      <c r="AA20" s="44">
        <f t="shared" si="22"/>
        <v>0</v>
      </c>
      <c r="AB20" s="44">
        <f t="shared" si="23"/>
        <v>890.63831232210509</v>
      </c>
      <c r="AC20" s="104">
        <f t="shared" si="24"/>
        <v>1.1997382551069085</v>
      </c>
    </row>
    <row r="21" spans="2:34" x14ac:dyDescent="0.4">
      <c r="B21" s="47" t="s">
        <v>47</v>
      </c>
      <c r="C21" s="48">
        <f t="shared" si="25"/>
        <v>6721.9967658666665</v>
      </c>
      <c r="D21" s="48">
        <f t="shared" si="26"/>
        <v>5707.8528000000006</v>
      </c>
      <c r="E21" s="48">
        <f t="shared" si="26"/>
        <v>5852.6859059200006</v>
      </c>
      <c r="F21" s="48">
        <f>F$24*$F$8</f>
        <v>6049.7970892800004</v>
      </c>
      <c r="G21" s="48">
        <f t="shared" si="7"/>
        <v>6268.7042208000012</v>
      </c>
      <c r="H21" s="87" t="s">
        <v>36</v>
      </c>
      <c r="I21" s="100">
        <v>1</v>
      </c>
      <c r="J21" s="87">
        <f>J$24*$H8*$I$21</f>
        <v>6494.3775727488019</v>
      </c>
      <c r="K21" s="48">
        <f t="shared" si="8"/>
        <v>5650.1084882914574</v>
      </c>
      <c r="L21" s="48">
        <f t="shared" si="9"/>
        <v>745.91173611806369</v>
      </c>
      <c r="M21" s="105">
        <f t="shared" si="10"/>
        <v>0.96613815789473712</v>
      </c>
      <c r="N21" s="87">
        <f t="shared" si="11"/>
        <v>6819.0964513862418</v>
      </c>
      <c r="O21" s="48">
        <f t="shared" si="12"/>
        <v>5455.2771611089938</v>
      </c>
      <c r="P21" s="49">
        <f t="shared" si="13"/>
        <v>1204.9343429599489</v>
      </c>
      <c r="Q21" s="87">
        <f t="shared" si="14"/>
        <v>7063.2938243075059</v>
      </c>
      <c r="R21" s="48">
        <f t="shared" si="15"/>
        <v>4237.9762945845032</v>
      </c>
      <c r="S21" s="49">
        <f t="shared" si="16"/>
        <v>2496.1680375102728</v>
      </c>
      <c r="T21" s="87">
        <f t="shared" si="17"/>
        <v>7416.4585155228815</v>
      </c>
      <c r="U21" s="48">
        <f t="shared" si="18"/>
        <v>3708.2292577614407</v>
      </c>
      <c r="V21" s="49">
        <f t="shared" si="19"/>
        <v>3276.2205492322328</v>
      </c>
      <c r="W21" s="48">
        <f>W$24*L8*$I21</f>
        <v>7680.6063530620531</v>
      </c>
      <c r="X21" s="48">
        <f t="shared" si="20"/>
        <v>2304.1819059186164</v>
      </c>
      <c r="Y21" s="48">
        <f t="shared" si="21"/>
        <v>4750.070999051226</v>
      </c>
      <c r="Z21" s="87">
        <f>Z$24*M$8*$I21</f>
        <v>8064.6366707151565</v>
      </c>
      <c r="AA21" s="48">
        <f t="shared" si="22"/>
        <v>0</v>
      </c>
      <c r="AB21" s="48">
        <f t="shared" si="23"/>
        <v>7125.1064985768407</v>
      </c>
      <c r="AC21" s="105">
        <f t="shared" si="24"/>
        <v>1.1997382551069085</v>
      </c>
    </row>
    <row r="22" spans="2:34" x14ac:dyDescent="0.4">
      <c r="B22" s="47" t="s">
        <v>50</v>
      </c>
      <c r="C22" s="48">
        <f t="shared" si="25"/>
        <v>2730.8111861333336</v>
      </c>
      <c r="D22" s="48">
        <f t="shared" si="26"/>
        <v>2318.8152</v>
      </c>
      <c r="E22" s="48">
        <f t="shared" si="26"/>
        <v>2377.6536492800001</v>
      </c>
      <c r="F22" s="48">
        <f>F$24*$F$9</f>
        <v>2457.7300675200004</v>
      </c>
      <c r="G22" s="48">
        <f t="shared" si="7"/>
        <v>2546.6610897000005</v>
      </c>
      <c r="H22" s="87" t="s">
        <v>36</v>
      </c>
      <c r="I22" s="100">
        <v>1</v>
      </c>
      <c r="J22" s="87">
        <f>J$24*$H9*$I$22</f>
        <v>2638.3408889292009</v>
      </c>
      <c r="K22" s="48">
        <f t="shared" si="8"/>
        <v>2295.356573368405</v>
      </c>
      <c r="L22" s="48">
        <f t="shared" si="9"/>
        <v>303.02664279796335</v>
      </c>
      <c r="M22" s="105">
        <f t="shared" si="10"/>
        <v>0.96613815789473712</v>
      </c>
      <c r="N22" s="87">
        <f t="shared" si="11"/>
        <v>2770.2579333756607</v>
      </c>
      <c r="O22" s="48">
        <f t="shared" si="12"/>
        <v>2216.2063467005287</v>
      </c>
      <c r="P22" s="49">
        <f t="shared" si="13"/>
        <v>489.50457682747924</v>
      </c>
      <c r="Q22" s="87">
        <f t="shared" si="14"/>
        <v>2869.4631161249245</v>
      </c>
      <c r="R22" s="48">
        <f t="shared" si="15"/>
        <v>1721.6778696749545</v>
      </c>
      <c r="S22" s="49">
        <f t="shared" si="16"/>
        <v>1014.0682652385484</v>
      </c>
      <c r="T22" s="87">
        <f t="shared" si="17"/>
        <v>3012.9362719311707</v>
      </c>
      <c r="U22" s="48">
        <f t="shared" si="18"/>
        <v>1506.4681359655854</v>
      </c>
      <c r="V22" s="49">
        <f t="shared" si="19"/>
        <v>1330.9645981255946</v>
      </c>
      <c r="W22" s="48">
        <f>W$24*L9*$I22</f>
        <v>3120.2463309314594</v>
      </c>
      <c r="X22" s="48">
        <f t="shared" si="20"/>
        <v>936.07389927943791</v>
      </c>
      <c r="Y22" s="48">
        <f t="shared" si="21"/>
        <v>1929.7163433645608</v>
      </c>
      <c r="Z22" s="87">
        <f>Z$24*M$9*$I22</f>
        <v>3276.2586474780328</v>
      </c>
      <c r="AA22" s="48">
        <f t="shared" si="22"/>
        <v>0</v>
      </c>
      <c r="AB22" s="48">
        <f t="shared" si="23"/>
        <v>2894.574515046842</v>
      </c>
      <c r="AC22" s="105">
        <f t="shared" si="24"/>
        <v>1.1997382551069085</v>
      </c>
    </row>
    <row r="23" spans="2:34" ht="15.6" thickBot="1" x14ac:dyDescent="0.45">
      <c r="B23" s="47" t="s">
        <v>52</v>
      </c>
      <c r="C23" s="48">
        <f t="shared" si="25"/>
        <v>1680.4991914666666</v>
      </c>
      <c r="D23" s="48">
        <f t="shared" si="26"/>
        <v>1426.9632000000001</v>
      </c>
      <c r="E23" s="48">
        <f t="shared" si="26"/>
        <v>1463.1714764800001</v>
      </c>
      <c r="F23" s="48">
        <f>F$24*$F$10</f>
        <v>1512.4492723200001</v>
      </c>
      <c r="G23" s="48">
        <f t="shared" si="7"/>
        <v>1567.1760552000003</v>
      </c>
      <c r="H23" s="112" t="s">
        <v>36</v>
      </c>
      <c r="I23" s="113">
        <v>1</v>
      </c>
      <c r="J23" s="87">
        <f>J$24*$H10*$I$23</f>
        <v>1623.5943931872005</v>
      </c>
      <c r="K23" s="48">
        <f t="shared" si="8"/>
        <v>1412.5271220728644</v>
      </c>
      <c r="L23" s="48">
        <f t="shared" si="9"/>
        <v>186.47793402951592</v>
      </c>
      <c r="M23" s="105">
        <f t="shared" si="10"/>
        <v>0.96613815789473712</v>
      </c>
      <c r="N23" s="87">
        <f t="shared" si="11"/>
        <v>1704.7741128465605</v>
      </c>
      <c r="O23" s="48">
        <f t="shared" si="12"/>
        <v>1363.8192902772485</v>
      </c>
      <c r="P23" s="49">
        <f t="shared" si="13"/>
        <v>301.23358573998723</v>
      </c>
      <c r="Q23" s="87">
        <f t="shared" si="14"/>
        <v>1765.8234560768765</v>
      </c>
      <c r="R23" s="48">
        <f t="shared" si="15"/>
        <v>1059.4940736461258</v>
      </c>
      <c r="S23" s="49">
        <f t="shared" si="16"/>
        <v>624.04200937756821</v>
      </c>
      <c r="T23" s="87">
        <f t="shared" si="17"/>
        <v>1854.1146288807204</v>
      </c>
      <c r="U23" s="48">
        <f t="shared" si="18"/>
        <v>927.05731444036019</v>
      </c>
      <c r="V23" s="49">
        <f t="shared" si="19"/>
        <v>819.05513730805819</v>
      </c>
      <c r="W23" s="48">
        <f>W$24*L10*$I23</f>
        <v>1920.1515882655133</v>
      </c>
      <c r="X23" s="48">
        <f t="shared" si="20"/>
        <v>576.0454764796541</v>
      </c>
      <c r="Y23" s="48">
        <f t="shared" si="21"/>
        <v>1187.5177497628065</v>
      </c>
      <c r="Z23" s="87">
        <f>Z$24*M$10*$I23</f>
        <v>2016.1591676787891</v>
      </c>
      <c r="AA23" s="48">
        <f t="shared" si="22"/>
        <v>0</v>
      </c>
      <c r="AB23" s="48">
        <f t="shared" si="23"/>
        <v>1781.2766246442102</v>
      </c>
      <c r="AC23" s="105">
        <f t="shared" si="24"/>
        <v>1.1997382551069085</v>
      </c>
    </row>
    <row r="24" spans="2:34" ht="15.6" thickTop="1" x14ac:dyDescent="0.4">
      <c r="B24" s="50" t="s">
        <v>20</v>
      </c>
      <c r="C24" s="51">
        <f t="shared" si="25"/>
        <v>27639.789333333334</v>
      </c>
      <c r="D24" s="51">
        <f>$D$17/D4</f>
        <v>22868</v>
      </c>
      <c r="E24" s="51">
        <f>D24*(1+E2)</f>
        <v>23691.248</v>
      </c>
      <c r="F24" s="51">
        <f>E24*(1+$F$2)</f>
        <v>24875.810400000002</v>
      </c>
      <c r="G24" s="51">
        <f>F24*(1+$G$2)</f>
        <v>26119.600920000004</v>
      </c>
      <c r="H24" s="94" t="str">
        <f>IF(Y7&gt;X7,H23,H17)</f>
        <v>R454B</v>
      </c>
      <c r="I24" s="103" cm="1">
        <f t="array" ref="I24">SUM(D17:D23*I17:I23)/D24</f>
        <v>1</v>
      </c>
      <c r="J24" s="88">
        <f>G24*(1+$H$2)</f>
        <v>27425.580966000005</v>
      </c>
      <c r="K24" s="52"/>
      <c r="L24" s="52"/>
      <c r="M24" s="106">
        <f t="shared" si="10"/>
        <v>0.99225000000000019</v>
      </c>
      <c r="N24" s="94">
        <f>J24*(1+$I$2)</f>
        <v>28796.860014300008</v>
      </c>
      <c r="O24" s="52"/>
      <c r="P24" s="89"/>
      <c r="Q24" s="94">
        <f>N24*(1+$J$2)</f>
        <v>30236.703015015009</v>
      </c>
      <c r="R24" s="52"/>
      <c r="S24" s="89"/>
      <c r="T24" s="94">
        <f>Q24*(1+K2)</f>
        <v>31748.53816576576</v>
      </c>
      <c r="U24" s="52"/>
      <c r="V24" s="89"/>
      <c r="W24" s="52">
        <f>T24*(1+$L$2)</f>
        <v>33335.965074054053</v>
      </c>
      <c r="X24" s="52"/>
      <c r="Y24" s="52"/>
      <c r="Z24" s="94">
        <f>W24*(1+$M$2)</f>
        <v>35002.763327756758</v>
      </c>
      <c r="AA24" s="52"/>
      <c r="AB24" s="52"/>
      <c r="AC24" s="106"/>
    </row>
    <row r="25" spans="2:34" x14ac:dyDescent="0.4">
      <c r="C25" s="5"/>
    </row>
    <row r="26" spans="2:34" x14ac:dyDescent="0.4">
      <c r="E26" t="s">
        <v>133</v>
      </c>
      <c r="F26" s="173">
        <f>F36*1.1</f>
        <v>8955.2917440000001</v>
      </c>
      <c r="G26" s="173">
        <f>G36*1.1</f>
        <v>9794.8503450000026</v>
      </c>
    </row>
    <row r="27" spans="2:34" ht="75" hidden="1" x14ac:dyDescent="0.35">
      <c r="B27" s="58" t="s">
        <v>107</v>
      </c>
      <c r="C27" s="37" t="s">
        <v>118</v>
      </c>
      <c r="D27" s="37" t="s">
        <v>66</v>
      </c>
      <c r="E27" s="153" t="s">
        <v>88</v>
      </c>
      <c r="F27" s="37" t="s">
        <v>97</v>
      </c>
      <c r="G27" s="37" t="s">
        <v>97</v>
      </c>
      <c r="H27" s="153" t="s">
        <v>55</v>
      </c>
      <c r="I27" s="154" t="s">
        <v>112</v>
      </c>
      <c r="J27" s="495" t="s">
        <v>71</v>
      </c>
      <c r="K27" s="496"/>
      <c r="L27" s="496"/>
      <c r="M27" s="123" t="s">
        <v>116</v>
      </c>
      <c r="N27" s="495" t="s">
        <v>73</v>
      </c>
      <c r="O27" s="496"/>
      <c r="P27" s="496"/>
      <c r="Q27" s="495" t="s">
        <v>77</v>
      </c>
      <c r="R27" s="496"/>
      <c r="S27" s="496"/>
      <c r="T27" s="495" t="s">
        <v>78</v>
      </c>
      <c r="U27" s="496"/>
      <c r="V27" s="497"/>
      <c r="W27" s="496" t="s">
        <v>79</v>
      </c>
      <c r="X27" s="496"/>
      <c r="Y27" s="496"/>
      <c r="Z27" s="495" t="s">
        <v>80</v>
      </c>
      <c r="AA27" s="496"/>
      <c r="AB27" s="496"/>
      <c r="AC27" s="145" t="s">
        <v>108</v>
      </c>
      <c r="AE27" t="s">
        <v>119</v>
      </c>
      <c r="AF27" t="s">
        <v>120</v>
      </c>
      <c r="AG27" t="s">
        <v>121</v>
      </c>
      <c r="AH27" t="s">
        <v>35</v>
      </c>
    </row>
    <row r="28" spans="2:34" hidden="1" x14ac:dyDescent="0.4">
      <c r="B28" s="40" t="s">
        <v>56</v>
      </c>
      <c r="C28" s="41">
        <f>C17*2090</f>
        <v>13864118.329599999</v>
      </c>
      <c r="D28" s="41">
        <f>D17*2090</f>
        <v>10514706.4</v>
      </c>
      <c r="E28" s="41">
        <f>E17*2090</f>
        <v>11289353.496959999</v>
      </c>
      <c r="F28" s="41">
        <f>F17*2090</f>
        <v>12477706.49664</v>
      </c>
      <c r="G28" s="41">
        <f>G17*2090</f>
        <v>13647491.480700003</v>
      </c>
      <c r="H28" s="93" t="str">
        <f>H17</f>
        <v>R32</v>
      </c>
      <c r="I28" s="102">
        <v>1</v>
      </c>
      <c r="J28" s="84">
        <f>K28+L28</f>
        <v>13380511.605841381</v>
      </c>
      <c r="K28" s="42">
        <f>K17*2090</f>
        <v>12965662.806324232</v>
      </c>
      <c r="L28" s="42">
        <f>IF($H$28="R32",L17*675,L17*465)</f>
        <v>414848.7995171494</v>
      </c>
      <c r="M28" s="98">
        <f t="shared" ref="M28:M35" si="27">J28/C28</f>
        <v>0.96511810471740467</v>
      </c>
      <c r="N28" s="84">
        <f>O28+P28</f>
        <v>13188711.353867279</v>
      </c>
      <c r="O28" s="42">
        <f t="shared" ref="O28:O34" si="28">O17*2090</f>
        <v>12518570.9854165</v>
      </c>
      <c r="P28" s="85">
        <f>IF($H$28="R32",P17*675,P17*465)</f>
        <v>670140.36845077982</v>
      </c>
      <c r="Q28" s="84">
        <f>R28+S28</f>
        <v>11698964.402637599</v>
      </c>
      <c r="R28" s="42">
        <f t="shared" ref="R28:R34" si="29">R17*2090</f>
        <v>10237542.906823782</v>
      </c>
      <c r="S28" s="42">
        <f>IF($H$28="R32",S17*675,S17*465)</f>
        <v>1461421.4958138161</v>
      </c>
      <c r="T28" s="84">
        <f>U28+V28</f>
        <v>10875965.756726446</v>
      </c>
      <c r="U28" s="42">
        <f t="shared" ref="U28:U34" si="30">U17*2090</f>
        <v>8957850.0434708111</v>
      </c>
      <c r="V28" s="85">
        <f>IF($H$28="R32",V17*675,V17*465)</f>
        <v>1918115.7132556338</v>
      </c>
      <c r="W28" s="41">
        <f>X28+Y28</f>
        <v>8776522.8712750748</v>
      </c>
      <c r="X28" s="42">
        <f t="shared" ref="X28:X34" si="31">X17*2090</f>
        <v>5852462.0284009306</v>
      </c>
      <c r="Y28" s="42">
        <f>IF($H$28="R32",Y17*675,Y17*465)</f>
        <v>2924060.8428741437</v>
      </c>
      <c r="Z28" s="84">
        <f>AA28+AB28</f>
        <v>4386091.2643112168</v>
      </c>
      <c r="AA28" s="42">
        <f t="shared" ref="AA28:AA34" si="32">AA17*2090</f>
        <v>0</v>
      </c>
      <c r="AB28" s="42">
        <f>IF($H$28="R32",AB17*675,AB17*465)</f>
        <v>4386091.2643112168</v>
      </c>
      <c r="AC28" s="146">
        <f t="shared" ref="AC28:AC35" si="33">Z28/C28</f>
        <v>0.31636279783813431</v>
      </c>
      <c r="AD28" s="18"/>
      <c r="AE28" s="18">
        <v>0.3</v>
      </c>
      <c r="AF28" s="18">
        <f>AC28-AE28</f>
        <v>1.6362797838134324E-2</v>
      </c>
      <c r="AG28" s="4">
        <f>AF28*AB28</f>
        <v>71768.72465753142</v>
      </c>
      <c r="AH28" s="172">
        <f>AG28/675</f>
        <v>106.32403652967618</v>
      </c>
    </row>
    <row r="29" spans="2:34" hidden="1" x14ac:dyDescent="0.4">
      <c r="B29" s="43" t="s">
        <v>41</v>
      </c>
      <c r="C29" s="44">
        <f t="shared" ref="C29:F35" si="34">C18*2090</f>
        <v>8780608.2754133362</v>
      </c>
      <c r="D29" s="44">
        <f t="shared" si="34"/>
        <v>7455882.7200000016</v>
      </c>
      <c r="E29" s="44">
        <f t="shared" si="34"/>
        <v>7645070.9646080006</v>
      </c>
      <c r="F29" s="44">
        <f t="shared" si="34"/>
        <v>7902547.4478720026</v>
      </c>
      <c r="G29" s="44">
        <f t="shared" ref="G29" si="35">G18*2090</f>
        <v>8188494.8884200025</v>
      </c>
      <c r="H29" s="86" t="str">
        <f t="shared" ref="H29:H35" si="36">H18</f>
        <v>R454B</v>
      </c>
      <c r="I29" s="46">
        <v>0.45</v>
      </c>
      <c r="J29" s="86">
        <f t="shared" ref="J29:J34" si="37">K29+L29</f>
        <v>7597234.8111400269</v>
      </c>
      <c r="K29" s="44">
        <f t="shared" ref="K29:K34" si="38">K18*2090</f>
        <v>7380454.2128307149</v>
      </c>
      <c r="L29" s="44">
        <f t="shared" ref="L29:L34" si="39">IF($H29="R32",L18*675,L18*465)</f>
        <v>216780.59830931219</v>
      </c>
      <c r="M29" s="104">
        <f t="shared" si="27"/>
        <v>0.86522876010915051</v>
      </c>
      <c r="N29" s="86">
        <f t="shared" ref="N29:N34" si="40">O29+P29</f>
        <v>7476139.8351213578</v>
      </c>
      <c r="O29" s="44">
        <f t="shared" si="28"/>
        <v>7125955.7916986225</v>
      </c>
      <c r="P29" s="45">
        <f t="shared" ref="P29:P34" si="41">IF($H$29="R32",P18*675,P18*465)</f>
        <v>350184.04342273512</v>
      </c>
      <c r="Q29" s="86">
        <f t="shared" ref="Q29:Q34" si="42">R29+S29</f>
        <v>6261305.3707024306</v>
      </c>
      <c r="R29" s="44">
        <f t="shared" si="29"/>
        <v>5535856.5348010072</v>
      </c>
      <c r="S29" s="44">
        <f t="shared" ref="S29:S34" si="43">IF($H$29="R32",S18*675,S18*465)</f>
        <v>725448.83590142301</v>
      </c>
      <c r="T29" s="86">
        <f t="shared" ref="T29:T34" si="44">U29+V29</f>
        <v>5796026.065071499</v>
      </c>
      <c r="U29" s="44">
        <f t="shared" si="30"/>
        <v>4843874.4679508815</v>
      </c>
      <c r="V29" s="45">
        <f t="shared" ref="V29:V34" si="45">IF($H$29="R32",V18*675,V18*465)</f>
        <v>952151.59712061752</v>
      </c>
      <c r="W29" s="44">
        <f t="shared" ref="W29:W34" si="46">X29+Y29</f>
        <v>4390326.998705456</v>
      </c>
      <c r="X29" s="44">
        <f t="shared" si="31"/>
        <v>3009837.6146061928</v>
      </c>
      <c r="Y29" s="44">
        <f t="shared" ref="Y29:Y34" si="47">IF($H$29="R32",Y18*675,Y18*465)</f>
        <v>1380489.3840992628</v>
      </c>
      <c r="Z29" s="86">
        <f t="shared" ref="Z29:Z34" si="48">AA29+AB29</f>
        <v>2070734.0761488941</v>
      </c>
      <c r="AA29" s="44">
        <f t="shared" si="32"/>
        <v>0</v>
      </c>
      <c r="AB29" s="44">
        <f t="shared" ref="AB29:AB34" si="49">IF($H$29="R32",AB18*675,AB18*465)</f>
        <v>2070734.0761488941</v>
      </c>
      <c r="AC29" s="28">
        <f>Z29/C29</f>
        <v>0.23583036746408287</v>
      </c>
    </row>
    <row r="30" spans="2:34" hidden="1" x14ac:dyDescent="0.4">
      <c r="B30" s="33" t="s">
        <v>44</v>
      </c>
      <c r="C30" s="44">
        <f t="shared" si="34"/>
        <v>10097699.516725335</v>
      </c>
      <c r="D30" s="44">
        <f t="shared" si="34"/>
        <v>8574265.1279999986</v>
      </c>
      <c r="E30" s="44">
        <f t="shared" si="34"/>
        <v>8791831.6092992015</v>
      </c>
      <c r="F30" s="44">
        <f t="shared" si="34"/>
        <v>9087929.5650528017</v>
      </c>
      <c r="G30" s="44">
        <f t="shared" ref="G30" si="50">G19*2090</f>
        <v>9416769.1216830015</v>
      </c>
      <c r="H30" s="86" t="str">
        <f t="shared" si="36"/>
        <v>R454B</v>
      </c>
      <c r="I30" s="46">
        <v>0.85</v>
      </c>
      <c r="J30" s="86">
        <f t="shared" si="37"/>
        <v>8736820.0328110345</v>
      </c>
      <c r="K30" s="44">
        <f t="shared" si="38"/>
        <v>8487522.3447553255</v>
      </c>
      <c r="L30" s="95">
        <f t="shared" si="39"/>
        <v>249297.68805570906</v>
      </c>
      <c r="M30" s="104">
        <f t="shared" si="27"/>
        <v>0.86522876010915095</v>
      </c>
      <c r="N30" s="86">
        <f t="shared" si="40"/>
        <v>8597560.8103895634</v>
      </c>
      <c r="O30" s="44">
        <f t="shared" si="28"/>
        <v>8194849.1604534173</v>
      </c>
      <c r="P30" s="45">
        <f t="shared" si="41"/>
        <v>402711.64993614546</v>
      </c>
      <c r="Q30" s="86">
        <f t="shared" si="42"/>
        <v>7200501.1763077946</v>
      </c>
      <c r="R30" s="44">
        <f t="shared" si="29"/>
        <v>6366235.0150211584</v>
      </c>
      <c r="S30" s="44">
        <f t="shared" si="43"/>
        <v>834266.16128663637</v>
      </c>
      <c r="T30" s="86">
        <f t="shared" si="44"/>
        <v>6665429.9748322247</v>
      </c>
      <c r="U30" s="44">
        <f t="shared" si="30"/>
        <v>5570455.6381435143</v>
      </c>
      <c r="V30" s="45">
        <f t="shared" si="45"/>
        <v>1094974.3366887104</v>
      </c>
      <c r="W30" s="44">
        <f t="shared" si="46"/>
        <v>5048876.0485112732</v>
      </c>
      <c r="X30" s="44">
        <f t="shared" si="31"/>
        <v>3461313.2567971214</v>
      </c>
      <c r="Y30" s="44">
        <f t="shared" si="47"/>
        <v>1587562.7917141521</v>
      </c>
      <c r="Z30" s="86">
        <f t="shared" si="48"/>
        <v>2381344.187571228</v>
      </c>
      <c r="AA30" s="44">
        <f t="shared" si="32"/>
        <v>0</v>
      </c>
      <c r="AB30" s="44">
        <f t="shared" si="49"/>
        <v>2381344.187571228</v>
      </c>
      <c r="AC30" s="28">
        <f t="shared" si="33"/>
        <v>0.2358303674640829</v>
      </c>
    </row>
    <row r="31" spans="2:34" hidden="1" x14ac:dyDescent="0.4">
      <c r="B31" s="33" t="s">
        <v>45</v>
      </c>
      <c r="C31" s="44">
        <f t="shared" si="34"/>
        <v>1756121.6550826665</v>
      </c>
      <c r="D31" s="44">
        <f t="shared" si="34"/>
        <v>1491176.5440000002</v>
      </c>
      <c r="E31" s="44">
        <f t="shared" si="34"/>
        <v>1529014.1929216001</v>
      </c>
      <c r="F31" s="44">
        <f t="shared" si="34"/>
        <v>1580509.4895744</v>
      </c>
      <c r="G31" s="44">
        <f t="shared" ref="G31" si="51">G20*2090</f>
        <v>1637698.9776840003</v>
      </c>
      <c r="H31" s="86" t="str">
        <f t="shared" si="36"/>
        <v>R454B</v>
      </c>
      <c r="I31" s="99">
        <v>0.8</v>
      </c>
      <c r="J31" s="86">
        <f t="shared" si="37"/>
        <v>1519446.9622280058</v>
      </c>
      <c r="K31" s="44">
        <f t="shared" si="38"/>
        <v>1476090.8425661433</v>
      </c>
      <c r="L31" s="44">
        <f t="shared" si="39"/>
        <v>43356.119661862453</v>
      </c>
      <c r="M31" s="104">
        <f t="shared" si="27"/>
        <v>0.86522876010915106</v>
      </c>
      <c r="N31" s="86">
        <f t="shared" si="40"/>
        <v>1495227.9670242716</v>
      </c>
      <c r="O31" s="44">
        <f t="shared" si="28"/>
        <v>1425191.1583397246</v>
      </c>
      <c r="P31" s="45">
        <f t="shared" si="41"/>
        <v>70036.808684547039</v>
      </c>
      <c r="Q31" s="86">
        <f t="shared" si="42"/>
        <v>1252261.0741404858</v>
      </c>
      <c r="R31" s="44">
        <f t="shared" si="29"/>
        <v>1107171.3069602014</v>
      </c>
      <c r="S31" s="44">
        <f t="shared" si="43"/>
        <v>145089.7671802846</v>
      </c>
      <c r="T31" s="86">
        <f t="shared" si="44"/>
        <v>1159205.2130143</v>
      </c>
      <c r="U31" s="44">
        <f t="shared" si="30"/>
        <v>968774.89359017636</v>
      </c>
      <c r="V31" s="45">
        <f t="shared" si="45"/>
        <v>190430.31942412353</v>
      </c>
      <c r="W31" s="44">
        <f t="shared" si="46"/>
        <v>878065.39974109107</v>
      </c>
      <c r="X31" s="44">
        <f t="shared" si="31"/>
        <v>601967.52292123856</v>
      </c>
      <c r="Y31" s="44">
        <f t="shared" si="47"/>
        <v>276097.87681985251</v>
      </c>
      <c r="Z31" s="86">
        <f t="shared" si="48"/>
        <v>414146.81522977888</v>
      </c>
      <c r="AA31" s="44">
        <f t="shared" si="32"/>
        <v>0</v>
      </c>
      <c r="AB31" s="44">
        <f t="shared" si="49"/>
        <v>414146.81522977888</v>
      </c>
      <c r="AC31" s="28">
        <f t="shared" si="33"/>
        <v>0.23583036746408301</v>
      </c>
    </row>
    <row r="32" spans="2:34" hidden="1" x14ac:dyDescent="0.4">
      <c r="B32" s="47" t="s">
        <v>47</v>
      </c>
      <c r="C32" s="48">
        <f t="shared" si="34"/>
        <v>14048973.240661332</v>
      </c>
      <c r="D32" s="48">
        <f t="shared" si="34"/>
        <v>11929412.352000002</v>
      </c>
      <c r="E32" s="48">
        <f t="shared" si="34"/>
        <v>12232113.543372801</v>
      </c>
      <c r="F32" s="48">
        <f t="shared" si="34"/>
        <v>12644075.9165952</v>
      </c>
      <c r="G32" s="48">
        <f t="shared" ref="G32" si="52">G21*2090</f>
        <v>13101591.821472002</v>
      </c>
      <c r="H32" s="87" t="str">
        <f t="shared" si="36"/>
        <v>R454B</v>
      </c>
      <c r="I32" s="100">
        <v>0.6</v>
      </c>
      <c r="J32" s="87">
        <f t="shared" si="37"/>
        <v>12155575.697824046</v>
      </c>
      <c r="K32" s="48">
        <f t="shared" si="38"/>
        <v>11808726.740529146</v>
      </c>
      <c r="L32" s="48">
        <f t="shared" si="39"/>
        <v>346848.95729489962</v>
      </c>
      <c r="M32" s="105">
        <f t="shared" si="27"/>
        <v>0.86522876010915106</v>
      </c>
      <c r="N32" s="87">
        <f t="shared" si="40"/>
        <v>11961823.736194173</v>
      </c>
      <c r="O32" s="48">
        <f t="shared" si="28"/>
        <v>11401529.266717797</v>
      </c>
      <c r="P32" s="49">
        <f t="shared" si="41"/>
        <v>560294.46947637631</v>
      </c>
      <c r="Q32" s="87">
        <f t="shared" si="42"/>
        <v>10018088.593123887</v>
      </c>
      <c r="R32" s="48">
        <f t="shared" si="29"/>
        <v>8857370.4556816109</v>
      </c>
      <c r="S32" s="48">
        <f t="shared" si="43"/>
        <v>1160718.1374422768</v>
      </c>
      <c r="T32" s="87">
        <f t="shared" si="44"/>
        <v>9273641.7041143999</v>
      </c>
      <c r="U32" s="48">
        <f t="shared" si="30"/>
        <v>7750199.1487214109</v>
      </c>
      <c r="V32" s="49">
        <f t="shared" si="45"/>
        <v>1523442.5553929883</v>
      </c>
      <c r="W32" s="48">
        <f t="shared" si="46"/>
        <v>7024523.1979287285</v>
      </c>
      <c r="X32" s="48">
        <f t="shared" si="31"/>
        <v>4815740.1833699085</v>
      </c>
      <c r="Y32" s="48">
        <f t="shared" si="47"/>
        <v>2208783.0145588201</v>
      </c>
      <c r="Z32" s="87">
        <f t="shared" si="48"/>
        <v>3313174.521838231</v>
      </c>
      <c r="AA32" s="48">
        <f t="shared" si="32"/>
        <v>0</v>
      </c>
      <c r="AB32" s="48">
        <f t="shared" si="49"/>
        <v>3313174.521838231</v>
      </c>
      <c r="AC32" s="147">
        <f t="shared" si="33"/>
        <v>0.23583036746408301</v>
      </c>
    </row>
    <row r="33" spans="2:29" hidden="1" x14ac:dyDescent="0.4">
      <c r="B33" s="47" t="s">
        <v>50</v>
      </c>
      <c r="C33" s="48">
        <f t="shared" si="34"/>
        <v>5707395.3790186672</v>
      </c>
      <c r="D33" s="48">
        <f t="shared" si="34"/>
        <v>4846323.7680000002</v>
      </c>
      <c r="E33" s="48">
        <f t="shared" si="34"/>
        <v>4969296.1269952003</v>
      </c>
      <c r="F33" s="48">
        <f t="shared" si="34"/>
        <v>5136655.8411168009</v>
      </c>
      <c r="G33" s="48">
        <f t="shared" ref="G33" si="53">G22*2090</f>
        <v>5322521.6774730012</v>
      </c>
      <c r="H33" s="87" t="str">
        <f t="shared" si="36"/>
        <v>R454B</v>
      </c>
      <c r="I33" s="100">
        <v>0.8</v>
      </c>
      <c r="J33" s="87">
        <f t="shared" si="37"/>
        <v>4938202.6272410192</v>
      </c>
      <c r="K33" s="48">
        <f t="shared" si="38"/>
        <v>4797295.2383399662</v>
      </c>
      <c r="L33" s="48">
        <f t="shared" si="39"/>
        <v>140907.38890105297</v>
      </c>
      <c r="M33" s="105">
        <f t="shared" si="27"/>
        <v>0.86522876010915095</v>
      </c>
      <c r="N33" s="87">
        <f t="shared" si="40"/>
        <v>4859490.8928288827</v>
      </c>
      <c r="O33" s="48">
        <f t="shared" si="28"/>
        <v>4631871.2646041047</v>
      </c>
      <c r="P33" s="49">
        <f t="shared" si="41"/>
        <v>227619.62822477784</v>
      </c>
      <c r="Q33" s="87">
        <f t="shared" si="42"/>
        <v>4069848.4909565798</v>
      </c>
      <c r="R33" s="48">
        <f t="shared" si="29"/>
        <v>3598306.7476206548</v>
      </c>
      <c r="S33" s="48">
        <f t="shared" si="43"/>
        <v>471541.74333592498</v>
      </c>
      <c r="T33" s="87">
        <f t="shared" si="44"/>
        <v>3767416.9422964752</v>
      </c>
      <c r="U33" s="48">
        <f t="shared" si="30"/>
        <v>3148518.4041680736</v>
      </c>
      <c r="V33" s="49">
        <f t="shared" si="45"/>
        <v>618898.5381284015</v>
      </c>
      <c r="W33" s="48">
        <f t="shared" si="46"/>
        <v>2853712.5491585461</v>
      </c>
      <c r="X33" s="48">
        <f t="shared" si="31"/>
        <v>1956394.4494940252</v>
      </c>
      <c r="Y33" s="48">
        <f t="shared" si="47"/>
        <v>897318.09966452071</v>
      </c>
      <c r="Z33" s="87">
        <f t="shared" si="48"/>
        <v>1345977.1494967814</v>
      </c>
      <c r="AA33" s="48">
        <f t="shared" si="32"/>
        <v>0</v>
      </c>
      <c r="AB33" s="48">
        <f t="shared" si="49"/>
        <v>1345977.1494967814</v>
      </c>
      <c r="AC33" s="147">
        <f t="shared" si="33"/>
        <v>0.23583036746408298</v>
      </c>
    </row>
    <row r="34" spans="2:29" ht="15.6" hidden="1" thickBot="1" x14ac:dyDescent="0.45">
      <c r="B34" s="47" t="s">
        <v>52</v>
      </c>
      <c r="C34" s="48">
        <f t="shared" si="34"/>
        <v>3512243.3101653331</v>
      </c>
      <c r="D34" s="48">
        <f t="shared" si="34"/>
        <v>2982353.0880000005</v>
      </c>
      <c r="E34" s="48">
        <f t="shared" si="34"/>
        <v>3058028.3858432001</v>
      </c>
      <c r="F34" s="48">
        <f t="shared" si="34"/>
        <v>3161018.9791488</v>
      </c>
      <c r="G34" s="48">
        <f t="shared" ref="G34" si="54">G23*2090</f>
        <v>3275397.9553680005</v>
      </c>
      <c r="H34" s="87" t="str">
        <f t="shared" si="36"/>
        <v>R454B</v>
      </c>
      <c r="I34" s="100">
        <v>0.75</v>
      </c>
      <c r="J34" s="87">
        <f t="shared" si="37"/>
        <v>3038893.9244560115</v>
      </c>
      <c r="K34" s="48">
        <f t="shared" si="38"/>
        <v>2952181.6851322865</v>
      </c>
      <c r="L34" s="48">
        <f t="shared" si="39"/>
        <v>86712.239323724905</v>
      </c>
      <c r="M34" s="105">
        <f t="shared" si="27"/>
        <v>0.86522876010915106</v>
      </c>
      <c r="N34" s="87">
        <f t="shared" si="40"/>
        <v>2990455.9340485432</v>
      </c>
      <c r="O34" s="48">
        <f t="shared" si="28"/>
        <v>2850382.3166794493</v>
      </c>
      <c r="P34" s="49">
        <f t="shared" si="41"/>
        <v>140073.61736909408</v>
      </c>
      <c r="Q34" s="87">
        <f t="shared" si="42"/>
        <v>2504522.1482809717</v>
      </c>
      <c r="R34" s="48">
        <f t="shared" si="29"/>
        <v>2214342.6139204027</v>
      </c>
      <c r="S34" s="48">
        <f t="shared" si="43"/>
        <v>290179.5343605692</v>
      </c>
      <c r="T34" s="87">
        <f t="shared" si="44"/>
        <v>2318410.4260286</v>
      </c>
      <c r="U34" s="48">
        <f t="shared" si="30"/>
        <v>1937549.7871803527</v>
      </c>
      <c r="V34" s="49">
        <f t="shared" si="45"/>
        <v>380860.63884824706</v>
      </c>
      <c r="W34" s="48">
        <f t="shared" si="46"/>
        <v>1756130.7994821821</v>
      </c>
      <c r="X34" s="48">
        <f t="shared" si="31"/>
        <v>1203935.0458424771</v>
      </c>
      <c r="Y34" s="48">
        <f t="shared" si="47"/>
        <v>552195.75363970501</v>
      </c>
      <c r="Z34" s="87">
        <f t="shared" si="48"/>
        <v>828293.63045955775</v>
      </c>
      <c r="AA34" s="48">
        <f t="shared" si="32"/>
        <v>0</v>
      </c>
      <c r="AB34" s="48">
        <f t="shared" si="49"/>
        <v>828293.63045955775</v>
      </c>
      <c r="AC34" s="147">
        <f t="shared" si="33"/>
        <v>0.23583036746408301</v>
      </c>
    </row>
    <row r="35" spans="2:29" s="158" customFormat="1" ht="15.6" hidden="1" thickTop="1" x14ac:dyDescent="0.4">
      <c r="B35" s="159" t="s">
        <v>20</v>
      </c>
      <c r="C35" s="148">
        <f t="shared" si="34"/>
        <v>57767159.706666671</v>
      </c>
      <c r="D35" s="148">
        <f t="shared" si="34"/>
        <v>47794120</v>
      </c>
      <c r="E35" s="148">
        <f t="shared" si="34"/>
        <v>49514708.32</v>
      </c>
      <c r="F35" s="148">
        <f t="shared" si="34"/>
        <v>51990443.736000001</v>
      </c>
      <c r="G35" s="148">
        <f t="shared" ref="G35" si="55">G24*2090</f>
        <v>54589965.922800012</v>
      </c>
      <c r="H35" s="52" t="str">
        <f t="shared" si="36"/>
        <v>R454B</v>
      </c>
      <c r="I35" s="103" cm="1">
        <f t="array" ref="I35">SUM(D28:D34*I28:I34)/D35</f>
        <v>0.74533000000000005</v>
      </c>
      <c r="J35" s="148">
        <f>SUM(J28:J34)</f>
        <v>51366685.661541522</v>
      </c>
      <c r="K35" s="148">
        <f>SUM(K28:K34)</f>
        <v>49867933.870477818</v>
      </c>
      <c r="L35" s="155">
        <f>SUM(L29:L34)</f>
        <v>1083902.9915465612</v>
      </c>
      <c r="M35" s="134">
        <f t="shared" si="27"/>
        <v>0.88920220281513174</v>
      </c>
      <c r="N35" s="148">
        <f t="shared" ref="N35:AB35" si="56">SUM(N28:N34)</f>
        <v>50569410.529474065</v>
      </c>
      <c r="O35" s="148">
        <f t="shared" si="56"/>
        <v>48148349.943909615</v>
      </c>
      <c r="P35" s="155">
        <f t="shared" si="56"/>
        <v>2421060.5855644555</v>
      </c>
      <c r="Q35" s="148">
        <f t="shared" si="56"/>
        <v>43005491.256149754</v>
      </c>
      <c r="R35" s="148">
        <f t="shared" si="56"/>
        <v>37916825.580828823</v>
      </c>
      <c r="S35" s="155">
        <f t="shared" si="56"/>
        <v>5088665.6753209308</v>
      </c>
      <c r="T35" s="156">
        <f t="shared" si="56"/>
        <v>39856096.082083948</v>
      </c>
      <c r="U35" s="148">
        <f t="shared" si="56"/>
        <v>33177222.383225217</v>
      </c>
      <c r="V35" s="157">
        <f t="shared" si="56"/>
        <v>6678873.6988587212</v>
      </c>
      <c r="W35" s="148">
        <f t="shared" si="56"/>
        <v>30728157.864802349</v>
      </c>
      <c r="X35" s="148">
        <f t="shared" si="56"/>
        <v>20901650.101431895</v>
      </c>
      <c r="Y35" s="155">
        <f t="shared" si="56"/>
        <v>9826507.763370458</v>
      </c>
      <c r="Z35" s="156">
        <f t="shared" si="56"/>
        <v>14739761.645055687</v>
      </c>
      <c r="AA35" s="148">
        <f t="shared" si="56"/>
        <v>0</v>
      </c>
      <c r="AB35" s="155">
        <f t="shared" si="56"/>
        <v>14739761.645055687</v>
      </c>
      <c r="AC35" s="103">
        <f t="shared" si="33"/>
        <v>0.25515815075385523</v>
      </c>
    </row>
    <row r="36" spans="2:29" x14ac:dyDescent="0.4">
      <c r="B36" s="135"/>
      <c r="E36" t="s">
        <v>132</v>
      </c>
      <c r="F36" s="44">
        <f>F37*1.2</f>
        <v>8141.1743127272721</v>
      </c>
      <c r="G36" s="44">
        <f>G37*1.2</f>
        <v>8904.4094045454567</v>
      </c>
    </row>
    <row r="37" spans="2:29" x14ac:dyDescent="0.4">
      <c r="E37" s="44" t="s">
        <v>131</v>
      </c>
      <c r="F37" s="44">
        <f>F41/0.88</f>
        <v>6784.3119272727272</v>
      </c>
      <c r="G37" s="44">
        <f>G41/0.88</f>
        <v>7420.341170454547</v>
      </c>
    </row>
    <row r="38" spans="2:29" x14ac:dyDescent="0.4">
      <c r="B38" s="487" t="s">
        <v>129</v>
      </c>
      <c r="C38" s="489" t="s">
        <v>127</v>
      </c>
      <c r="D38" s="489" t="s">
        <v>66</v>
      </c>
      <c r="E38" s="491" t="s">
        <v>88</v>
      </c>
      <c r="F38" s="489" t="s">
        <v>97</v>
      </c>
      <c r="G38" s="493" t="s">
        <v>98</v>
      </c>
      <c r="H38" s="487" t="s">
        <v>55</v>
      </c>
      <c r="I38" s="498" t="s">
        <v>112</v>
      </c>
      <c r="J38" s="487" t="s">
        <v>71</v>
      </c>
      <c r="K38" s="491"/>
      <c r="L38" s="491"/>
      <c r="M38" s="151"/>
      <c r="N38" s="488" t="s">
        <v>73</v>
      </c>
      <c r="O38" s="492"/>
      <c r="P38" s="499"/>
      <c r="Q38" s="487" t="s">
        <v>77</v>
      </c>
      <c r="R38" s="491"/>
      <c r="S38" s="498"/>
      <c r="T38" s="487" t="s">
        <v>78</v>
      </c>
      <c r="U38" s="491"/>
      <c r="V38" s="498"/>
      <c r="W38" s="491" t="s">
        <v>79</v>
      </c>
      <c r="X38" s="491"/>
      <c r="Y38" s="491"/>
      <c r="Z38" s="487" t="s">
        <v>80</v>
      </c>
      <c r="AA38" s="491"/>
      <c r="AB38" s="491"/>
      <c r="AC38" s="152"/>
    </row>
    <row r="39" spans="2:29" ht="37.799999999999997" x14ac:dyDescent="0.4">
      <c r="B39" s="488"/>
      <c r="C39" s="490"/>
      <c r="D39" s="490"/>
      <c r="E39" s="492"/>
      <c r="F39" s="490"/>
      <c r="G39" s="494"/>
      <c r="H39" s="488"/>
      <c r="I39" s="499"/>
      <c r="J39" s="149"/>
      <c r="K39" s="150" t="s">
        <v>3</v>
      </c>
      <c r="L39" s="137" t="s">
        <v>117</v>
      </c>
      <c r="M39" s="138"/>
      <c r="N39" s="149"/>
      <c r="O39" s="150" t="s">
        <v>3</v>
      </c>
      <c r="P39" s="137" t="s">
        <v>117</v>
      </c>
      <c r="Q39" s="149"/>
      <c r="R39" s="150" t="s">
        <v>3</v>
      </c>
      <c r="S39" s="137" t="s">
        <v>117</v>
      </c>
      <c r="T39" s="149"/>
      <c r="U39" s="150" t="s">
        <v>3</v>
      </c>
      <c r="V39" s="138" t="s">
        <v>117</v>
      </c>
      <c r="W39" s="150"/>
      <c r="X39" s="150" t="s">
        <v>3</v>
      </c>
      <c r="Y39" s="137" t="s">
        <v>117</v>
      </c>
      <c r="Z39" s="149"/>
      <c r="AA39" s="150" t="s">
        <v>3</v>
      </c>
      <c r="AB39" s="137" t="s">
        <v>117</v>
      </c>
      <c r="AC39" s="138"/>
    </row>
    <row r="40" spans="2:29" ht="30" x14ac:dyDescent="0.4">
      <c r="B40" s="132" t="s">
        <v>103</v>
      </c>
      <c r="C40" s="139" t="s">
        <v>3</v>
      </c>
      <c r="D40" s="139" t="s">
        <v>3</v>
      </c>
      <c r="E40" s="126" t="s">
        <v>3</v>
      </c>
      <c r="F40" s="139" t="s">
        <v>3</v>
      </c>
      <c r="G40" s="139" t="s">
        <v>3</v>
      </c>
      <c r="H40" s="132"/>
      <c r="I40" s="133"/>
      <c r="J40" s="131" t="s">
        <v>106</v>
      </c>
      <c r="K40" s="140">
        <f>1-L40</f>
        <v>0.87</v>
      </c>
      <c r="L40" s="140">
        <f>13%</f>
        <v>0.13</v>
      </c>
      <c r="M40" s="141" t="s">
        <v>108</v>
      </c>
      <c r="N40" s="131" t="s">
        <v>106</v>
      </c>
      <c r="O40" s="140">
        <f>1-P40</f>
        <v>0.8</v>
      </c>
      <c r="P40" s="142">
        <v>0.2</v>
      </c>
      <c r="Q40" s="131" t="s">
        <v>106</v>
      </c>
      <c r="R40" s="140">
        <f>1-S40</f>
        <v>0.6</v>
      </c>
      <c r="S40" s="142">
        <v>0.4</v>
      </c>
      <c r="T40" s="131" t="s">
        <v>106</v>
      </c>
      <c r="U40" s="140">
        <f>1-V40</f>
        <v>0.5</v>
      </c>
      <c r="V40" s="142">
        <v>0.5</v>
      </c>
      <c r="W40" s="126" t="s">
        <v>106</v>
      </c>
      <c r="X40" s="140">
        <f>1-Y40</f>
        <v>0.30000000000000004</v>
      </c>
      <c r="Y40" s="140">
        <v>0.7</v>
      </c>
      <c r="Z40" s="131" t="s">
        <v>106</v>
      </c>
      <c r="AA40" s="140">
        <f>1-AB40</f>
        <v>0</v>
      </c>
      <c r="AB40" s="140">
        <f>100%</f>
        <v>1</v>
      </c>
      <c r="AC40" s="141" t="s">
        <v>108</v>
      </c>
    </row>
    <row r="41" spans="2:29" x14ac:dyDescent="0.4">
      <c r="B41" s="40" t="s">
        <v>56</v>
      </c>
      <c r="C41" s="41">
        <f>F41/0.9</f>
        <v>6633.5494399999998</v>
      </c>
      <c r="D41" s="41">
        <f>5717*0.88</f>
        <v>5030.96</v>
      </c>
      <c r="E41" s="41">
        <f>E48*$E$4</f>
        <v>5401.6045439999998</v>
      </c>
      <c r="F41" s="41">
        <f>F48*$F$4</f>
        <v>5970.1944960000001</v>
      </c>
      <c r="G41" s="41">
        <f>G48*G4</f>
        <v>6529.9002300000011</v>
      </c>
      <c r="H41" s="93" t="s">
        <v>57</v>
      </c>
      <c r="I41" s="102">
        <v>1</v>
      </c>
      <c r="J41" s="84">
        <f>J$24*$H4*$I$17</f>
        <v>7130.6510511600018</v>
      </c>
      <c r="K41" s="42">
        <f t="shared" ref="K41:K47" si="57">J41*K$16</f>
        <v>6203.6664145092018</v>
      </c>
      <c r="L41" s="42">
        <f t="shared" ref="L41:L47" si="58">IF($H41=$H$17,J41*$T$4*L$16,J41*L$16*$T$5)</f>
        <v>614.59081409948055</v>
      </c>
      <c r="M41" s="98">
        <f t="shared" ref="M41" si="59">J41/C41</f>
        <v>1.0749375000000003</v>
      </c>
      <c r="N41" s="84">
        <f>N$24*$I4*$I41</f>
        <v>7487.1836037180019</v>
      </c>
      <c r="O41" s="42">
        <f t="shared" ref="O41:O47" si="60">N41*O$16</f>
        <v>5989.7468829744021</v>
      </c>
      <c r="P41" s="85">
        <f t="shared" ref="P41:P47" si="61">IF($H41=$H$17,N41*$T$4*P$16,N41*P$16*$T$5)</f>
        <v>992.80054585300718</v>
      </c>
      <c r="Q41" s="84">
        <f>Q$24*$J4*$I41</f>
        <v>8163.9098140540527</v>
      </c>
      <c r="R41" s="42">
        <f t="shared" ref="R41:R47" si="62">Q41*R$16</f>
        <v>4898.3458884324318</v>
      </c>
      <c r="S41" s="85">
        <f t="shared" ref="S41:S47" si="63">IF($H41=$H$17,Q41*$T$4*S$16,Q41*S$16*$T$5)</f>
        <v>2165.0688826871351</v>
      </c>
      <c r="T41" s="84">
        <f>T$24*$K4*$I41</f>
        <v>8572.1053047567566</v>
      </c>
      <c r="U41" s="42">
        <f t="shared" ref="U41:U47" si="64">T41*U$16</f>
        <v>4286.0526523783783</v>
      </c>
      <c r="V41" s="85">
        <f t="shared" ref="V41:V47" si="65">IF($H41=$H$17,T41*$T$4*V$16,T41*V$16*$T$5)</f>
        <v>2841.6529085268648</v>
      </c>
      <c r="W41" s="41">
        <f>W$24*$L4*$I$17</f>
        <v>9334.0702207351351</v>
      </c>
      <c r="X41" s="42">
        <f t="shared" ref="X41:X47" si="66">W41*X$16</f>
        <v>2800.2210662205412</v>
      </c>
      <c r="Y41" s="42">
        <f t="shared" ref="Y41:Y47" si="67">IF($H41=$H$17,W41*$T$4*Y$16,W41*Y$16*$T$5)</f>
        <v>4331.9419894431758</v>
      </c>
      <c r="Z41" s="84">
        <f>Z$24*$M28*$I$17</f>
        <v>33781.800602756477</v>
      </c>
      <c r="AA41" s="42">
        <f t="shared" ref="AA41:AA47" si="68">Z41*AA$16</f>
        <v>0</v>
      </c>
      <c r="AB41" s="42">
        <f>Z41*T4</f>
        <v>22397.333799627544</v>
      </c>
      <c r="AC41" s="98">
        <f t="shared" ref="AC41" si="69">Z41/C41</f>
        <v>5.0925678489789741</v>
      </c>
    </row>
    <row r="42" spans="2:29" x14ac:dyDescent="0.4">
      <c r="B42" s="43" t="s">
        <v>41</v>
      </c>
      <c r="C42" s="44">
        <f t="shared" ref="C42:C48" si="70">F42/0.9</f>
        <v>1890.5615904000006</v>
      </c>
      <c r="D42" s="44">
        <f>D$24*D5*I42</f>
        <v>1605.3336000000004</v>
      </c>
      <c r="E42" s="44">
        <f>E$24*E5*I42</f>
        <v>1646.0679110400001</v>
      </c>
      <c r="F42" s="44">
        <f>F$24*$F$5*I42</f>
        <v>1701.5054313600006</v>
      </c>
      <c r="G42" s="44">
        <f>G$24*G5*I42</f>
        <v>1763.0730621000007</v>
      </c>
      <c r="H42" s="86" t="s">
        <v>58</v>
      </c>
      <c r="I42" s="46">
        <v>0.45</v>
      </c>
      <c r="J42" s="86">
        <f>J$24*$H5*$I$18</f>
        <v>4058.9859829680004</v>
      </c>
      <c r="K42" s="44">
        <f t="shared" si="57"/>
        <v>3531.3178051821601</v>
      </c>
      <c r="L42" s="44">
        <f t="shared" si="58"/>
        <v>466.19483507378965</v>
      </c>
      <c r="M42" s="104">
        <f>J42/C42</f>
        <v>2.146973684210526</v>
      </c>
      <c r="N42" s="86">
        <f t="shared" ref="N42:N47" si="71">N$24*$I5*$I42</f>
        <v>1917.8708769523805</v>
      </c>
      <c r="O42" s="44">
        <f t="shared" si="60"/>
        <v>1534.2967015619045</v>
      </c>
      <c r="P42" s="45">
        <f t="shared" si="61"/>
        <v>338.88778395748562</v>
      </c>
      <c r="Q42" s="86">
        <f t="shared" ref="Q42:Q47" si="72">Q$24*$J5*$I42</f>
        <v>1986.551388086486</v>
      </c>
      <c r="R42" s="44">
        <f t="shared" si="62"/>
        <v>1191.9308328518916</v>
      </c>
      <c r="S42" s="45">
        <f t="shared" si="63"/>
        <v>702.04726054976413</v>
      </c>
      <c r="T42" s="86">
        <f t="shared" ref="T42:T47" si="73">T$24*$K5*$I42</f>
        <v>2085.8789574908101</v>
      </c>
      <c r="U42" s="44">
        <f t="shared" si="64"/>
        <v>1042.939478745405</v>
      </c>
      <c r="V42" s="45">
        <f t="shared" si="65"/>
        <v>921.43702947156532</v>
      </c>
      <c r="W42" s="44">
        <f>W$24*L$5*$I$18</f>
        <v>4800.3789706637835</v>
      </c>
      <c r="X42" s="44">
        <f t="shared" si="66"/>
        <v>1440.1136911991352</v>
      </c>
      <c r="Y42" s="44">
        <f t="shared" si="67"/>
        <v>2968.7943744070167</v>
      </c>
      <c r="Z42" s="86">
        <f>Z$24*M$5*$I$18</f>
        <v>5040.3979191969729</v>
      </c>
      <c r="AA42" s="44">
        <f t="shared" si="68"/>
        <v>0</v>
      </c>
      <c r="AB42" s="44">
        <f t="shared" ref="AB42:AB47" si="74">IF($H42=$H$17,Z42*$T$4*AB$16,Z42*AB$16*$T$5)</f>
        <v>4453.1915616105252</v>
      </c>
      <c r="AC42" s="104">
        <f>Z42/C42</f>
        <v>2.6660850113486849</v>
      </c>
    </row>
    <row r="43" spans="2:29" x14ac:dyDescent="0.4">
      <c r="B43" s="33" t="s">
        <v>44</v>
      </c>
      <c r="C43" s="44">
        <f t="shared" si="70"/>
        <v>3571.0607818666676</v>
      </c>
      <c r="D43" s="44">
        <f t="shared" ref="D43:D47" si="75">D$24*D6*I43</f>
        <v>3487.1413199999997</v>
      </c>
      <c r="E43" s="44">
        <f t="shared" ref="E43:E47" si="76">E$24*E6*I43</f>
        <v>3575.6252956480007</v>
      </c>
      <c r="F43" s="44">
        <f t="shared" ref="F43:F47" si="77">F$24*$F$5*I43</f>
        <v>3213.9547036800009</v>
      </c>
      <c r="G43" s="44">
        <f t="shared" ref="G43:G47" si="78">G$24*G6*I43</f>
        <v>3829.7864848950007</v>
      </c>
      <c r="H43" s="86" t="s">
        <v>58</v>
      </c>
      <c r="I43" s="46">
        <v>0.85</v>
      </c>
      <c r="J43" s="86">
        <f>J$24*$H6*$I$19</f>
        <v>4667.8338804132018</v>
      </c>
      <c r="K43" s="44">
        <f t="shared" si="57"/>
        <v>4061.0154759594857</v>
      </c>
      <c r="L43" s="95">
        <f t="shared" si="58"/>
        <v>536.1240603348582</v>
      </c>
      <c r="M43" s="104">
        <f t="shared" ref="M43:M48" si="79">J43/C43</f>
        <v>1.3071280959752323</v>
      </c>
      <c r="N43" s="86">
        <f t="shared" si="71"/>
        <v>4166.041738268782</v>
      </c>
      <c r="O43" s="44">
        <f t="shared" si="60"/>
        <v>3332.8333906150256</v>
      </c>
      <c r="P43" s="45">
        <f t="shared" si="61"/>
        <v>736.1395751520937</v>
      </c>
      <c r="Q43" s="86">
        <f t="shared" si="72"/>
        <v>4315.2310707878669</v>
      </c>
      <c r="R43" s="44">
        <f t="shared" si="62"/>
        <v>2589.1386424727202</v>
      </c>
      <c r="S43" s="45">
        <f t="shared" si="63"/>
        <v>1525.0026604164323</v>
      </c>
      <c r="T43" s="86">
        <f t="shared" si="73"/>
        <v>4530.9926243272603</v>
      </c>
      <c r="U43" s="44">
        <f t="shared" si="64"/>
        <v>2265.4963121636301</v>
      </c>
      <c r="V43" s="45">
        <f t="shared" si="65"/>
        <v>2001.565991796567</v>
      </c>
      <c r="W43" s="44">
        <f t="shared" ref="W43:W47" si="80">W$24*L$5*$I$18</f>
        <v>4800.3789706637835</v>
      </c>
      <c r="X43" s="44">
        <f t="shared" si="66"/>
        <v>1440.1136911991352</v>
      </c>
      <c r="Y43" s="44">
        <f t="shared" si="67"/>
        <v>2968.7943744070167</v>
      </c>
      <c r="Z43" s="86">
        <f>Z$24*M$6*$I43</f>
        <v>4926.9889660150411</v>
      </c>
      <c r="AA43" s="44">
        <f t="shared" si="68"/>
        <v>0</v>
      </c>
      <c r="AB43" s="44">
        <f t="shared" si="74"/>
        <v>4352.9947514742889</v>
      </c>
      <c r="AC43" s="104">
        <f t="shared" ref="AC43:AC47" si="81">Z43/C43</f>
        <v>1.3796989933729444</v>
      </c>
    </row>
    <row r="44" spans="2:29" x14ac:dyDescent="0.4">
      <c r="B44" s="33" t="s">
        <v>45</v>
      </c>
      <c r="C44" s="44">
        <f t="shared" si="70"/>
        <v>2940.8735850666671</v>
      </c>
      <c r="D44" s="44">
        <f t="shared" si="75"/>
        <v>499.43711999999999</v>
      </c>
      <c r="E44" s="44">
        <f t="shared" si="76"/>
        <v>512.11001676800004</v>
      </c>
      <c r="F44" s="44">
        <f t="shared" si="77"/>
        <v>2646.7862265600006</v>
      </c>
      <c r="G44" s="44">
        <f t="shared" si="78"/>
        <v>548.51161932000002</v>
      </c>
      <c r="H44" s="86" t="s">
        <v>58</v>
      </c>
      <c r="I44" s="99">
        <v>0.7</v>
      </c>
      <c r="J44" s="86">
        <f>J$24*$H7*$I$17</f>
        <v>811.79719659360023</v>
      </c>
      <c r="K44" s="44">
        <f t="shared" si="57"/>
        <v>706.26356103643218</v>
      </c>
      <c r="L44" s="44">
        <f t="shared" si="58"/>
        <v>93.238967014757961</v>
      </c>
      <c r="M44" s="104">
        <f t="shared" si="79"/>
        <v>0.27603947368421056</v>
      </c>
      <c r="N44" s="86">
        <f t="shared" si="71"/>
        <v>596.67093949629611</v>
      </c>
      <c r="O44" s="44">
        <f t="shared" si="60"/>
        <v>477.33675159703694</v>
      </c>
      <c r="P44" s="45">
        <f t="shared" si="61"/>
        <v>105.43175500899552</v>
      </c>
      <c r="Q44" s="86">
        <f t="shared" si="72"/>
        <v>618.03820962690668</v>
      </c>
      <c r="R44" s="44">
        <f t="shared" si="62"/>
        <v>370.82292577614402</v>
      </c>
      <c r="S44" s="45">
        <f t="shared" si="63"/>
        <v>218.41470328214882</v>
      </c>
      <c r="T44" s="86">
        <f t="shared" si="73"/>
        <v>648.94012010825213</v>
      </c>
      <c r="U44" s="44">
        <f t="shared" si="64"/>
        <v>324.47006005412607</v>
      </c>
      <c r="V44" s="45">
        <f t="shared" si="65"/>
        <v>286.66929805782036</v>
      </c>
      <c r="W44" s="44">
        <f t="shared" si="80"/>
        <v>4800.3789706637835</v>
      </c>
      <c r="X44" s="44">
        <f t="shared" si="66"/>
        <v>1440.1136911991352</v>
      </c>
      <c r="Y44" s="44">
        <f t="shared" si="67"/>
        <v>2968.7943744070167</v>
      </c>
      <c r="Z44" s="86">
        <f>Z$24*M$7*$I44</f>
        <v>705.65570868757618</v>
      </c>
      <c r="AA44" s="44">
        <f t="shared" si="68"/>
        <v>0</v>
      </c>
      <c r="AB44" s="44">
        <f t="shared" si="74"/>
        <v>623.4468186254735</v>
      </c>
      <c r="AC44" s="104">
        <f t="shared" si="81"/>
        <v>0.23994765102138166</v>
      </c>
    </row>
    <row r="45" spans="2:29" x14ac:dyDescent="0.4">
      <c r="B45" s="47" t="s">
        <v>47</v>
      </c>
      <c r="C45" s="48">
        <f t="shared" si="70"/>
        <v>2520.7487872000006</v>
      </c>
      <c r="D45" s="48">
        <f t="shared" si="75"/>
        <v>3424.7116800000003</v>
      </c>
      <c r="E45" s="48">
        <f t="shared" si="76"/>
        <v>3511.6115435520001</v>
      </c>
      <c r="F45" s="48">
        <f t="shared" si="77"/>
        <v>2268.6739084800006</v>
      </c>
      <c r="G45" s="48">
        <f t="shared" si="78"/>
        <v>3761.2225324800006</v>
      </c>
      <c r="H45" s="87" t="s">
        <v>36</v>
      </c>
      <c r="I45" s="100">
        <v>0.6</v>
      </c>
      <c r="J45" s="87">
        <f>J$24*$H8*$I$18</f>
        <v>6494.3775727488019</v>
      </c>
      <c r="K45" s="48">
        <f t="shared" si="57"/>
        <v>5650.1084882914574</v>
      </c>
      <c r="L45" s="48">
        <f t="shared" si="58"/>
        <v>745.91173611806369</v>
      </c>
      <c r="M45" s="105">
        <f t="shared" si="79"/>
        <v>2.5763684210526319</v>
      </c>
      <c r="N45" s="87">
        <f t="shared" si="71"/>
        <v>4091.4578708317449</v>
      </c>
      <c r="O45" s="48">
        <f t="shared" si="60"/>
        <v>3273.1662966653962</v>
      </c>
      <c r="P45" s="49">
        <f t="shared" si="61"/>
        <v>722.96060577596938</v>
      </c>
      <c r="Q45" s="87">
        <f t="shared" si="72"/>
        <v>4237.9762945845032</v>
      </c>
      <c r="R45" s="48">
        <f t="shared" si="62"/>
        <v>2542.7857767507016</v>
      </c>
      <c r="S45" s="49">
        <f t="shared" si="63"/>
        <v>1497.7008225061634</v>
      </c>
      <c r="T45" s="87">
        <f t="shared" si="73"/>
        <v>4449.8751093137289</v>
      </c>
      <c r="U45" s="48">
        <f t="shared" si="64"/>
        <v>2224.9375546568644</v>
      </c>
      <c r="V45" s="49">
        <f t="shared" si="65"/>
        <v>1965.7323295393396</v>
      </c>
      <c r="W45" s="48">
        <f t="shared" si="80"/>
        <v>4800.3789706637835</v>
      </c>
      <c r="X45" s="48">
        <f t="shared" si="66"/>
        <v>1440.1136911991352</v>
      </c>
      <c r="Y45" s="48">
        <f t="shared" si="67"/>
        <v>2968.7943744070167</v>
      </c>
      <c r="Z45" s="87">
        <f>Z$24*M$8*$I45</f>
        <v>4838.7820024290941</v>
      </c>
      <c r="AA45" s="48">
        <f t="shared" si="68"/>
        <v>0</v>
      </c>
      <c r="AB45" s="48">
        <f t="shared" si="74"/>
        <v>4275.0638991461046</v>
      </c>
      <c r="AC45" s="105">
        <f t="shared" si="81"/>
        <v>1.919581208171053</v>
      </c>
    </row>
    <row r="46" spans="2:29" x14ac:dyDescent="0.4">
      <c r="B46" s="47" t="s">
        <v>50</v>
      </c>
      <c r="C46" s="48">
        <f t="shared" si="70"/>
        <v>3150.9359840000006</v>
      </c>
      <c r="D46" s="48">
        <f t="shared" si="75"/>
        <v>1739.1114</v>
      </c>
      <c r="E46" s="48">
        <f t="shared" si="76"/>
        <v>1783.2402369599999</v>
      </c>
      <c r="F46" s="48">
        <f t="shared" si="77"/>
        <v>2835.8423856000009</v>
      </c>
      <c r="G46" s="48">
        <f t="shared" si="78"/>
        <v>1909.9958172750003</v>
      </c>
      <c r="H46" s="87" t="s">
        <v>36</v>
      </c>
      <c r="I46" s="100">
        <v>0.75</v>
      </c>
      <c r="J46" s="87">
        <f>J$24*$H9*$I$19</f>
        <v>2638.3408889292009</v>
      </c>
      <c r="K46" s="48">
        <f t="shared" si="57"/>
        <v>2295.356573368405</v>
      </c>
      <c r="L46" s="48">
        <f t="shared" si="58"/>
        <v>303.02664279796335</v>
      </c>
      <c r="M46" s="105">
        <f t="shared" si="79"/>
        <v>0.83731973684210537</v>
      </c>
      <c r="N46" s="87">
        <f t="shared" si="71"/>
        <v>2077.6934500317457</v>
      </c>
      <c r="O46" s="48">
        <f t="shared" si="60"/>
        <v>1662.1547600253966</v>
      </c>
      <c r="P46" s="49">
        <f t="shared" si="61"/>
        <v>367.12843262060949</v>
      </c>
      <c r="Q46" s="87">
        <f t="shared" si="72"/>
        <v>2152.0973370936936</v>
      </c>
      <c r="R46" s="48">
        <f t="shared" si="62"/>
        <v>1291.2584022562162</v>
      </c>
      <c r="S46" s="49">
        <f t="shared" si="63"/>
        <v>760.55119892891128</v>
      </c>
      <c r="T46" s="87">
        <f t="shared" si="73"/>
        <v>2259.7022039483782</v>
      </c>
      <c r="U46" s="48">
        <f t="shared" si="64"/>
        <v>1129.8511019741891</v>
      </c>
      <c r="V46" s="49">
        <f t="shared" si="65"/>
        <v>998.22344859419604</v>
      </c>
      <c r="W46" s="48">
        <f t="shared" si="80"/>
        <v>4800.3789706637835</v>
      </c>
      <c r="X46" s="48">
        <f t="shared" si="66"/>
        <v>1440.1136911991352</v>
      </c>
      <c r="Y46" s="48">
        <f t="shared" si="67"/>
        <v>2968.7943744070167</v>
      </c>
      <c r="Z46" s="87">
        <f>Z$24*M$9*$I46</f>
        <v>2457.1939856085246</v>
      </c>
      <c r="AA46" s="48">
        <f t="shared" si="68"/>
        <v>0</v>
      </c>
      <c r="AB46" s="48">
        <f t="shared" si="74"/>
        <v>2170.9308862851312</v>
      </c>
      <c r="AC46" s="105">
        <f t="shared" si="81"/>
        <v>0.77982986581949043</v>
      </c>
    </row>
    <row r="47" spans="2:29" ht="15.6" thickBot="1" x14ac:dyDescent="0.45">
      <c r="B47" s="47" t="s">
        <v>52</v>
      </c>
      <c r="C47" s="48">
        <f t="shared" si="70"/>
        <v>3150.9359840000006</v>
      </c>
      <c r="D47" s="48">
        <f t="shared" si="75"/>
        <v>1070.2224000000001</v>
      </c>
      <c r="E47" s="48">
        <f t="shared" si="76"/>
        <v>1097.3786073600002</v>
      </c>
      <c r="F47" s="48">
        <f t="shared" si="77"/>
        <v>2835.8423856000009</v>
      </c>
      <c r="G47" s="48">
        <f t="shared" si="78"/>
        <v>1175.3820414000002</v>
      </c>
      <c r="H47" s="112" t="s">
        <v>36</v>
      </c>
      <c r="I47" s="113">
        <v>0.75</v>
      </c>
      <c r="J47" s="87">
        <f>J$24*$H10*$I$17</f>
        <v>1623.5943931872005</v>
      </c>
      <c r="K47" s="48">
        <f t="shared" si="57"/>
        <v>1412.5271220728644</v>
      </c>
      <c r="L47" s="48">
        <f t="shared" si="58"/>
        <v>186.47793402951592</v>
      </c>
      <c r="M47" s="105">
        <f t="shared" si="79"/>
        <v>0.51527368421052633</v>
      </c>
      <c r="N47" s="87">
        <f t="shared" si="71"/>
        <v>1278.5805846349203</v>
      </c>
      <c r="O47" s="48">
        <f t="shared" si="60"/>
        <v>1022.8644677079363</v>
      </c>
      <c r="P47" s="49">
        <f t="shared" si="61"/>
        <v>225.92518930499043</v>
      </c>
      <c r="Q47" s="87">
        <f t="shared" si="72"/>
        <v>1324.3675920576575</v>
      </c>
      <c r="R47" s="48">
        <f t="shared" si="62"/>
        <v>794.62055523459446</v>
      </c>
      <c r="S47" s="49">
        <f t="shared" si="63"/>
        <v>468.03150703317613</v>
      </c>
      <c r="T47" s="87">
        <f t="shared" si="73"/>
        <v>1390.5859716605403</v>
      </c>
      <c r="U47" s="48">
        <f t="shared" si="64"/>
        <v>695.29298583027014</v>
      </c>
      <c r="V47" s="49">
        <f t="shared" si="65"/>
        <v>614.29135298104359</v>
      </c>
      <c r="W47" s="48">
        <f t="shared" si="80"/>
        <v>4800.3789706637835</v>
      </c>
      <c r="X47" s="48">
        <f t="shared" si="66"/>
        <v>1440.1136911991352</v>
      </c>
      <c r="Y47" s="48">
        <f t="shared" si="67"/>
        <v>2968.7943744070167</v>
      </c>
      <c r="Z47" s="87">
        <f>Z$24*M$10*$I47</f>
        <v>1512.1193757590918</v>
      </c>
      <c r="AA47" s="48">
        <f t="shared" si="68"/>
        <v>0</v>
      </c>
      <c r="AB47" s="48">
        <f t="shared" si="74"/>
        <v>1335.9574684831575</v>
      </c>
      <c r="AC47" s="105">
        <f t="shared" si="81"/>
        <v>0.47989530204276326</v>
      </c>
    </row>
    <row r="48" spans="2:29" ht="15.6" thickTop="1" x14ac:dyDescent="0.4">
      <c r="B48" s="50" t="s">
        <v>20</v>
      </c>
      <c r="C48" s="51">
        <f t="shared" si="70"/>
        <v>27639.789333333334</v>
      </c>
      <c r="D48" s="51">
        <f>$D$17/D4</f>
        <v>22868</v>
      </c>
      <c r="E48" s="51">
        <f>D48*(1+E2)</f>
        <v>23691.248</v>
      </c>
      <c r="F48" s="51">
        <f>E48*(1+$F$2)</f>
        <v>24875.810400000002</v>
      </c>
      <c r="G48" s="51">
        <f>F48*(1+G2)</f>
        <v>26119.600920000004</v>
      </c>
      <c r="H48" s="94" t="str">
        <f>IF(Y31&gt;X31,H47,H41)</f>
        <v>R32</v>
      </c>
      <c r="I48" s="103" cm="1">
        <f t="array" ref="I48">SUM(D41:D47*I41:I47)/D48</f>
        <v>0.578488</v>
      </c>
      <c r="J48" s="88">
        <f>G48*(1+$H$2)</f>
        <v>27425.580966000005</v>
      </c>
      <c r="K48" s="52"/>
      <c r="L48" s="52"/>
      <c r="M48" s="106">
        <f t="shared" si="79"/>
        <v>0.99225000000000019</v>
      </c>
      <c r="N48" s="94">
        <f>J48*(1+$I$2)</f>
        <v>28796.860014300008</v>
      </c>
      <c r="O48" s="52"/>
      <c r="P48" s="89"/>
      <c r="Q48" s="94">
        <f>N48*(1+$J$2)</f>
        <v>30236.703015015009</v>
      </c>
      <c r="R48" s="52"/>
      <c r="S48" s="89"/>
      <c r="T48" s="94">
        <f>Q48*(1+K26)</f>
        <v>30236.703015015009</v>
      </c>
      <c r="U48" s="52"/>
      <c r="V48" s="89"/>
      <c r="W48" s="52">
        <f>T48*(1+$L$2)</f>
        <v>31748.53816576576</v>
      </c>
      <c r="X48" s="52"/>
      <c r="Y48" s="52"/>
      <c r="Z48" s="94">
        <f>W48*(1+$M$2)</f>
        <v>33335.965074054053</v>
      </c>
      <c r="AA48" s="52"/>
      <c r="AB48" s="52"/>
      <c r="AC48" s="106"/>
    </row>
    <row r="49" spans="2:29" x14ac:dyDescent="0.4">
      <c r="B49" s="92" t="s">
        <v>130</v>
      </c>
      <c r="C49" s="57">
        <f>SUM(C41:C47)</f>
        <v>23858.666152533337</v>
      </c>
      <c r="D49" s="57">
        <f>SUM(D41:D47)</f>
        <v>16856.917519999999</v>
      </c>
      <c r="E49" s="57">
        <f t="shared" ref="E49:AC49" si="82">SUM(E41:E47)</f>
        <v>17527.638155327997</v>
      </c>
      <c r="F49" s="57">
        <f t="shared" si="82"/>
        <v>21472.799537280007</v>
      </c>
      <c r="G49" s="57">
        <f t="shared" si="82"/>
        <v>19517.871787470005</v>
      </c>
      <c r="H49" s="57">
        <f t="shared" si="82"/>
        <v>0</v>
      </c>
      <c r="I49" s="57">
        <f t="shared" si="82"/>
        <v>5.0999999999999996</v>
      </c>
      <c r="J49" s="57">
        <f t="shared" si="82"/>
        <v>27425.580966000005</v>
      </c>
      <c r="K49" s="57">
        <f t="shared" si="82"/>
        <v>23860.255440420005</v>
      </c>
      <c r="L49" s="57">
        <f t="shared" si="82"/>
        <v>2945.5649894684288</v>
      </c>
      <c r="M49" s="57">
        <f t="shared" si="82"/>
        <v>8.7340405959752321</v>
      </c>
      <c r="N49" s="57">
        <f t="shared" si="82"/>
        <v>21615.499063933876</v>
      </c>
      <c r="O49" s="57">
        <f t="shared" si="82"/>
        <v>17292.399251147097</v>
      </c>
      <c r="P49" s="57">
        <f t="shared" si="82"/>
        <v>3489.2738876731514</v>
      </c>
      <c r="Q49" s="57">
        <f t="shared" si="82"/>
        <v>22798.171706291163</v>
      </c>
      <c r="R49" s="57">
        <f t="shared" si="82"/>
        <v>13678.903023774699</v>
      </c>
      <c r="S49" s="57">
        <f t="shared" si="82"/>
        <v>7336.817035403732</v>
      </c>
      <c r="T49" s="57">
        <f t="shared" si="82"/>
        <v>23938.080291605729</v>
      </c>
      <c r="U49" s="57">
        <f t="shared" si="82"/>
        <v>11969.040145802865</v>
      </c>
      <c r="V49" s="57">
        <f t="shared" si="82"/>
        <v>9629.5723589673962</v>
      </c>
      <c r="W49" s="57">
        <f t="shared" si="82"/>
        <v>38136.344044717836</v>
      </c>
      <c r="X49" s="57">
        <f t="shared" si="82"/>
        <v>11440.903213415349</v>
      </c>
      <c r="Y49" s="57">
        <f t="shared" si="82"/>
        <v>22144.708235885275</v>
      </c>
      <c r="Z49" s="57">
        <f t="shared" si="82"/>
        <v>53262.938560452778</v>
      </c>
      <c r="AA49" s="57">
        <f t="shared" si="82"/>
        <v>0</v>
      </c>
      <c r="AB49" s="57">
        <f t="shared" si="82"/>
        <v>39608.919185252227</v>
      </c>
      <c r="AC49" s="57">
        <f t="shared" si="82"/>
        <v>12.557605880755291</v>
      </c>
    </row>
    <row r="51" spans="2:29" ht="75" x14ac:dyDescent="0.35">
      <c r="B51" s="58" t="s">
        <v>107</v>
      </c>
      <c r="C51" s="37" t="s">
        <v>118</v>
      </c>
      <c r="D51" s="37" t="s">
        <v>66</v>
      </c>
      <c r="E51" s="153" t="s">
        <v>88</v>
      </c>
      <c r="F51" s="37" t="s">
        <v>97</v>
      </c>
      <c r="G51" s="37" t="s">
        <v>98</v>
      </c>
      <c r="H51" s="153" t="s">
        <v>55</v>
      </c>
      <c r="I51" s="154" t="s">
        <v>112</v>
      </c>
      <c r="J51" s="495" t="s">
        <v>71</v>
      </c>
      <c r="K51" s="496"/>
      <c r="L51" s="496"/>
      <c r="M51" s="123" t="s">
        <v>116</v>
      </c>
      <c r="N51" s="495" t="s">
        <v>73</v>
      </c>
      <c r="O51" s="496"/>
      <c r="P51" s="496"/>
      <c r="Q51" s="495" t="s">
        <v>77</v>
      </c>
      <c r="R51" s="496"/>
      <c r="S51" s="496"/>
      <c r="T51" s="495" t="s">
        <v>78</v>
      </c>
      <c r="U51" s="496"/>
      <c r="V51" s="497"/>
      <c r="W51" s="496" t="s">
        <v>79</v>
      </c>
      <c r="X51" s="496"/>
      <c r="Y51" s="496"/>
      <c r="Z51" s="495" t="s">
        <v>80</v>
      </c>
      <c r="AA51" s="496"/>
      <c r="AB51" s="496"/>
      <c r="AC51" s="145" t="s">
        <v>108</v>
      </c>
    </row>
    <row r="52" spans="2:29" x14ac:dyDescent="0.4">
      <c r="B52" s="40" t="s">
        <v>56</v>
      </c>
      <c r="C52" s="41">
        <f>C41*2090</f>
        <v>13864118.329599999</v>
      </c>
      <c r="D52" s="41">
        <f>D41*2090</f>
        <v>10514706.4</v>
      </c>
      <c r="E52" s="41">
        <f>E41*2090</f>
        <v>11289353.496959999</v>
      </c>
      <c r="F52" s="41">
        <f>F41*2090</f>
        <v>12477706.49664</v>
      </c>
      <c r="G52" s="41">
        <f>G41*2090</f>
        <v>13647491.480700003</v>
      </c>
      <c r="H52" s="93" t="str">
        <f>H41</f>
        <v>R32</v>
      </c>
      <c r="I52" s="102">
        <v>1</v>
      </c>
      <c r="J52" s="84">
        <f>K52+L52</f>
        <v>13380511.605841381</v>
      </c>
      <c r="K52" s="42">
        <f>K41*2090</f>
        <v>12965662.806324232</v>
      </c>
      <c r="L52" s="42">
        <f>IF($H$28="R32",L41*675,L41*465)</f>
        <v>414848.7995171494</v>
      </c>
      <c r="M52" s="98">
        <f t="shared" ref="M52:M59" si="83">J52/C52</f>
        <v>0.96511810471740467</v>
      </c>
      <c r="N52" s="84">
        <f>O52+P52</f>
        <v>13188711.353867279</v>
      </c>
      <c r="O52" s="42">
        <f t="shared" ref="O52:O58" si="84">O41*2090</f>
        <v>12518570.9854165</v>
      </c>
      <c r="P52" s="85">
        <f>IF($H$28="R32",P41*675,P41*465)</f>
        <v>670140.36845077982</v>
      </c>
      <c r="Q52" s="84">
        <f>R52+S52</f>
        <v>11698964.402637599</v>
      </c>
      <c r="R52" s="42">
        <f t="shared" ref="R52:R58" si="85">R41*2090</f>
        <v>10237542.906823782</v>
      </c>
      <c r="S52" s="42">
        <f>IF($H$28="R32",S41*675,S41*465)</f>
        <v>1461421.4958138161</v>
      </c>
      <c r="T52" s="84">
        <f>U52+V52</f>
        <v>10875965.756726446</v>
      </c>
      <c r="U52" s="42">
        <f t="shared" ref="U52:U58" si="86">U41*2090</f>
        <v>8957850.0434708111</v>
      </c>
      <c r="V52" s="85">
        <f>IF($H$28="R32",V41*675,V41*465)</f>
        <v>1918115.7132556338</v>
      </c>
      <c r="W52" s="41">
        <f>X52+Y52</f>
        <v>8776522.8712750748</v>
      </c>
      <c r="X52" s="42">
        <f t="shared" ref="X52:X58" si="87">X41*2090</f>
        <v>5852462.0284009306</v>
      </c>
      <c r="Y52" s="42">
        <f>IF($H$28="R32",Y41*675,Y41*465)</f>
        <v>2924060.8428741437</v>
      </c>
      <c r="Z52" s="84">
        <f>AA52+AB52</f>
        <v>15118200.314748593</v>
      </c>
      <c r="AA52" s="42">
        <f t="shared" ref="AA52:AA58" si="88">AA41*2090</f>
        <v>0</v>
      </c>
      <c r="AB52" s="42">
        <f>AB41*675</f>
        <v>15118200.314748593</v>
      </c>
      <c r="AC52" s="146">
        <f>Z52/C52</f>
        <v>1.090455228045127</v>
      </c>
    </row>
    <row r="53" spans="2:29" x14ac:dyDescent="0.4">
      <c r="B53" s="43" t="s">
        <v>41</v>
      </c>
      <c r="C53" s="44">
        <f t="shared" ref="C53:G53" si="89">C42*2090</f>
        <v>3951273.7239360013</v>
      </c>
      <c r="D53" s="44">
        <f t="shared" si="89"/>
        <v>3355147.2240000009</v>
      </c>
      <c r="E53" s="44">
        <f t="shared" si="89"/>
        <v>3440281.9340736005</v>
      </c>
      <c r="F53" s="44">
        <f t="shared" si="89"/>
        <v>3556146.3515424011</v>
      </c>
      <c r="G53" s="44">
        <f t="shared" si="89"/>
        <v>3684822.6997890016</v>
      </c>
      <c r="H53" s="86" t="str">
        <f t="shared" ref="H53:H59" si="90">H42</f>
        <v>R454B</v>
      </c>
      <c r="I53" s="46">
        <v>0.45</v>
      </c>
      <c r="J53" s="86">
        <f t="shared" ref="J53:J58" si="91">K53+L53</f>
        <v>7597234.8111400269</v>
      </c>
      <c r="K53" s="44">
        <f t="shared" ref="K53:K58" si="92">K42*2090</f>
        <v>7380454.2128307149</v>
      </c>
      <c r="L53" s="44">
        <f t="shared" ref="L53:L58" si="93">IF($H53="R32",L42*675,L42*465)</f>
        <v>216780.59830931219</v>
      </c>
      <c r="M53" s="104">
        <f t="shared" si="83"/>
        <v>1.9227305780203343</v>
      </c>
      <c r="N53" s="86">
        <f t="shared" ref="N53:N58" si="94">O53+P53</f>
        <v>3364262.9258046113</v>
      </c>
      <c r="O53" s="44">
        <f t="shared" si="84"/>
        <v>3206680.1062643803</v>
      </c>
      <c r="P53" s="45">
        <f t="shared" ref="P53:P58" si="95">IF($H$29="R32",P42*675,P42*465)</f>
        <v>157582.81954023082</v>
      </c>
      <c r="Q53" s="86">
        <f t="shared" ref="Q53:Q58" si="96">R53+S53</f>
        <v>2817587.416816094</v>
      </c>
      <c r="R53" s="44">
        <f t="shared" si="85"/>
        <v>2491135.4406604534</v>
      </c>
      <c r="S53" s="44">
        <f t="shared" ref="S53:S58" si="97">IF($H$29="R32",S42*675,S42*465)</f>
        <v>326451.97615564032</v>
      </c>
      <c r="T53" s="86">
        <f t="shared" ref="T53:T58" si="98">U53+V53</f>
        <v>2608211.7292821743</v>
      </c>
      <c r="U53" s="44">
        <f t="shared" si="86"/>
        <v>2179743.5105778966</v>
      </c>
      <c r="V53" s="45">
        <f t="shared" ref="V53:V58" si="99">IF($H$29="R32",V42*675,V42*465)</f>
        <v>428468.21870427788</v>
      </c>
      <c r="W53" s="44">
        <f t="shared" ref="W53:W58" si="100">X53+Y53</f>
        <v>4390326.998705456</v>
      </c>
      <c r="X53" s="44">
        <f t="shared" si="87"/>
        <v>3009837.6146061928</v>
      </c>
      <c r="Y53" s="44">
        <f t="shared" ref="Y53:Y58" si="101">IF($H$29="R32",Y42*675,Y42*465)</f>
        <v>1380489.3840992628</v>
      </c>
      <c r="Z53" s="86">
        <f t="shared" ref="Z53:Z58" si="102">AA53+AB53</f>
        <v>2070734.0761488941</v>
      </c>
      <c r="AA53" s="44">
        <f t="shared" si="88"/>
        <v>0</v>
      </c>
      <c r="AB53" s="44">
        <f t="shared" ref="AB53:AB58" si="103">IF($H$29="R32",AB42*675,AB42*465)</f>
        <v>2070734.0761488941</v>
      </c>
      <c r="AC53" s="28">
        <f>Z53/C53</f>
        <v>0.52406748325351749</v>
      </c>
    </row>
    <row r="54" spans="2:29" x14ac:dyDescent="0.4">
      <c r="B54" s="33" t="s">
        <v>44</v>
      </c>
      <c r="C54" s="44">
        <f t="shared" ref="C54:G54" si="104">C43*2090</f>
        <v>7463517.0341013353</v>
      </c>
      <c r="D54" s="44">
        <f t="shared" si="104"/>
        <v>7288125.3587999996</v>
      </c>
      <c r="E54" s="44">
        <f t="shared" si="104"/>
        <v>7473056.8679043213</v>
      </c>
      <c r="F54" s="44">
        <f t="shared" si="104"/>
        <v>6717165.3306912016</v>
      </c>
      <c r="G54" s="44">
        <f t="shared" si="104"/>
        <v>8004253.7534305518</v>
      </c>
      <c r="H54" s="86" t="str">
        <f t="shared" si="90"/>
        <v>R454B</v>
      </c>
      <c r="I54" s="46">
        <v>0.85</v>
      </c>
      <c r="J54" s="86">
        <f t="shared" si="91"/>
        <v>8736820.0328110345</v>
      </c>
      <c r="K54" s="44">
        <f t="shared" si="92"/>
        <v>8487522.3447553255</v>
      </c>
      <c r="L54" s="95">
        <f t="shared" si="93"/>
        <v>249297.68805570906</v>
      </c>
      <c r="M54" s="104">
        <f t="shared" si="83"/>
        <v>1.170603616618263</v>
      </c>
      <c r="N54" s="86">
        <f t="shared" si="94"/>
        <v>7307926.6888311263</v>
      </c>
      <c r="O54" s="44">
        <f t="shared" si="84"/>
        <v>6965621.786385403</v>
      </c>
      <c r="P54" s="45">
        <f t="shared" si="95"/>
        <v>342304.90244572359</v>
      </c>
      <c r="Q54" s="86">
        <f t="shared" si="96"/>
        <v>6120425.999861626</v>
      </c>
      <c r="R54" s="44">
        <f t="shared" si="85"/>
        <v>5411299.7627679855</v>
      </c>
      <c r="S54" s="44">
        <f t="shared" si="97"/>
        <v>709126.23709364096</v>
      </c>
      <c r="T54" s="86">
        <f t="shared" si="98"/>
        <v>5665615.478607391</v>
      </c>
      <c r="U54" s="44">
        <f t="shared" si="86"/>
        <v>4734887.2924219873</v>
      </c>
      <c r="V54" s="45">
        <f t="shared" si="99"/>
        <v>930728.18618540361</v>
      </c>
      <c r="W54" s="44">
        <f t="shared" si="100"/>
        <v>4390326.998705456</v>
      </c>
      <c r="X54" s="44">
        <f t="shared" si="87"/>
        <v>3009837.6146061928</v>
      </c>
      <c r="Y54" s="44">
        <f t="shared" si="101"/>
        <v>1380489.3840992628</v>
      </c>
      <c r="Z54" s="86">
        <f t="shared" si="102"/>
        <v>2024142.5594355443</v>
      </c>
      <c r="AA54" s="44">
        <f t="shared" si="88"/>
        <v>0</v>
      </c>
      <c r="AB54" s="44">
        <f t="shared" si="103"/>
        <v>2024142.5594355443</v>
      </c>
      <c r="AC54" s="28">
        <f t="shared" ref="AC54:AC59" si="105">Z54/C54</f>
        <v>0.27120492258369538</v>
      </c>
    </row>
    <row r="55" spans="2:29" x14ac:dyDescent="0.4">
      <c r="B55" s="33" t="s">
        <v>45</v>
      </c>
      <c r="C55" s="44">
        <f t="shared" ref="C55:G55" si="106">C44*2090</f>
        <v>6146425.7927893344</v>
      </c>
      <c r="D55" s="44">
        <f t="shared" si="106"/>
        <v>1043823.5808</v>
      </c>
      <c r="E55" s="44">
        <f t="shared" si="106"/>
        <v>1070309.9350451201</v>
      </c>
      <c r="F55" s="44">
        <f t="shared" si="106"/>
        <v>5531783.2135104015</v>
      </c>
      <c r="G55" s="44">
        <f t="shared" si="106"/>
        <v>1146389.2843788001</v>
      </c>
      <c r="H55" s="86" t="str">
        <f t="shared" si="90"/>
        <v>R454B</v>
      </c>
      <c r="I55" s="99">
        <v>0.8</v>
      </c>
      <c r="J55" s="86">
        <f t="shared" si="91"/>
        <v>1519446.9622280058</v>
      </c>
      <c r="K55" s="44">
        <f t="shared" si="92"/>
        <v>1476090.8425661433</v>
      </c>
      <c r="L55" s="44">
        <f t="shared" si="93"/>
        <v>43356.119661862453</v>
      </c>
      <c r="M55" s="104">
        <f t="shared" si="83"/>
        <v>0.24720821717404309</v>
      </c>
      <c r="N55" s="86">
        <f t="shared" si="94"/>
        <v>1046659.5769169902</v>
      </c>
      <c r="O55" s="44">
        <f t="shared" si="84"/>
        <v>997633.81083780725</v>
      </c>
      <c r="P55" s="45">
        <f t="shared" si="95"/>
        <v>49025.766079182918</v>
      </c>
      <c r="Q55" s="86">
        <f t="shared" si="96"/>
        <v>876582.75189834018</v>
      </c>
      <c r="R55" s="44">
        <f t="shared" si="85"/>
        <v>775019.91487214097</v>
      </c>
      <c r="S55" s="44">
        <f t="shared" si="97"/>
        <v>101562.83702619919</v>
      </c>
      <c r="T55" s="86">
        <f t="shared" si="98"/>
        <v>811443.64911001001</v>
      </c>
      <c r="U55" s="44">
        <f t="shared" si="86"/>
        <v>678142.42551312351</v>
      </c>
      <c r="V55" s="45">
        <f t="shared" si="99"/>
        <v>133301.22359688647</v>
      </c>
      <c r="W55" s="44">
        <f t="shared" si="100"/>
        <v>4390326.998705456</v>
      </c>
      <c r="X55" s="44">
        <f t="shared" si="87"/>
        <v>3009837.6146061928</v>
      </c>
      <c r="Y55" s="44">
        <f t="shared" si="101"/>
        <v>1380489.3840992628</v>
      </c>
      <c r="Z55" s="86">
        <f t="shared" si="102"/>
        <v>289902.77066084516</v>
      </c>
      <c r="AA55" s="44">
        <f t="shared" si="88"/>
        <v>0</v>
      </c>
      <c r="AB55" s="44">
        <f t="shared" si="103"/>
        <v>289902.77066084516</v>
      </c>
      <c r="AC55" s="28">
        <f t="shared" si="105"/>
        <v>4.7166073492816582E-2</v>
      </c>
    </row>
    <row r="56" spans="2:29" x14ac:dyDescent="0.4">
      <c r="B56" s="47" t="s">
        <v>47</v>
      </c>
      <c r="C56" s="48">
        <f t="shared" ref="C56:G56" si="107">C45*2090</f>
        <v>5268364.9652480008</v>
      </c>
      <c r="D56" s="48">
        <f t="shared" si="107"/>
        <v>7157647.4112000009</v>
      </c>
      <c r="E56" s="48">
        <f t="shared" si="107"/>
        <v>7339268.12602368</v>
      </c>
      <c r="F56" s="48">
        <f t="shared" si="107"/>
        <v>4741528.4687232012</v>
      </c>
      <c r="G56" s="48">
        <f t="shared" si="107"/>
        <v>7860955.0928832013</v>
      </c>
      <c r="H56" s="87" t="str">
        <f t="shared" si="90"/>
        <v>R454B</v>
      </c>
      <c r="I56" s="100">
        <v>0.6</v>
      </c>
      <c r="J56" s="87">
        <f t="shared" si="91"/>
        <v>12155575.697824046</v>
      </c>
      <c r="K56" s="48">
        <f t="shared" si="92"/>
        <v>11808726.740529146</v>
      </c>
      <c r="L56" s="48">
        <f t="shared" si="93"/>
        <v>346848.95729489962</v>
      </c>
      <c r="M56" s="105">
        <f t="shared" si="83"/>
        <v>2.3072766936244022</v>
      </c>
      <c r="N56" s="87">
        <f t="shared" si="94"/>
        <v>7177094.2417165041</v>
      </c>
      <c r="O56" s="48">
        <f t="shared" si="84"/>
        <v>6840917.5600306783</v>
      </c>
      <c r="P56" s="49">
        <f t="shared" si="95"/>
        <v>336176.68168582575</v>
      </c>
      <c r="Q56" s="87">
        <f t="shared" si="96"/>
        <v>6010853.1558743324</v>
      </c>
      <c r="R56" s="48">
        <f t="shared" si="85"/>
        <v>5314422.2734089661</v>
      </c>
      <c r="S56" s="48">
        <f t="shared" si="97"/>
        <v>696430.88246536592</v>
      </c>
      <c r="T56" s="87">
        <f t="shared" si="98"/>
        <v>5564185.0224686395</v>
      </c>
      <c r="U56" s="48">
        <f t="shared" si="86"/>
        <v>4650119.4892328465</v>
      </c>
      <c r="V56" s="49">
        <f t="shared" si="99"/>
        <v>914065.53323579289</v>
      </c>
      <c r="W56" s="48">
        <f t="shared" si="100"/>
        <v>4390326.998705456</v>
      </c>
      <c r="X56" s="48">
        <f t="shared" si="87"/>
        <v>3009837.6146061928</v>
      </c>
      <c r="Y56" s="48">
        <f t="shared" si="101"/>
        <v>1380489.3840992628</v>
      </c>
      <c r="Z56" s="87">
        <f t="shared" si="102"/>
        <v>1987904.7131029386</v>
      </c>
      <c r="AA56" s="48">
        <f t="shared" si="88"/>
        <v>0</v>
      </c>
      <c r="AB56" s="48">
        <f t="shared" si="103"/>
        <v>1987904.7131029386</v>
      </c>
      <c r="AC56" s="147">
        <f t="shared" si="105"/>
        <v>0.37732858794253271</v>
      </c>
    </row>
    <row r="57" spans="2:29" x14ac:dyDescent="0.4">
      <c r="B57" s="47" t="s">
        <v>50</v>
      </c>
      <c r="C57" s="48">
        <f t="shared" ref="C57:G57" si="108">C46*2090</f>
        <v>6585456.2065600017</v>
      </c>
      <c r="D57" s="48">
        <f t="shared" si="108"/>
        <v>3634742.8259999999</v>
      </c>
      <c r="E57" s="48">
        <f t="shared" si="108"/>
        <v>3726972.0952463998</v>
      </c>
      <c r="F57" s="48">
        <f t="shared" si="108"/>
        <v>5926910.5859040022</v>
      </c>
      <c r="G57" s="48">
        <f t="shared" si="108"/>
        <v>3991891.2581047504</v>
      </c>
      <c r="H57" s="87" t="str">
        <f t="shared" si="90"/>
        <v>R454B</v>
      </c>
      <c r="I57" s="100">
        <v>0.8</v>
      </c>
      <c r="J57" s="87">
        <f t="shared" si="91"/>
        <v>4938202.6272410192</v>
      </c>
      <c r="K57" s="48">
        <f t="shared" si="92"/>
        <v>4797295.2383399662</v>
      </c>
      <c r="L57" s="48">
        <f t="shared" si="93"/>
        <v>140907.38890105297</v>
      </c>
      <c r="M57" s="105">
        <f t="shared" si="83"/>
        <v>0.74986492542793071</v>
      </c>
      <c r="N57" s="87">
        <f t="shared" si="94"/>
        <v>3644618.1696216622</v>
      </c>
      <c r="O57" s="48">
        <f t="shared" si="84"/>
        <v>3473903.448453079</v>
      </c>
      <c r="P57" s="49">
        <f t="shared" si="95"/>
        <v>170714.7211685834</v>
      </c>
      <c r="Q57" s="87">
        <f t="shared" si="96"/>
        <v>3052386.3682174357</v>
      </c>
      <c r="R57" s="48">
        <f t="shared" si="85"/>
        <v>2698730.0607154919</v>
      </c>
      <c r="S57" s="48">
        <f t="shared" si="97"/>
        <v>353656.30750194372</v>
      </c>
      <c r="T57" s="87">
        <f t="shared" si="98"/>
        <v>2825562.7067223564</v>
      </c>
      <c r="U57" s="48">
        <f t="shared" si="86"/>
        <v>2361388.8031260553</v>
      </c>
      <c r="V57" s="49">
        <f t="shared" si="99"/>
        <v>464173.90359630116</v>
      </c>
      <c r="W57" s="48">
        <f t="shared" si="100"/>
        <v>4390326.998705456</v>
      </c>
      <c r="X57" s="48">
        <f t="shared" si="87"/>
        <v>3009837.6146061928</v>
      </c>
      <c r="Y57" s="48">
        <f t="shared" si="101"/>
        <v>1380489.3840992628</v>
      </c>
      <c r="Z57" s="87">
        <f t="shared" si="102"/>
        <v>1009482.862122586</v>
      </c>
      <c r="AA57" s="48">
        <f t="shared" si="88"/>
        <v>0</v>
      </c>
      <c r="AB57" s="48">
        <f t="shared" si="103"/>
        <v>1009482.862122586</v>
      </c>
      <c r="AC57" s="147">
        <f t="shared" si="105"/>
        <v>0.1532897388516539</v>
      </c>
    </row>
    <row r="58" spans="2:29" ht="15.6" thickBot="1" x14ac:dyDescent="0.45">
      <c r="B58" s="47" t="s">
        <v>52</v>
      </c>
      <c r="C58" s="48">
        <f t="shared" ref="C58:G58" si="109">C47*2090</f>
        <v>6585456.2065600017</v>
      </c>
      <c r="D58" s="48">
        <f t="shared" si="109"/>
        <v>2236764.8160000001</v>
      </c>
      <c r="E58" s="48">
        <f t="shared" si="109"/>
        <v>2293521.2893824005</v>
      </c>
      <c r="F58" s="48">
        <f t="shared" si="109"/>
        <v>5926910.5859040022</v>
      </c>
      <c r="G58" s="48">
        <f t="shared" si="109"/>
        <v>2456548.4665260003</v>
      </c>
      <c r="H58" s="87" t="str">
        <f t="shared" si="90"/>
        <v>R454B</v>
      </c>
      <c r="I58" s="100">
        <v>0.75</v>
      </c>
      <c r="J58" s="87">
        <f t="shared" si="91"/>
        <v>3038893.9244560115</v>
      </c>
      <c r="K58" s="48">
        <f t="shared" si="92"/>
        <v>2952181.6851322865</v>
      </c>
      <c r="L58" s="48">
        <f t="shared" si="93"/>
        <v>86712.239323724905</v>
      </c>
      <c r="M58" s="105">
        <f t="shared" si="83"/>
        <v>0.46145533872488037</v>
      </c>
      <c r="N58" s="87">
        <f t="shared" si="94"/>
        <v>2242841.9505364075</v>
      </c>
      <c r="O58" s="48">
        <f t="shared" si="84"/>
        <v>2137786.7375095868</v>
      </c>
      <c r="P58" s="49">
        <f t="shared" si="95"/>
        <v>105055.21302682055</v>
      </c>
      <c r="Q58" s="87">
        <f t="shared" si="96"/>
        <v>1878391.6112107295</v>
      </c>
      <c r="R58" s="48">
        <f t="shared" si="85"/>
        <v>1660756.9604403025</v>
      </c>
      <c r="S58" s="48">
        <f t="shared" si="97"/>
        <v>217634.6507704269</v>
      </c>
      <c r="T58" s="87">
        <f t="shared" si="98"/>
        <v>1738807.8195214497</v>
      </c>
      <c r="U58" s="48">
        <f t="shared" si="86"/>
        <v>1453162.3403852645</v>
      </c>
      <c r="V58" s="49">
        <f t="shared" si="99"/>
        <v>285645.47913618525</v>
      </c>
      <c r="W58" s="48">
        <f t="shared" si="100"/>
        <v>4390326.998705456</v>
      </c>
      <c r="X58" s="48">
        <f t="shared" si="87"/>
        <v>3009837.6146061928</v>
      </c>
      <c r="Y58" s="48">
        <f t="shared" si="101"/>
        <v>1380489.3840992628</v>
      </c>
      <c r="Z58" s="87">
        <f t="shared" si="102"/>
        <v>621220.2228446682</v>
      </c>
      <c r="AA58" s="48">
        <f t="shared" si="88"/>
        <v>0</v>
      </c>
      <c r="AB58" s="48">
        <f t="shared" si="103"/>
        <v>621220.2228446682</v>
      </c>
      <c r="AC58" s="147">
        <f t="shared" si="105"/>
        <v>9.433214698563315E-2</v>
      </c>
    </row>
    <row r="59" spans="2:29" ht="15.6" thickTop="1" x14ac:dyDescent="0.4">
      <c r="B59" s="159" t="s">
        <v>20</v>
      </c>
      <c r="C59" s="148">
        <f t="shared" ref="C59:G59" si="110">C48*2090</f>
        <v>57767159.706666671</v>
      </c>
      <c r="D59" s="148">
        <f t="shared" si="110"/>
        <v>47794120</v>
      </c>
      <c r="E59" s="148">
        <f t="shared" si="110"/>
        <v>49514708.32</v>
      </c>
      <c r="F59" s="148">
        <f t="shared" si="110"/>
        <v>51990443.736000001</v>
      </c>
      <c r="G59" s="148">
        <f t="shared" si="110"/>
        <v>54589965.922800012</v>
      </c>
      <c r="H59" s="52" t="str">
        <f t="shared" si="90"/>
        <v>R32</v>
      </c>
      <c r="I59" s="103" cm="1">
        <f t="array" ref="I59">SUM(D52:D58*I52:I58)/D59</f>
        <v>0.58447450000000001</v>
      </c>
      <c r="J59" s="148">
        <f>SUM(J52:J58)</f>
        <v>51366685.661541522</v>
      </c>
      <c r="K59" s="148">
        <f>SUM(K52:K58)</f>
        <v>49867933.870477818</v>
      </c>
      <c r="L59" s="155">
        <f>SUM(L53:L58)</f>
        <v>1083902.9915465612</v>
      </c>
      <c r="M59" s="134">
        <f t="shared" si="83"/>
        <v>0.88920220281513174</v>
      </c>
      <c r="N59" s="148">
        <f t="shared" ref="N59:AB59" si="111">SUM(N52:N58)</f>
        <v>37972114.907294579</v>
      </c>
      <c r="O59" s="148">
        <f t="shared" si="111"/>
        <v>36141114.43489743</v>
      </c>
      <c r="P59" s="155">
        <f t="shared" si="111"/>
        <v>1831000.472397147</v>
      </c>
      <c r="Q59" s="148">
        <f t="shared" si="111"/>
        <v>32455191.706516162</v>
      </c>
      <c r="R59" s="148">
        <f t="shared" si="111"/>
        <v>28588907.319689125</v>
      </c>
      <c r="S59" s="155">
        <f t="shared" si="111"/>
        <v>3866284.386827033</v>
      </c>
      <c r="T59" s="156">
        <f t="shared" si="111"/>
        <v>30089792.162438467</v>
      </c>
      <c r="U59" s="148">
        <f t="shared" si="111"/>
        <v>25015293.904727988</v>
      </c>
      <c r="V59" s="157">
        <f t="shared" si="111"/>
        <v>5074498.2577104811</v>
      </c>
      <c r="W59" s="148">
        <f t="shared" si="111"/>
        <v>35118484.863507807</v>
      </c>
      <c r="X59" s="148">
        <f t="shared" si="111"/>
        <v>23911487.716038089</v>
      </c>
      <c r="Y59" s="155">
        <f t="shared" si="111"/>
        <v>11206997.147469722</v>
      </c>
      <c r="Z59" s="156">
        <f t="shared" si="111"/>
        <v>23121587.519064069</v>
      </c>
      <c r="AA59" s="148">
        <f t="shared" si="111"/>
        <v>0</v>
      </c>
      <c r="AB59" s="155">
        <f t="shared" si="111"/>
        <v>23121587.519064069</v>
      </c>
      <c r="AC59" s="103">
        <f t="shared" si="105"/>
        <v>0.40025487900862988</v>
      </c>
    </row>
  </sheetData>
  <mergeCells count="42">
    <mergeCell ref="Z38:AB38"/>
    <mergeCell ref="J51:L51"/>
    <mergeCell ref="N51:P51"/>
    <mergeCell ref="Q51:S51"/>
    <mergeCell ref="T51:V51"/>
    <mergeCell ref="W51:Y51"/>
    <mergeCell ref="Z51:AB51"/>
    <mergeCell ref="T38:V38"/>
    <mergeCell ref="I38:I39"/>
    <mergeCell ref="J38:L38"/>
    <mergeCell ref="N38:P38"/>
    <mergeCell ref="Q38:S38"/>
    <mergeCell ref="W38:Y38"/>
    <mergeCell ref="B38:B39"/>
    <mergeCell ref="C38:C39"/>
    <mergeCell ref="D38:D39"/>
    <mergeCell ref="E38:E39"/>
    <mergeCell ref="F38:F39"/>
    <mergeCell ref="G38:G39"/>
    <mergeCell ref="W14:Y14"/>
    <mergeCell ref="Z14:AB14"/>
    <mergeCell ref="J27:L27"/>
    <mergeCell ref="N27:P27"/>
    <mergeCell ref="Q27:S27"/>
    <mergeCell ref="T27:V27"/>
    <mergeCell ref="W27:Y27"/>
    <mergeCell ref="Z27:AB27"/>
    <mergeCell ref="H14:H15"/>
    <mergeCell ref="I14:I15"/>
    <mergeCell ref="J14:L14"/>
    <mergeCell ref="N14:P14"/>
    <mergeCell ref="Q14:S14"/>
    <mergeCell ref="T14:V14"/>
    <mergeCell ref="H38:H39"/>
    <mergeCell ref="B3:B5"/>
    <mergeCell ref="F12:G12"/>
    <mergeCell ref="B14:B15"/>
    <mergeCell ref="C14:C15"/>
    <mergeCell ref="D14:D15"/>
    <mergeCell ref="E14:E15"/>
    <mergeCell ref="F14:F15"/>
    <mergeCell ref="G14:G15"/>
  </mergeCells>
  <phoneticPr fontId="2"/>
  <conditionalFormatting sqref="B17:H17 J17:P17 J28:P28 AC28">
    <cfRule type="expression" dxfId="442" priority="227">
      <formula>$H$17="R454B"</formula>
    </cfRule>
    <cfRule type="expression" dxfId="441" priority="228">
      <formula>$H$17="R32"</formula>
    </cfRule>
  </conditionalFormatting>
  <conditionalFormatting sqref="B20:H20 J20:P20 J31:P31 AC31">
    <cfRule type="expression" dxfId="440" priority="229">
      <formula>$H$20=$H$17</formula>
    </cfRule>
    <cfRule type="expression" dxfId="439" priority="230">
      <formula>$H$20=$H$23</formula>
    </cfRule>
  </conditionalFormatting>
  <conditionalFormatting sqref="B18:H18 J18:P18 J29:P29 AC29">
    <cfRule type="expression" dxfId="438" priority="231">
      <formula>$H$18=$H$21</formula>
    </cfRule>
    <cfRule type="expression" dxfId="437" priority="232">
      <formula>$H$18=$H$17</formula>
    </cfRule>
  </conditionalFormatting>
  <conditionalFormatting sqref="B19:H19 J19:P19 J30:P30 AC30">
    <cfRule type="expression" dxfId="436" priority="233">
      <formula>$H$19=$H$23</formula>
    </cfRule>
    <cfRule type="expression" dxfId="435" priority="234">
      <formula>$H$19=$H$17</formula>
    </cfRule>
  </conditionalFormatting>
  <conditionalFormatting sqref="I17">
    <cfRule type="expression" dxfId="434" priority="225">
      <formula>$G$16="R454B"</formula>
    </cfRule>
    <cfRule type="expression" dxfId="433" priority="226">
      <formula>$G$16="R32"</formula>
    </cfRule>
  </conditionalFormatting>
  <conditionalFormatting sqref="I18">
    <cfRule type="expression" dxfId="432" priority="223">
      <formula>$H$18=$H$21</formula>
    </cfRule>
    <cfRule type="expression" dxfId="431" priority="224">
      <formula>$H$18=$H$17</formula>
    </cfRule>
  </conditionalFormatting>
  <conditionalFormatting sqref="T18:V18">
    <cfRule type="expression" dxfId="430" priority="211">
      <formula>$H$18=$H$21</formula>
    </cfRule>
    <cfRule type="expression" dxfId="429" priority="212">
      <formula>$H$18=$H$17</formula>
    </cfRule>
  </conditionalFormatting>
  <conditionalFormatting sqref="Q17:S17">
    <cfRule type="expression" dxfId="428" priority="215">
      <formula>$H$17="R454B"</formula>
    </cfRule>
    <cfRule type="expression" dxfId="427" priority="216">
      <formula>$H$17="R32"</formula>
    </cfRule>
  </conditionalFormatting>
  <conditionalFormatting sqref="Q20:S20">
    <cfRule type="expression" dxfId="426" priority="217">
      <formula>$H$20=$H$17</formula>
    </cfRule>
    <cfRule type="expression" dxfId="425" priority="218">
      <formula>$H$20=$H$23</formula>
    </cfRule>
  </conditionalFormatting>
  <conditionalFormatting sqref="Q18:S18">
    <cfRule type="expression" dxfId="424" priority="219">
      <formula>$H$18=$H$21</formula>
    </cfRule>
    <cfRule type="expression" dxfId="423" priority="220">
      <formula>$H$18=$H$17</formula>
    </cfRule>
  </conditionalFormatting>
  <conditionalFormatting sqref="Q19:S19">
    <cfRule type="expression" dxfId="422" priority="221">
      <formula>$H$19=$H$23</formula>
    </cfRule>
    <cfRule type="expression" dxfId="421" priority="222">
      <formula>$H$19=$H$17</formula>
    </cfRule>
  </conditionalFormatting>
  <conditionalFormatting sqref="T17:V17">
    <cfRule type="expression" dxfId="420" priority="207">
      <formula>$H$17="R454B"</formula>
    </cfRule>
    <cfRule type="expression" dxfId="419" priority="208">
      <formula>$H$17="R32"</formula>
    </cfRule>
  </conditionalFormatting>
  <conditionalFormatting sqref="T20:V20">
    <cfRule type="expression" dxfId="418" priority="209">
      <formula>$H$20=$H$17</formula>
    </cfRule>
    <cfRule type="expression" dxfId="417" priority="210">
      <formula>$H$20=$H$23</formula>
    </cfRule>
  </conditionalFormatting>
  <conditionalFormatting sqref="T19:V19">
    <cfRule type="expression" dxfId="416" priority="213">
      <formula>$H$19=$H$23</formula>
    </cfRule>
    <cfRule type="expression" dxfId="415" priority="214">
      <formula>$H$19=$H$17</formula>
    </cfRule>
  </conditionalFormatting>
  <conditionalFormatting sqref="W17:Y17">
    <cfRule type="expression" dxfId="414" priority="199">
      <formula>$H$17="R454B"</formula>
    </cfRule>
    <cfRule type="expression" dxfId="413" priority="200">
      <formula>$H$17="R32"</formula>
    </cfRule>
  </conditionalFormatting>
  <conditionalFormatting sqref="W20:Y20">
    <cfRule type="expression" dxfId="412" priority="201">
      <formula>$H$20=$H$17</formula>
    </cfRule>
    <cfRule type="expression" dxfId="411" priority="202">
      <formula>$H$20=$H$23</formula>
    </cfRule>
  </conditionalFormatting>
  <conditionalFormatting sqref="W18:Y18">
    <cfRule type="expression" dxfId="410" priority="203">
      <formula>$H$18=$H$21</formula>
    </cfRule>
    <cfRule type="expression" dxfId="409" priority="204">
      <formula>$H$18=$H$17</formula>
    </cfRule>
  </conditionalFormatting>
  <conditionalFormatting sqref="W19:Y19">
    <cfRule type="expression" dxfId="408" priority="205">
      <formula>$H$19=$H$23</formula>
    </cfRule>
    <cfRule type="expression" dxfId="407" priority="206">
      <formula>$H$19=$H$17</formula>
    </cfRule>
  </conditionalFormatting>
  <conditionalFormatting sqref="Z17:AB17">
    <cfRule type="expression" dxfId="406" priority="191">
      <formula>$H$17="R454B"</formula>
    </cfRule>
    <cfRule type="expression" dxfId="405" priority="192">
      <formula>$H$17="R32"</formula>
    </cfRule>
  </conditionalFormatting>
  <conditionalFormatting sqref="Z20:AB20">
    <cfRule type="expression" dxfId="404" priority="193">
      <formula>$H$20=$H$17</formula>
    </cfRule>
    <cfRule type="expression" dxfId="403" priority="194">
      <formula>$H$20=$H$23</formula>
    </cfRule>
  </conditionalFormatting>
  <conditionalFormatting sqref="Z18:AB18">
    <cfRule type="expression" dxfId="402" priority="195">
      <formula>$H$18=$H$21</formula>
    </cfRule>
    <cfRule type="expression" dxfId="401" priority="196">
      <formula>$H$18=$H$17</formula>
    </cfRule>
  </conditionalFormatting>
  <conditionalFormatting sqref="Z19:AB19">
    <cfRule type="expression" dxfId="400" priority="197">
      <formula>$H$19=$H$23</formula>
    </cfRule>
    <cfRule type="expression" dxfId="399" priority="198">
      <formula>$H$19=$H$17</formula>
    </cfRule>
  </conditionalFormatting>
  <conditionalFormatting sqref="I19">
    <cfRule type="expression" dxfId="398" priority="189">
      <formula>$H$19=$H$23</formula>
    </cfRule>
    <cfRule type="expression" dxfId="397" priority="190">
      <formula>$H$19=$H$17</formula>
    </cfRule>
  </conditionalFormatting>
  <conditionalFormatting sqref="I20">
    <cfRule type="expression" dxfId="396" priority="187">
      <formula>$H$20=$H$17</formula>
    </cfRule>
    <cfRule type="expression" dxfId="395" priority="188">
      <formula>$H$20=$H$23</formula>
    </cfRule>
  </conditionalFormatting>
  <conditionalFormatting sqref="B28:F28 H28">
    <cfRule type="expression" dxfId="394" priority="179">
      <formula>$H$17="R454B"</formula>
    </cfRule>
    <cfRule type="expression" dxfId="393" priority="180">
      <formula>$H$17="R32"</formula>
    </cfRule>
  </conditionalFormatting>
  <conditionalFormatting sqref="B31:F31 H31">
    <cfRule type="expression" dxfId="392" priority="181">
      <formula>$H$20=$H$17</formula>
    </cfRule>
    <cfRule type="expression" dxfId="391" priority="182">
      <formula>$H$20=$H$23</formula>
    </cfRule>
  </conditionalFormatting>
  <conditionalFormatting sqref="B29:F29 H29">
    <cfRule type="expression" dxfId="390" priority="183">
      <formula>$H$18=$H$21</formula>
    </cfRule>
    <cfRule type="expression" dxfId="389" priority="184">
      <formula>$H$18=$H$17</formula>
    </cfRule>
  </conditionalFormatting>
  <conditionalFormatting sqref="B30:F30 H30">
    <cfRule type="expression" dxfId="388" priority="185">
      <formula>$H$19=$H$23</formula>
    </cfRule>
    <cfRule type="expression" dxfId="387" priority="186">
      <formula>$H$19=$H$17</formula>
    </cfRule>
  </conditionalFormatting>
  <conditionalFormatting sqref="I28">
    <cfRule type="expression" dxfId="386" priority="177">
      <formula>$G$16="R454B"</formula>
    </cfRule>
    <cfRule type="expression" dxfId="385" priority="178">
      <formula>$G$16="R32"</formula>
    </cfRule>
  </conditionalFormatting>
  <conditionalFormatting sqref="I29">
    <cfRule type="expression" dxfId="384" priority="175">
      <formula>$H$18=$H$21</formula>
    </cfRule>
    <cfRule type="expression" dxfId="383" priority="176">
      <formula>$H$18=$H$17</formula>
    </cfRule>
  </conditionalFormatting>
  <conditionalFormatting sqref="T29:V29">
    <cfRule type="expression" dxfId="382" priority="163">
      <formula>$H$18=$H$21</formula>
    </cfRule>
    <cfRule type="expression" dxfId="381" priority="164">
      <formula>$H$18=$H$17</formula>
    </cfRule>
  </conditionalFormatting>
  <conditionalFormatting sqref="Q28:S28">
    <cfRule type="expression" dxfId="380" priority="167">
      <formula>$H$17="R454B"</formula>
    </cfRule>
    <cfRule type="expression" dxfId="379" priority="168">
      <formula>$H$17="R32"</formula>
    </cfRule>
  </conditionalFormatting>
  <conditionalFormatting sqref="Q31:S31">
    <cfRule type="expression" dxfId="378" priority="169">
      <formula>$H$20=$H$17</formula>
    </cfRule>
    <cfRule type="expression" dxfId="377" priority="170">
      <formula>$H$20=$H$23</formula>
    </cfRule>
  </conditionalFormatting>
  <conditionalFormatting sqref="Q29:S29">
    <cfRule type="expression" dxfId="376" priority="171">
      <formula>$H$18=$H$21</formula>
    </cfRule>
    <cfRule type="expression" dxfId="375" priority="172">
      <formula>$H$18=$H$17</formula>
    </cfRule>
  </conditionalFormatting>
  <conditionalFormatting sqref="Q30:S30">
    <cfRule type="expression" dxfId="374" priority="173">
      <formula>$H$19=$H$23</formula>
    </cfRule>
    <cfRule type="expression" dxfId="373" priority="174">
      <formula>$H$19=$H$17</formula>
    </cfRule>
  </conditionalFormatting>
  <conditionalFormatting sqref="T28:V28">
    <cfRule type="expression" dxfId="372" priority="159">
      <formula>$H$17="R454B"</formula>
    </cfRule>
    <cfRule type="expression" dxfId="371" priority="160">
      <formula>$H$17="R32"</formula>
    </cfRule>
  </conditionalFormatting>
  <conditionalFormatting sqref="T31:V31">
    <cfRule type="expression" dxfId="370" priority="161">
      <formula>$H$20=$H$17</formula>
    </cfRule>
    <cfRule type="expression" dxfId="369" priority="162">
      <formula>$H$20=$H$23</formula>
    </cfRule>
  </conditionalFormatting>
  <conditionalFormatting sqref="T30:V30">
    <cfRule type="expression" dxfId="368" priority="165">
      <formula>$H$19=$H$23</formula>
    </cfRule>
    <cfRule type="expression" dxfId="367" priority="166">
      <formula>$H$19=$H$17</formula>
    </cfRule>
  </conditionalFormatting>
  <conditionalFormatting sqref="W28:Y28">
    <cfRule type="expression" dxfId="366" priority="151">
      <formula>$H$17="R454B"</formula>
    </cfRule>
    <cfRule type="expression" dxfId="365" priority="152">
      <formula>$H$17="R32"</formula>
    </cfRule>
  </conditionalFormatting>
  <conditionalFormatting sqref="W31:Y31">
    <cfRule type="expression" dxfId="364" priority="153">
      <formula>$H$20=$H$17</formula>
    </cfRule>
    <cfRule type="expression" dxfId="363" priority="154">
      <formula>$H$20=$H$23</formula>
    </cfRule>
  </conditionalFormatting>
  <conditionalFormatting sqref="W29:Y29">
    <cfRule type="expression" dxfId="362" priority="155">
      <formula>$H$18=$H$21</formula>
    </cfRule>
    <cfRule type="expression" dxfId="361" priority="156">
      <formula>$H$18=$H$17</formula>
    </cfRule>
  </conditionalFormatting>
  <conditionalFormatting sqref="W30:Y30">
    <cfRule type="expression" dxfId="360" priority="157">
      <formula>$H$19=$H$23</formula>
    </cfRule>
    <cfRule type="expression" dxfId="359" priority="158">
      <formula>$H$19=$H$17</formula>
    </cfRule>
  </conditionalFormatting>
  <conditionalFormatting sqref="Z28:AB28">
    <cfRule type="expression" dxfId="358" priority="143">
      <formula>$H$17="R454B"</formula>
    </cfRule>
    <cfRule type="expression" dxfId="357" priority="144">
      <formula>$H$17="R32"</formula>
    </cfRule>
  </conditionalFormatting>
  <conditionalFormatting sqref="Z31:AB31">
    <cfRule type="expression" dxfId="356" priority="145">
      <formula>$H$20=$H$17</formula>
    </cfRule>
    <cfRule type="expression" dxfId="355" priority="146">
      <formula>$H$20=$H$23</formula>
    </cfRule>
  </conditionalFormatting>
  <conditionalFormatting sqref="Z29:AB29">
    <cfRule type="expression" dxfId="354" priority="147">
      <formula>$H$18=$H$21</formula>
    </cfRule>
    <cfRule type="expression" dxfId="353" priority="148">
      <formula>$H$18=$H$17</formula>
    </cfRule>
  </conditionalFormatting>
  <conditionalFormatting sqref="Z30:AB30">
    <cfRule type="expression" dxfId="352" priority="149">
      <formula>$H$19=$H$23</formula>
    </cfRule>
    <cfRule type="expression" dxfId="351" priority="150">
      <formula>$H$19=$H$17</formula>
    </cfRule>
  </conditionalFormatting>
  <conditionalFormatting sqref="I30">
    <cfRule type="expression" dxfId="350" priority="141">
      <formula>$H$19=$H$23</formula>
    </cfRule>
    <cfRule type="expression" dxfId="349" priority="142">
      <formula>$H$19=$H$17</formula>
    </cfRule>
  </conditionalFormatting>
  <conditionalFormatting sqref="I31">
    <cfRule type="expression" dxfId="348" priority="139">
      <formula>$H$20=$H$17</formula>
    </cfRule>
    <cfRule type="expression" dxfId="347" priority="140">
      <formula>$H$20=$H$23</formula>
    </cfRule>
  </conditionalFormatting>
  <conditionalFormatting sqref="M28">
    <cfRule type="expression" dxfId="346" priority="138">
      <formula>$M$28&gt;60%</formula>
    </cfRule>
  </conditionalFormatting>
  <conditionalFormatting sqref="M29">
    <cfRule type="expression" dxfId="345" priority="137">
      <formula>$M$29:$M$35&gt;60%</formula>
    </cfRule>
  </conditionalFormatting>
  <conditionalFormatting sqref="M30">
    <cfRule type="expression" dxfId="344" priority="136">
      <formula>$M$30&gt;60%</formula>
    </cfRule>
  </conditionalFormatting>
  <conditionalFormatting sqref="M31">
    <cfRule type="expression" dxfId="343" priority="135">
      <formula>$M$31&gt;60%</formula>
    </cfRule>
  </conditionalFormatting>
  <conditionalFormatting sqref="M32">
    <cfRule type="expression" dxfId="342" priority="134">
      <formula>$M$32&gt;60%</formula>
    </cfRule>
  </conditionalFormatting>
  <conditionalFormatting sqref="M33">
    <cfRule type="expression" dxfId="341" priority="133">
      <formula>$M$33&gt;60%</formula>
    </cfRule>
  </conditionalFormatting>
  <conditionalFormatting sqref="M34">
    <cfRule type="expression" dxfId="340" priority="132">
      <formula>$M$34&gt;60%</formula>
    </cfRule>
  </conditionalFormatting>
  <conditionalFormatting sqref="AC17">
    <cfRule type="expression" dxfId="339" priority="124">
      <formula>$H$17="R454B"</formula>
    </cfRule>
    <cfRule type="expression" dxfId="338" priority="125">
      <formula>$H$17="R32"</formula>
    </cfRule>
  </conditionalFormatting>
  <conditionalFormatting sqref="AC20">
    <cfRule type="expression" dxfId="337" priority="126">
      <formula>$H$20=$H$17</formula>
    </cfRule>
    <cfRule type="expression" dxfId="336" priority="127">
      <formula>$H$20=$H$23</formula>
    </cfRule>
  </conditionalFormatting>
  <conditionalFormatting sqref="AC18">
    <cfRule type="expression" dxfId="335" priority="128">
      <formula>$H$18=$H$21</formula>
    </cfRule>
    <cfRule type="expression" dxfId="334" priority="129">
      <formula>$H$18=$H$17</formula>
    </cfRule>
  </conditionalFormatting>
  <conditionalFormatting sqref="AC19">
    <cfRule type="expression" dxfId="333" priority="130">
      <formula>$H$19=$H$23</formula>
    </cfRule>
    <cfRule type="expression" dxfId="332" priority="131">
      <formula>$H$19=$H$17</formula>
    </cfRule>
  </conditionalFormatting>
  <conditionalFormatting sqref="AC28">
    <cfRule type="expression" dxfId="331" priority="123">
      <formula>$AC$28&gt;30%</formula>
    </cfRule>
  </conditionalFormatting>
  <conditionalFormatting sqref="AC29:AC35">
    <cfRule type="expression" dxfId="330" priority="122">
      <formula>"&gt;30%"</formula>
    </cfRule>
  </conditionalFormatting>
  <conditionalFormatting sqref="B41:H41 J41:P41 J52:P52 AC52">
    <cfRule type="expression" dxfId="329" priority="114">
      <formula>$H$17="R454B"</formula>
    </cfRule>
    <cfRule type="expression" dxfId="328" priority="115">
      <formula>$H$17="R32"</formula>
    </cfRule>
  </conditionalFormatting>
  <conditionalFormatting sqref="B44:H44 J44:P44 J55:P55 AC55">
    <cfRule type="expression" dxfId="327" priority="116">
      <formula>$H$20=$H$17</formula>
    </cfRule>
    <cfRule type="expression" dxfId="326" priority="117">
      <formula>$H$20=$H$23</formula>
    </cfRule>
  </conditionalFormatting>
  <conditionalFormatting sqref="B42:H42 J42:P42 J53:P53 AC53">
    <cfRule type="expression" dxfId="325" priority="118">
      <formula>$H$18=$H$21</formula>
    </cfRule>
    <cfRule type="expression" dxfId="324" priority="119">
      <formula>$H$18=$H$17</formula>
    </cfRule>
  </conditionalFormatting>
  <conditionalFormatting sqref="B43:H43 J43:P43 J54:P54 AC54">
    <cfRule type="expression" dxfId="323" priority="120">
      <formula>$H$19=$H$23</formula>
    </cfRule>
    <cfRule type="expression" dxfId="322" priority="121">
      <formula>$H$19=$H$17</formula>
    </cfRule>
  </conditionalFormatting>
  <conditionalFormatting sqref="I41">
    <cfRule type="expression" dxfId="321" priority="112">
      <formula>$G$16="R454B"</formula>
    </cfRule>
    <cfRule type="expression" dxfId="320" priority="113">
      <formula>$G$16="R32"</formula>
    </cfRule>
  </conditionalFormatting>
  <conditionalFormatting sqref="I42">
    <cfRule type="expression" dxfId="319" priority="110">
      <formula>$H$18=$H$21</formula>
    </cfRule>
    <cfRule type="expression" dxfId="318" priority="111">
      <formula>$H$18=$H$17</formula>
    </cfRule>
  </conditionalFormatting>
  <conditionalFormatting sqref="T42:V42">
    <cfRule type="expression" dxfId="317" priority="98">
      <formula>$H$18=$H$21</formula>
    </cfRule>
    <cfRule type="expression" dxfId="316" priority="99">
      <formula>$H$18=$H$17</formula>
    </cfRule>
  </conditionalFormatting>
  <conditionalFormatting sqref="Q41:S41">
    <cfRule type="expression" dxfId="315" priority="102">
      <formula>$H$17="R454B"</formula>
    </cfRule>
    <cfRule type="expression" dxfId="314" priority="103">
      <formula>$H$17="R32"</formula>
    </cfRule>
  </conditionalFormatting>
  <conditionalFormatting sqref="Q44:S44">
    <cfRule type="expression" dxfId="313" priority="104">
      <formula>$H$20=$H$17</formula>
    </cfRule>
    <cfRule type="expression" dxfId="312" priority="105">
      <formula>$H$20=$H$23</formula>
    </cfRule>
  </conditionalFormatting>
  <conditionalFormatting sqref="Q42:S42">
    <cfRule type="expression" dxfId="311" priority="106">
      <formula>$H$18=$H$21</formula>
    </cfRule>
    <cfRule type="expression" dxfId="310" priority="107">
      <formula>$H$18=$H$17</formula>
    </cfRule>
  </conditionalFormatting>
  <conditionalFormatting sqref="Q43:S43">
    <cfRule type="expression" dxfId="309" priority="108">
      <formula>$H$19=$H$23</formula>
    </cfRule>
    <cfRule type="expression" dxfId="308" priority="109">
      <formula>$H$19=$H$17</formula>
    </cfRule>
  </conditionalFormatting>
  <conditionalFormatting sqref="T41:V41">
    <cfRule type="expression" dxfId="307" priority="94">
      <formula>$H$17="R454B"</formula>
    </cfRule>
    <cfRule type="expression" dxfId="306" priority="95">
      <formula>$H$17="R32"</formula>
    </cfRule>
  </conditionalFormatting>
  <conditionalFormatting sqref="T44:V44">
    <cfRule type="expression" dxfId="305" priority="96">
      <formula>$H$20=$H$17</formula>
    </cfRule>
    <cfRule type="expression" dxfId="304" priority="97">
      <formula>$H$20=$H$23</formula>
    </cfRule>
  </conditionalFormatting>
  <conditionalFormatting sqref="T43:V43">
    <cfRule type="expression" dxfId="303" priority="100">
      <formula>$H$19=$H$23</formula>
    </cfRule>
    <cfRule type="expression" dxfId="302" priority="101">
      <formula>$H$19=$H$17</formula>
    </cfRule>
  </conditionalFormatting>
  <conditionalFormatting sqref="W41:Y41">
    <cfRule type="expression" dxfId="301" priority="86">
      <formula>$H$17="R454B"</formula>
    </cfRule>
    <cfRule type="expression" dxfId="300" priority="87">
      <formula>$H$17="R32"</formula>
    </cfRule>
  </conditionalFormatting>
  <conditionalFormatting sqref="W44:Y44">
    <cfRule type="expression" dxfId="299" priority="88">
      <formula>$H$20=$H$17</formula>
    </cfRule>
    <cfRule type="expression" dxfId="298" priority="89">
      <formula>$H$20=$H$23</formula>
    </cfRule>
  </conditionalFormatting>
  <conditionalFormatting sqref="W42:Y42">
    <cfRule type="expression" dxfId="297" priority="90">
      <formula>$H$18=$H$21</formula>
    </cfRule>
    <cfRule type="expression" dxfId="296" priority="91">
      <formula>$H$18=$H$17</formula>
    </cfRule>
  </conditionalFormatting>
  <conditionalFormatting sqref="W43:Y43">
    <cfRule type="expression" dxfId="295" priority="92">
      <formula>$H$19=$H$23</formula>
    </cfRule>
    <cfRule type="expression" dxfId="294" priority="93">
      <formula>$H$19=$H$17</formula>
    </cfRule>
  </conditionalFormatting>
  <conditionalFormatting sqref="Z41:AB41">
    <cfRule type="expression" dxfId="293" priority="78">
      <formula>$H$17="R454B"</formula>
    </cfRule>
    <cfRule type="expression" dxfId="292" priority="79">
      <formula>$H$17="R32"</formula>
    </cfRule>
  </conditionalFormatting>
  <conditionalFormatting sqref="Z44:AB44">
    <cfRule type="expression" dxfId="291" priority="80">
      <formula>$H$20=$H$17</formula>
    </cfRule>
    <cfRule type="expression" dxfId="290" priority="81">
      <formula>$H$20=$H$23</formula>
    </cfRule>
  </conditionalFormatting>
  <conditionalFormatting sqref="Z42:AB42">
    <cfRule type="expression" dxfId="289" priority="82">
      <formula>$H$18=$H$21</formula>
    </cfRule>
    <cfRule type="expression" dxfId="288" priority="83">
      <formula>$H$18=$H$17</formula>
    </cfRule>
  </conditionalFormatting>
  <conditionalFormatting sqref="Z43:AB43">
    <cfRule type="expression" dxfId="287" priority="84">
      <formula>$H$19=$H$23</formula>
    </cfRule>
    <cfRule type="expression" dxfId="286" priority="85">
      <formula>$H$19=$H$17</formula>
    </cfRule>
  </conditionalFormatting>
  <conditionalFormatting sqref="I43">
    <cfRule type="expression" dxfId="285" priority="76">
      <formula>$H$19=$H$23</formula>
    </cfRule>
    <cfRule type="expression" dxfId="284" priority="77">
      <formula>$H$19=$H$17</formula>
    </cfRule>
  </conditionalFormatting>
  <conditionalFormatting sqref="I44">
    <cfRule type="expression" dxfId="283" priority="74">
      <formula>$H$20=$H$17</formula>
    </cfRule>
    <cfRule type="expression" dxfId="282" priority="75">
      <formula>$H$20=$H$23</formula>
    </cfRule>
  </conditionalFormatting>
  <conditionalFormatting sqref="B52:H52">
    <cfRule type="expression" dxfId="281" priority="66">
      <formula>$H$17="R454B"</formula>
    </cfRule>
    <cfRule type="expression" dxfId="280" priority="67">
      <formula>$H$17="R32"</formula>
    </cfRule>
  </conditionalFormatting>
  <conditionalFormatting sqref="B55:H55">
    <cfRule type="expression" dxfId="279" priority="68">
      <formula>$H$20=$H$17</formula>
    </cfRule>
    <cfRule type="expression" dxfId="278" priority="69">
      <formula>$H$20=$H$23</formula>
    </cfRule>
  </conditionalFormatting>
  <conditionalFormatting sqref="B53:H53">
    <cfRule type="expression" dxfId="277" priority="70">
      <formula>$H$18=$H$21</formula>
    </cfRule>
    <cfRule type="expression" dxfId="276" priority="71">
      <formula>$H$18=$H$17</formula>
    </cfRule>
  </conditionalFormatting>
  <conditionalFormatting sqref="B54:H54">
    <cfRule type="expression" dxfId="275" priority="72">
      <formula>$H$19=$H$23</formula>
    </cfRule>
    <cfRule type="expression" dxfId="274" priority="73">
      <formula>$H$19=$H$17</formula>
    </cfRule>
  </conditionalFormatting>
  <conditionalFormatting sqref="I52">
    <cfRule type="expression" dxfId="273" priority="64">
      <formula>$G$16="R454B"</formula>
    </cfRule>
    <cfRule type="expression" dxfId="272" priority="65">
      <formula>$G$16="R32"</formula>
    </cfRule>
  </conditionalFormatting>
  <conditionalFormatting sqref="I53">
    <cfRule type="expression" dxfId="271" priority="62">
      <formula>$H$18=$H$21</formula>
    </cfRule>
    <cfRule type="expression" dxfId="270" priority="63">
      <formula>$H$18=$H$17</formula>
    </cfRule>
  </conditionalFormatting>
  <conditionalFormatting sqref="T53:V53">
    <cfRule type="expression" dxfId="269" priority="50">
      <formula>$H$18=$H$21</formula>
    </cfRule>
    <cfRule type="expression" dxfId="268" priority="51">
      <formula>$H$18=$H$17</formula>
    </cfRule>
  </conditionalFormatting>
  <conditionalFormatting sqref="Q52:S52">
    <cfRule type="expression" dxfId="267" priority="54">
      <formula>$H$17="R454B"</formula>
    </cfRule>
    <cfRule type="expression" dxfId="266" priority="55">
      <formula>$H$17="R32"</formula>
    </cfRule>
  </conditionalFormatting>
  <conditionalFormatting sqref="Q55:S55">
    <cfRule type="expression" dxfId="265" priority="56">
      <formula>$H$20=$H$17</formula>
    </cfRule>
    <cfRule type="expression" dxfId="264" priority="57">
      <formula>$H$20=$H$23</formula>
    </cfRule>
  </conditionalFormatting>
  <conditionalFormatting sqref="Q53:S53">
    <cfRule type="expression" dxfId="263" priority="58">
      <formula>$H$18=$H$21</formula>
    </cfRule>
    <cfRule type="expression" dxfId="262" priority="59">
      <formula>$H$18=$H$17</formula>
    </cfRule>
  </conditionalFormatting>
  <conditionalFormatting sqref="Q54:S54">
    <cfRule type="expression" dxfId="261" priority="60">
      <formula>$H$19=$H$23</formula>
    </cfRule>
    <cfRule type="expression" dxfId="260" priority="61">
      <formula>$H$19=$H$17</formula>
    </cfRule>
  </conditionalFormatting>
  <conditionalFormatting sqref="T52:V52">
    <cfRule type="expression" dxfId="259" priority="46">
      <formula>$H$17="R454B"</formula>
    </cfRule>
    <cfRule type="expression" dxfId="258" priority="47">
      <formula>$H$17="R32"</formula>
    </cfRule>
  </conditionalFormatting>
  <conditionalFormatting sqref="T55:V55">
    <cfRule type="expression" dxfId="257" priority="48">
      <formula>$H$20=$H$17</formula>
    </cfRule>
    <cfRule type="expression" dxfId="256" priority="49">
      <formula>$H$20=$H$23</formula>
    </cfRule>
  </conditionalFormatting>
  <conditionalFormatting sqref="T54:V54">
    <cfRule type="expression" dxfId="255" priority="52">
      <formula>$H$19=$H$23</formula>
    </cfRule>
    <cfRule type="expression" dxfId="254" priority="53">
      <formula>$H$19=$H$17</formula>
    </cfRule>
  </conditionalFormatting>
  <conditionalFormatting sqref="W52:Y52">
    <cfRule type="expression" dxfId="253" priority="38">
      <formula>$H$17="R454B"</formula>
    </cfRule>
    <cfRule type="expression" dxfId="252" priority="39">
      <formula>$H$17="R32"</formula>
    </cfRule>
  </conditionalFormatting>
  <conditionalFormatting sqref="W55:Y55">
    <cfRule type="expression" dxfId="251" priority="40">
      <formula>$H$20=$H$17</formula>
    </cfRule>
    <cfRule type="expression" dxfId="250" priority="41">
      <formula>$H$20=$H$23</formula>
    </cfRule>
  </conditionalFormatting>
  <conditionalFormatting sqref="W53:Y53">
    <cfRule type="expression" dxfId="249" priority="42">
      <formula>$H$18=$H$21</formula>
    </cfRule>
    <cfRule type="expression" dxfId="248" priority="43">
      <formula>$H$18=$H$17</formula>
    </cfRule>
  </conditionalFormatting>
  <conditionalFormatting sqref="W54:Y54">
    <cfRule type="expression" dxfId="247" priority="44">
      <formula>$H$19=$H$23</formula>
    </cfRule>
    <cfRule type="expression" dxfId="246" priority="45">
      <formula>$H$19=$H$17</formula>
    </cfRule>
  </conditionalFormatting>
  <conditionalFormatting sqref="Z52:AB52">
    <cfRule type="expression" dxfId="245" priority="30">
      <formula>$H$17="R454B"</formula>
    </cfRule>
    <cfRule type="expression" dxfId="244" priority="31">
      <formula>$H$17="R32"</formula>
    </cfRule>
  </conditionalFormatting>
  <conditionalFormatting sqref="Z55:AB55">
    <cfRule type="expression" dxfId="243" priority="32">
      <formula>$H$20=$H$17</formula>
    </cfRule>
    <cfRule type="expression" dxfId="242" priority="33">
      <formula>$H$20=$H$23</formula>
    </cfRule>
  </conditionalFormatting>
  <conditionalFormatting sqref="Z53:AB53">
    <cfRule type="expression" dxfId="241" priority="34">
      <formula>$H$18=$H$21</formula>
    </cfRule>
    <cfRule type="expression" dxfId="240" priority="35">
      <formula>$H$18=$H$17</formula>
    </cfRule>
  </conditionalFormatting>
  <conditionalFormatting sqref="Z54:AB54">
    <cfRule type="expression" dxfId="239" priority="36">
      <formula>$H$19=$H$23</formula>
    </cfRule>
    <cfRule type="expression" dxfId="238" priority="37">
      <formula>$H$19=$H$17</formula>
    </cfRule>
  </conditionalFormatting>
  <conditionalFormatting sqref="I54">
    <cfRule type="expression" dxfId="237" priority="28">
      <formula>$H$19=$H$23</formula>
    </cfRule>
    <cfRule type="expression" dxfId="236" priority="29">
      <formula>$H$19=$H$17</formula>
    </cfRule>
  </conditionalFormatting>
  <conditionalFormatting sqref="I55">
    <cfRule type="expression" dxfId="235" priority="26">
      <formula>$H$20=$H$17</formula>
    </cfRule>
    <cfRule type="expression" dxfId="234" priority="27">
      <formula>$H$20=$H$23</formula>
    </cfRule>
  </conditionalFormatting>
  <conditionalFormatting sqref="M52">
    <cfRule type="expression" dxfId="233" priority="25">
      <formula>$M$28&gt;60%</formula>
    </cfRule>
  </conditionalFormatting>
  <conditionalFormatting sqref="M53">
    <cfRule type="expression" dxfId="232" priority="24">
      <formula>$M$29:$M$35&gt;60%</formula>
    </cfRule>
  </conditionalFormatting>
  <conditionalFormatting sqref="M54">
    <cfRule type="expression" dxfId="231" priority="23">
      <formula>$M$30&gt;60%</formula>
    </cfRule>
  </conditionalFormatting>
  <conditionalFormatting sqref="M55">
    <cfRule type="expression" dxfId="230" priority="22">
      <formula>$M$31&gt;60%</formula>
    </cfRule>
  </conditionalFormatting>
  <conditionalFormatting sqref="M56">
    <cfRule type="expression" dxfId="229" priority="21">
      <formula>$M$32&gt;60%</formula>
    </cfRule>
  </conditionalFormatting>
  <conditionalFormatting sqref="M57">
    <cfRule type="expression" dxfId="228" priority="20">
      <formula>$M$33&gt;60%</formula>
    </cfRule>
  </conditionalFormatting>
  <conditionalFormatting sqref="M58">
    <cfRule type="expression" dxfId="227" priority="19">
      <formula>$M$34&gt;60%</formula>
    </cfRule>
  </conditionalFormatting>
  <conditionalFormatting sqref="AC41">
    <cfRule type="expression" dxfId="226" priority="11">
      <formula>$H$17="R454B"</formula>
    </cfRule>
    <cfRule type="expression" dxfId="225" priority="12">
      <formula>$H$17="R32"</formula>
    </cfRule>
  </conditionalFormatting>
  <conditionalFormatting sqref="AC44">
    <cfRule type="expression" dxfId="224" priority="13">
      <formula>$H$20=$H$17</formula>
    </cfRule>
    <cfRule type="expression" dxfId="223" priority="14">
      <formula>$H$20=$H$23</formula>
    </cfRule>
  </conditionalFormatting>
  <conditionalFormatting sqref="AC42">
    <cfRule type="expression" dxfId="222" priority="15">
      <formula>$H$18=$H$21</formula>
    </cfRule>
    <cfRule type="expression" dxfId="221" priority="16">
      <formula>$H$18=$H$17</formula>
    </cfRule>
  </conditionalFormatting>
  <conditionalFormatting sqref="AC43">
    <cfRule type="expression" dxfId="220" priority="17">
      <formula>$H$19=$H$23</formula>
    </cfRule>
    <cfRule type="expression" dxfId="219" priority="18">
      <formula>$H$19=$H$17</formula>
    </cfRule>
  </conditionalFormatting>
  <conditionalFormatting sqref="AC52">
    <cfRule type="expression" dxfId="218" priority="10">
      <formula>$AC$28&gt;30%</formula>
    </cfRule>
  </conditionalFormatting>
  <conditionalFormatting sqref="AC53:AC59">
    <cfRule type="expression" dxfId="217" priority="9">
      <formula>"&gt;30%"</formula>
    </cfRule>
  </conditionalFormatting>
  <conditionalFormatting sqref="G28">
    <cfRule type="expression" dxfId="216" priority="1">
      <formula>$H$17="R454B"</formula>
    </cfRule>
    <cfRule type="expression" dxfId="215" priority="2">
      <formula>$H$17="R32"</formula>
    </cfRule>
  </conditionalFormatting>
  <conditionalFormatting sqref="G31">
    <cfRule type="expression" dxfId="214" priority="3">
      <formula>$H$20=$H$17</formula>
    </cfRule>
    <cfRule type="expression" dxfId="213" priority="4">
      <formula>$H$20=$H$23</formula>
    </cfRule>
  </conditionalFormatting>
  <conditionalFormatting sqref="G29">
    <cfRule type="expression" dxfId="212" priority="5">
      <formula>$H$18=$H$21</formula>
    </cfRule>
    <cfRule type="expression" dxfId="211" priority="6">
      <formula>$H$18=$H$17</formula>
    </cfRule>
  </conditionalFormatting>
  <conditionalFormatting sqref="G30">
    <cfRule type="expression" dxfId="210" priority="7">
      <formula>$H$19=$H$23</formula>
    </cfRule>
    <cfRule type="expression" dxfId="209" priority="8">
      <formula>$H$19=$H$17</formula>
    </cfRule>
  </conditionalFormatting>
  <dataValidations count="6">
    <dataValidation type="list" allowBlank="1" showInputMessage="1" showErrorMessage="1" sqref="F2:O2" xr:uid="{70AE5D67-4B4E-4478-9E13-D123A030CF99}">
      <formula1>"2%,3%,4%,5%,6%,7%,8%,9%,10%"</formula1>
    </dataValidation>
    <dataValidation type="list" allowBlank="1" showInputMessage="1" showErrorMessage="1" sqref="F4:O4" xr:uid="{FF9C8661-D588-445C-9E9E-75525CC1DBA9}">
      <formula1>"22％,23%,24%,25%,26%,27%,28%,29%,30%,31%,32%,33%,34%,35%"</formula1>
    </dataValidation>
    <dataValidation type="list" allowBlank="1" showInputMessage="1" showErrorMessage="1" sqref="I17 I28 I41 I52" xr:uid="{71E379C4-7C36-40C2-AD01-7F10F2FE3931}">
      <formula1>"10%,20%,30%,40%,50%,60％,70%,80%,90%,100%"</formula1>
    </dataValidation>
    <dataValidation type="list" allowBlank="1" showInputMessage="1" showErrorMessage="1" sqref="D4" xr:uid="{733A31E8-70D7-4779-B903-0089851B29C2}">
      <formula1>"22％,25%,28%,30%,32%,35%"</formula1>
    </dataValidation>
    <dataValidation type="list" allowBlank="1" showInputMessage="1" showErrorMessage="1" sqref="H28:H31 H18:H20 H52:H55 H42:H44" xr:uid="{7881B4F2-6014-47B7-9BFD-F542A27E33B3}">
      <formula1>"R32,R454B"</formula1>
    </dataValidation>
    <dataValidation type="list" allowBlank="1" showInputMessage="1" showErrorMessage="1" sqref="I18:I23 I29:I34 I42:I47 I53:I58" xr:uid="{259B4606-0026-4BD3-979F-F9DCDD71020E}">
      <formula1>"10%,15%,20%,25%,30%,35%,40%,45%,50%,55%,60％,65%,70%,75%,80%,85%,90%,95%,100%"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5DBB2-E767-44B8-B8D0-6BF28ACA50EF}">
  <dimension ref="B2:AQ45"/>
  <sheetViews>
    <sheetView workbookViewId="0"/>
  </sheetViews>
  <sheetFormatPr defaultRowHeight="15" x14ac:dyDescent="0.4"/>
  <cols>
    <col min="2" max="2" width="11.5" customWidth="1"/>
    <col min="3" max="3" width="15.25" customWidth="1"/>
    <col min="4" max="4" width="16.125" bestFit="1" customWidth="1"/>
    <col min="5" max="5" width="12" bestFit="1" customWidth="1"/>
    <col min="6" max="9" width="15.75" customWidth="1"/>
    <col min="10" max="10" width="10.75" bestFit="1" customWidth="1"/>
    <col min="11" max="11" width="12.25" bestFit="1" customWidth="1"/>
    <col min="12" max="12" width="10.875" bestFit="1" customWidth="1"/>
    <col min="13" max="13" width="11.5" customWidth="1"/>
    <col min="14" max="14" width="10.375" bestFit="1" customWidth="1"/>
    <col min="15" max="15" width="12.75" customWidth="1"/>
    <col min="16" max="16" width="10.875" customWidth="1"/>
    <col min="17" max="17" width="17.75" bestFit="1" customWidth="1"/>
    <col min="18" max="18" width="10.375" bestFit="1" customWidth="1"/>
    <col min="19" max="19" width="10.875" customWidth="1"/>
    <col min="20" max="20" width="17.75" bestFit="1" customWidth="1"/>
    <col min="21" max="21" width="10.375" bestFit="1" customWidth="1"/>
    <col min="22" max="22" width="9.375" bestFit="1" customWidth="1"/>
    <col min="23" max="23" width="20.875" bestFit="1" customWidth="1"/>
    <col min="24" max="24" width="14.875" customWidth="1"/>
    <col min="25" max="25" width="11.125" customWidth="1"/>
    <col min="26" max="26" width="11.5" customWidth="1"/>
    <col min="27" max="27" width="9.375" bestFit="1" customWidth="1"/>
    <col min="28" max="28" width="10.375" bestFit="1" customWidth="1"/>
    <col min="29" max="29" width="11.125" customWidth="1"/>
    <col min="30" max="30" width="20.125" bestFit="1" customWidth="1"/>
    <col min="31" max="31" width="20.875" bestFit="1" customWidth="1"/>
    <col min="33" max="33" width="10.125" bestFit="1" customWidth="1"/>
    <col min="35" max="36" width="10.375" bestFit="1" customWidth="1"/>
  </cols>
  <sheetData>
    <row r="2" spans="2:43" x14ac:dyDescent="0.4">
      <c r="B2" s="62" t="s">
        <v>92</v>
      </c>
      <c r="C2" s="63"/>
      <c r="D2" s="63"/>
      <c r="E2" s="111">
        <v>3.5999999999999997E-2</v>
      </c>
      <c r="F2" s="14">
        <v>0.05</v>
      </c>
      <c r="G2" s="14">
        <v>0.05</v>
      </c>
      <c r="H2" s="14">
        <v>0.05</v>
      </c>
      <c r="I2" s="14">
        <v>0.05</v>
      </c>
      <c r="J2" s="14">
        <v>0.05</v>
      </c>
      <c r="K2" s="14">
        <v>0.05</v>
      </c>
      <c r="L2" s="14">
        <v>0.05</v>
      </c>
      <c r="M2" s="14">
        <v>0.05</v>
      </c>
      <c r="N2" s="125"/>
      <c r="O2" s="124"/>
      <c r="P2" s="54"/>
      <c r="Q2" s="76" t="s">
        <v>81</v>
      </c>
      <c r="R2" s="76" t="s">
        <v>100</v>
      </c>
      <c r="S2" s="76" t="s">
        <v>101</v>
      </c>
      <c r="T2" s="76" t="s">
        <v>20</v>
      </c>
      <c r="W2" s="9" t="s">
        <v>34</v>
      </c>
      <c r="X2" s="16" t="s">
        <v>35</v>
      </c>
      <c r="Y2" s="17" t="s">
        <v>36</v>
      </c>
    </row>
    <row r="3" spans="2:43" x14ac:dyDescent="0.4">
      <c r="B3" s="484" t="s">
        <v>89</v>
      </c>
      <c r="C3" s="171"/>
      <c r="D3" s="169" t="s">
        <v>90</v>
      </c>
      <c r="E3" s="170" t="s">
        <v>91</v>
      </c>
      <c r="F3" s="124" t="s">
        <v>97</v>
      </c>
      <c r="G3" s="124" t="s">
        <v>98</v>
      </c>
      <c r="H3" s="124" t="s">
        <v>71</v>
      </c>
      <c r="I3" s="124" t="s">
        <v>73</v>
      </c>
      <c r="J3" s="124" t="s">
        <v>77</v>
      </c>
      <c r="K3" s="124" t="s">
        <v>78</v>
      </c>
      <c r="L3" s="124" t="s">
        <v>79</v>
      </c>
      <c r="M3" s="124" t="s">
        <v>80</v>
      </c>
      <c r="N3" s="125"/>
      <c r="O3" s="124"/>
      <c r="P3" s="55" t="s">
        <v>3</v>
      </c>
      <c r="Q3" s="55">
        <v>1</v>
      </c>
      <c r="R3" s="77">
        <v>1</v>
      </c>
      <c r="S3" s="55">
        <v>1</v>
      </c>
      <c r="T3" s="55">
        <v>1</v>
      </c>
      <c r="U3" s="43"/>
      <c r="V3" s="4">
        <f>X3/0.88</f>
        <v>7383.9920274599608</v>
      </c>
      <c r="W3" s="9" t="s">
        <v>38</v>
      </c>
      <c r="X3" s="19">
        <f>IF(H17="R32",AB17,0)+IF(H18="R32",AB18,0)+IF(H19="R32",AB19,0)+IF(H20="R32",AB20,0)</f>
        <v>6497.9129841647655</v>
      </c>
      <c r="Y3" s="20">
        <f>SUM(AB21:AB23,IF(H18="R454B",AB18,0),IF(H19="R454B",AB19,0),IF(H20="R454B",AB20,0))</f>
        <v>22265.957808052626</v>
      </c>
    </row>
    <row r="4" spans="2:43" x14ac:dyDescent="0.4">
      <c r="B4" s="485"/>
      <c r="C4" s="22" t="s">
        <v>39</v>
      </c>
      <c r="D4" s="43">
        <v>0.22</v>
      </c>
      <c r="E4" s="24">
        <v>0.22800000000000001</v>
      </c>
      <c r="F4" s="66">
        <v>0.24</v>
      </c>
      <c r="G4" s="66">
        <v>0.25</v>
      </c>
      <c r="H4" s="66">
        <v>0.26</v>
      </c>
      <c r="I4" s="66">
        <v>0.26</v>
      </c>
      <c r="J4" s="66">
        <v>0.27</v>
      </c>
      <c r="K4" s="66">
        <v>0.27</v>
      </c>
      <c r="L4" s="66">
        <v>0.28000000000000003</v>
      </c>
      <c r="M4" s="66">
        <v>0.28000000000000003</v>
      </c>
      <c r="N4" s="125"/>
      <c r="O4" s="124"/>
      <c r="P4" s="73" t="s">
        <v>57</v>
      </c>
      <c r="Q4" s="73">
        <v>0.85</v>
      </c>
      <c r="R4" s="26">
        <v>0.88</v>
      </c>
      <c r="S4" s="75">
        <f>R8/R4</f>
        <v>0.88636363636363635</v>
      </c>
      <c r="T4" s="73">
        <f>Q4*R4*S4</f>
        <v>0.66300000000000003</v>
      </c>
      <c r="U4" s="18"/>
      <c r="V4" s="4">
        <f>V3*1.2</f>
        <v>8860.7904329519533</v>
      </c>
      <c r="W4" s="9" t="s">
        <v>40</v>
      </c>
      <c r="X4" s="19">
        <f>X3*675</f>
        <v>4386091.2643112168</v>
      </c>
      <c r="Y4" s="20">
        <f>Y3*465</f>
        <v>10353670.38074447</v>
      </c>
    </row>
    <row r="5" spans="2:43" x14ac:dyDescent="0.4">
      <c r="B5" s="485"/>
      <c r="C5" s="23" t="s">
        <v>41</v>
      </c>
      <c r="D5" s="43">
        <f t="shared" ref="D5:M5" si="0">0.2*(1-D4)</f>
        <v>0.15600000000000003</v>
      </c>
      <c r="E5" s="28">
        <f t="shared" si="0"/>
        <v>0.15440000000000001</v>
      </c>
      <c r="F5" s="67">
        <f t="shared" si="0"/>
        <v>0.15200000000000002</v>
      </c>
      <c r="G5" s="67">
        <f t="shared" si="0"/>
        <v>0.15000000000000002</v>
      </c>
      <c r="H5" s="67">
        <f t="shared" si="0"/>
        <v>0.14799999999999999</v>
      </c>
      <c r="I5" s="67">
        <f t="shared" si="0"/>
        <v>0.14799999999999999</v>
      </c>
      <c r="J5" s="67">
        <f t="shared" si="0"/>
        <v>0.14599999999999999</v>
      </c>
      <c r="K5" s="67">
        <f t="shared" si="0"/>
        <v>0.14599999999999999</v>
      </c>
      <c r="L5" s="67">
        <f t="shared" si="0"/>
        <v>0.14399999999999999</v>
      </c>
      <c r="M5" s="67">
        <f t="shared" si="0"/>
        <v>0.14399999999999999</v>
      </c>
      <c r="N5" s="125"/>
      <c r="O5" s="124"/>
      <c r="P5" s="56" t="s">
        <v>36</v>
      </c>
      <c r="Q5" s="56">
        <v>0.93</v>
      </c>
      <c r="R5" s="27">
        <v>0.95</v>
      </c>
      <c r="S5" s="74" t="s">
        <v>72</v>
      </c>
      <c r="T5" s="56">
        <f>Q5*R5</f>
        <v>0.88349999999999995</v>
      </c>
      <c r="AM5" s="9" t="s">
        <v>42</v>
      </c>
      <c r="AN5" s="9" t="s">
        <v>19</v>
      </c>
      <c r="AO5" s="9" t="s">
        <v>43</v>
      </c>
    </row>
    <row r="6" spans="2:43" x14ac:dyDescent="0.4">
      <c r="B6" s="21"/>
      <c r="C6" s="25" t="s">
        <v>44</v>
      </c>
      <c r="D6" s="43">
        <f t="shared" ref="D6:M6" si="1">0.23*(1-D4)</f>
        <v>0.1794</v>
      </c>
      <c r="E6" s="28">
        <f t="shared" si="1"/>
        <v>0.17756000000000002</v>
      </c>
      <c r="F6" s="67">
        <f t="shared" si="1"/>
        <v>0.17480000000000001</v>
      </c>
      <c r="G6" s="67">
        <f t="shared" si="1"/>
        <v>0.17250000000000001</v>
      </c>
      <c r="H6" s="67">
        <f t="shared" si="1"/>
        <v>0.17020000000000002</v>
      </c>
      <c r="I6" s="67">
        <f t="shared" si="1"/>
        <v>0.17020000000000002</v>
      </c>
      <c r="J6" s="67">
        <f t="shared" si="1"/>
        <v>0.16789999999999999</v>
      </c>
      <c r="K6" s="67">
        <f t="shared" si="1"/>
        <v>0.16789999999999999</v>
      </c>
      <c r="L6" s="67">
        <f t="shared" si="1"/>
        <v>0.1656</v>
      </c>
      <c r="M6" s="67">
        <f t="shared" si="1"/>
        <v>0.1656</v>
      </c>
      <c r="N6" s="121"/>
      <c r="O6" s="121"/>
      <c r="P6" s="18"/>
      <c r="W6" s="9"/>
      <c r="X6" s="16" t="s">
        <v>35</v>
      </c>
      <c r="Y6" s="17" t="s">
        <v>36</v>
      </c>
      <c r="AM6" s="9">
        <v>273.5</v>
      </c>
      <c r="AN6" s="9">
        <v>182.3</v>
      </c>
      <c r="AO6" s="9">
        <v>91.2</v>
      </c>
    </row>
    <row r="7" spans="2:43" x14ac:dyDescent="0.4">
      <c r="B7" s="21"/>
      <c r="C7" s="25" t="s">
        <v>45</v>
      </c>
      <c r="D7" s="43">
        <f t="shared" ref="D7:M7" si="2">0.04*(1-D4)</f>
        <v>3.1200000000000002E-2</v>
      </c>
      <c r="E7" s="28">
        <f t="shared" si="2"/>
        <v>3.0880000000000001E-2</v>
      </c>
      <c r="F7" s="67">
        <f t="shared" si="2"/>
        <v>3.04E-2</v>
      </c>
      <c r="G7" s="67">
        <f t="shared" si="2"/>
        <v>0.03</v>
      </c>
      <c r="H7" s="67">
        <f t="shared" si="2"/>
        <v>2.9600000000000001E-2</v>
      </c>
      <c r="I7" s="67">
        <f t="shared" si="2"/>
        <v>2.9600000000000001E-2</v>
      </c>
      <c r="J7" s="67">
        <f t="shared" si="2"/>
        <v>2.92E-2</v>
      </c>
      <c r="K7" s="67">
        <f t="shared" si="2"/>
        <v>2.92E-2</v>
      </c>
      <c r="L7" s="67">
        <f t="shared" si="2"/>
        <v>2.8799999999999999E-2</v>
      </c>
      <c r="M7" s="67">
        <f t="shared" si="2"/>
        <v>2.8799999999999999E-2</v>
      </c>
      <c r="N7" s="121"/>
      <c r="O7" s="121"/>
      <c r="P7" s="18"/>
      <c r="Q7" t="s">
        <v>123</v>
      </c>
      <c r="R7" t="s">
        <v>124</v>
      </c>
      <c r="W7" s="9" t="s">
        <v>46</v>
      </c>
      <c r="X7" s="26">
        <f>SUM(M4+IF(H18="R32",M5,0)+IF(H19="R32",M6,0)+IF(H20="R32",M7,0))</f>
        <v>0.28000000000000003</v>
      </c>
      <c r="Y7" s="27">
        <f>1-X7</f>
        <v>0.72</v>
      </c>
      <c r="AM7" s="9">
        <f>AM6*11%</f>
        <v>30.085000000000001</v>
      </c>
      <c r="AN7" s="9">
        <f>AN6*11%</f>
        <v>20.053000000000001</v>
      </c>
      <c r="AO7" s="9">
        <f>AO6*11%</f>
        <v>10.032</v>
      </c>
    </row>
    <row r="8" spans="2:43" x14ac:dyDescent="0.4">
      <c r="B8" s="21"/>
      <c r="C8" s="25" t="s">
        <v>47</v>
      </c>
      <c r="D8" s="64">
        <f t="shared" ref="D8:M8" si="3">0.32*(1-D4)</f>
        <v>0.24960000000000002</v>
      </c>
      <c r="E8" s="28">
        <f t="shared" si="3"/>
        <v>0.24704000000000001</v>
      </c>
      <c r="F8" s="68">
        <f t="shared" si="3"/>
        <v>0.2432</v>
      </c>
      <c r="G8" s="68">
        <f t="shared" si="3"/>
        <v>0.24</v>
      </c>
      <c r="H8" s="68">
        <f t="shared" si="3"/>
        <v>0.23680000000000001</v>
      </c>
      <c r="I8" s="68">
        <f t="shared" si="3"/>
        <v>0.23680000000000001</v>
      </c>
      <c r="J8" s="68">
        <f t="shared" si="3"/>
        <v>0.2336</v>
      </c>
      <c r="K8" s="68">
        <f t="shared" si="3"/>
        <v>0.2336</v>
      </c>
      <c r="L8" s="68">
        <f t="shared" si="3"/>
        <v>0.23039999999999999</v>
      </c>
      <c r="M8" s="68">
        <f t="shared" si="3"/>
        <v>0.23039999999999999</v>
      </c>
      <c r="N8" s="122"/>
      <c r="O8" s="122"/>
      <c r="Q8" s="18">
        <v>0.88</v>
      </c>
      <c r="R8" s="72">
        <v>0.78</v>
      </c>
      <c r="S8" s="18">
        <f>R8/R4</f>
        <v>0.88636363636363635</v>
      </c>
      <c r="AO8" t="s">
        <v>48</v>
      </c>
      <c r="AP8" t="s">
        <v>48</v>
      </c>
      <c r="AQ8" t="s">
        <v>49</v>
      </c>
    </row>
    <row r="9" spans="2:43" x14ac:dyDescent="0.4">
      <c r="B9" s="21"/>
      <c r="C9" s="25" t="s">
        <v>50</v>
      </c>
      <c r="D9" s="64">
        <f t="shared" ref="D9:M9" si="4">0.13*(1-D4)</f>
        <v>0.1014</v>
      </c>
      <c r="E9" s="28">
        <f t="shared" si="4"/>
        <v>0.10036</v>
      </c>
      <c r="F9" s="68">
        <f t="shared" si="4"/>
        <v>9.8799999999999999E-2</v>
      </c>
      <c r="G9" s="68">
        <f t="shared" si="4"/>
        <v>9.7500000000000003E-2</v>
      </c>
      <c r="H9" s="68">
        <f t="shared" si="4"/>
        <v>9.6200000000000008E-2</v>
      </c>
      <c r="I9" s="68">
        <f t="shared" si="4"/>
        <v>9.6200000000000008E-2</v>
      </c>
      <c r="J9" s="68">
        <f t="shared" si="4"/>
        <v>9.4899999999999998E-2</v>
      </c>
      <c r="K9" s="68">
        <f t="shared" si="4"/>
        <v>9.4899999999999998E-2</v>
      </c>
      <c r="L9" s="68">
        <f t="shared" si="4"/>
        <v>9.3600000000000003E-2</v>
      </c>
      <c r="M9" s="68">
        <f t="shared" si="4"/>
        <v>9.3600000000000003E-2</v>
      </c>
      <c r="N9" s="122"/>
      <c r="O9" s="122"/>
      <c r="P9" t="s">
        <v>125</v>
      </c>
      <c r="Q9" s="18">
        <f>Q8/Q5</f>
        <v>0.94623655913978488</v>
      </c>
      <c r="R9" s="6">
        <f>R8/R4</f>
        <v>0.88636363636363635</v>
      </c>
      <c r="X9" t="s">
        <v>128</v>
      </c>
      <c r="Y9" t="s">
        <v>126</v>
      </c>
      <c r="AO9" s="4">
        <f>AM7/2204*1000000</f>
        <v>13650.181488203267</v>
      </c>
      <c r="AP9" s="4">
        <f>AN7/2204*1000000</f>
        <v>9098.4573502722324</v>
      </c>
      <c r="AQ9" s="4">
        <f>AO7/675*1000000</f>
        <v>14862.222222222223</v>
      </c>
    </row>
    <row r="10" spans="2:43" x14ac:dyDescent="0.4">
      <c r="B10" s="31"/>
      <c r="C10" s="32" t="s">
        <v>52</v>
      </c>
      <c r="D10" s="65">
        <f t="shared" ref="D10:M10" si="5">0.08*(1-D4)</f>
        <v>6.2400000000000004E-2</v>
      </c>
      <c r="E10" s="70">
        <f t="shared" si="5"/>
        <v>6.1760000000000002E-2</v>
      </c>
      <c r="F10" s="69">
        <f t="shared" si="5"/>
        <v>6.08E-2</v>
      </c>
      <c r="G10" s="69">
        <f t="shared" si="5"/>
        <v>0.06</v>
      </c>
      <c r="H10" s="69">
        <f t="shared" si="5"/>
        <v>5.9200000000000003E-2</v>
      </c>
      <c r="I10" s="69">
        <f t="shared" si="5"/>
        <v>5.9200000000000003E-2</v>
      </c>
      <c r="J10" s="69">
        <f t="shared" si="5"/>
        <v>5.8400000000000001E-2</v>
      </c>
      <c r="K10" s="69">
        <f t="shared" si="5"/>
        <v>5.8400000000000001E-2</v>
      </c>
      <c r="L10" s="69">
        <f t="shared" si="5"/>
        <v>5.7599999999999998E-2</v>
      </c>
      <c r="M10" s="69">
        <f t="shared" si="5"/>
        <v>5.7599999999999998E-2</v>
      </c>
      <c r="N10" s="121"/>
      <c r="O10" s="121"/>
      <c r="Q10" s="6"/>
      <c r="W10" s="29" t="s">
        <v>51</v>
      </c>
      <c r="X10" s="160">
        <v>91.2</v>
      </c>
      <c r="Y10" s="163">
        <f>X10/675*1000000</f>
        <v>135111.11111111112</v>
      </c>
      <c r="AO10" s="4">
        <v>7252</v>
      </c>
      <c r="AP10" s="4">
        <v>5625</v>
      </c>
      <c r="AQ10" s="4">
        <v>7440.3538348726916</v>
      </c>
    </row>
    <row r="11" spans="2:43" x14ac:dyDescent="0.4">
      <c r="W11" s="33" t="s">
        <v>53</v>
      </c>
      <c r="X11" s="161">
        <f>X10*0.11</f>
        <v>10.032</v>
      </c>
      <c r="Y11" s="164">
        <f t="shared" ref="Y11:Y12" si="6">X11/675*1000000</f>
        <v>14862.222222222223</v>
      </c>
      <c r="AM11" s="6">
        <f>AO10/AO9</f>
        <v>0.53127498753531666</v>
      </c>
      <c r="AN11" s="6">
        <f>AP10/AP9</f>
        <v>0.61823667281703487</v>
      </c>
      <c r="AO11" s="6">
        <f>AQ10/AQ9</f>
        <v>0.50062189379376665</v>
      </c>
    </row>
    <row r="12" spans="2:43" x14ac:dyDescent="0.4">
      <c r="F12" s="486"/>
      <c r="G12" s="486"/>
      <c r="H12" s="59"/>
      <c r="I12" s="59"/>
      <c r="J12" s="59"/>
      <c r="K12" s="59"/>
      <c r="M12" s="136"/>
      <c r="N12" s="136"/>
      <c r="O12" s="136"/>
      <c r="P12" s="136"/>
      <c r="Q12" s="136"/>
      <c r="R12" s="136"/>
      <c r="W12" s="35" t="s">
        <v>54</v>
      </c>
      <c r="X12" s="162">
        <f>X11*0.6</f>
        <v>6.0191999999999997</v>
      </c>
      <c r="Y12" s="165">
        <f t="shared" si="6"/>
        <v>8917.3333333333321</v>
      </c>
    </row>
    <row r="13" spans="2:43" x14ac:dyDescent="0.4">
      <c r="D13" t="s">
        <v>115</v>
      </c>
      <c r="F13" s="59"/>
      <c r="G13" s="59"/>
      <c r="H13" s="59"/>
      <c r="I13" s="59"/>
      <c r="J13" s="59"/>
      <c r="K13" s="59"/>
      <c r="M13" s="127"/>
      <c r="N13" s="127"/>
      <c r="O13" s="127"/>
      <c r="P13" s="127"/>
      <c r="Q13" s="136"/>
      <c r="R13" s="136"/>
      <c r="W13" s="166"/>
      <c r="X13" s="167"/>
      <c r="Y13" s="168"/>
    </row>
    <row r="14" spans="2:43" ht="51" customHeight="1" x14ac:dyDescent="0.4">
      <c r="B14" s="487" t="s">
        <v>129</v>
      </c>
      <c r="C14" s="489" t="s">
        <v>127</v>
      </c>
      <c r="D14" s="489" t="s">
        <v>66</v>
      </c>
      <c r="E14" s="491" t="s">
        <v>88</v>
      </c>
      <c r="F14" s="489" t="s">
        <v>97</v>
      </c>
      <c r="G14" s="493" t="s">
        <v>98</v>
      </c>
      <c r="H14" s="487" t="s">
        <v>55</v>
      </c>
      <c r="I14" s="498" t="s">
        <v>112</v>
      </c>
      <c r="J14" s="487" t="s">
        <v>71</v>
      </c>
      <c r="K14" s="491"/>
      <c r="L14" s="491"/>
      <c r="M14" s="151"/>
      <c r="N14" s="488" t="s">
        <v>73</v>
      </c>
      <c r="O14" s="492"/>
      <c r="P14" s="499"/>
      <c r="Q14" s="487" t="s">
        <v>77</v>
      </c>
      <c r="R14" s="491"/>
      <c r="S14" s="498"/>
      <c r="T14" s="487" t="s">
        <v>78</v>
      </c>
      <c r="U14" s="491"/>
      <c r="V14" s="498"/>
      <c r="W14" s="491" t="s">
        <v>79</v>
      </c>
      <c r="X14" s="491"/>
      <c r="Y14" s="491"/>
      <c r="Z14" s="487" t="s">
        <v>80</v>
      </c>
      <c r="AA14" s="491"/>
      <c r="AB14" s="491"/>
      <c r="AC14" s="130"/>
    </row>
    <row r="15" spans="2:43" ht="28.8" customHeight="1" x14ac:dyDescent="0.4">
      <c r="B15" s="488"/>
      <c r="C15" s="490"/>
      <c r="D15" s="490"/>
      <c r="E15" s="492"/>
      <c r="F15" s="490"/>
      <c r="G15" s="494"/>
      <c r="H15" s="488"/>
      <c r="I15" s="499"/>
      <c r="J15" s="83"/>
      <c r="K15" s="80" t="s">
        <v>3</v>
      </c>
      <c r="L15" s="137" t="s">
        <v>117</v>
      </c>
      <c r="M15" s="138"/>
      <c r="N15" s="83"/>
      <c r="O15" s="80" t="s">
        <v>3</v>
      </c>
      <c r="P15" s="137" t="s">
        <v>117</v>
      </c>
      <c r="Q15" s="83"/>
      <c r="R15" s="80" t="s">
        <v>3</v>
      </c>
      <c r="S15" s="137" t="s">
        <v>117</v>
      </c>
      <c r="T15" s="143"/>
      <c r="U15" s="144" t="s">
        <v>3</v>
      </c>
      <c r="V15" s="138" t="s">
        <v>117</v>
      </c>
      <c r="W15" s="144"/>
      <c r="X15" s="80" t="s">
        <v>3</v>
      </c>
      <c r="Y15" s="137" t="s">
        <v>117</v>
      </c>
      <c r="Z15" s="128"/>
      <c r="AA15" s="129" t="s">
        <v>3</v>
      </c>
      <c r="AB15" s="137" t="s">
        <v>117</v>
      </c>
      <c r="AC15" s="138"/>
    </row>
    <row r="16" spans="2:43" ht="18" customHeight="1" x14ac:dyDescent="0.4">
      <c r="B16" s="132" t="s">
        <v>103</v>
      </c>
      <c r="C16" s="139" t="s">
        <v>3</v>
      </c>
      <c r="D16" s="139" t="s">
        <v>3</v>
      </c>
      <c r="E16" s="126" t="s">
        <v>3</v>
      </c>
      <c r="F16" s="139" t="s">
        <v>3</v>
      </c>
      <c r="G16" s="139" t="s">
        <v>3</v>
      </c>
      <c r="H16" s="132"/>
      <c r="I16" s="133"/>
      <c r="J16" s="131" t="s">
        <v>106</v>
      </c>
      <c r="K16" s="140">
        <f>1-L16</f>
        <v>0.87</v>
      </c>
      <c r="L16" s="140">
        <f>13%</f>
        <v>0.13</v>
      </c>
      <c r="M16" s="141" t="s">
        <v>108</v>
      </c>
      <c r="N16" s="131" t="s">
        <v>106</v>
      </c>
      <c r="O16" s="140">
        <f>1-P16</f>
        <v>0.8</v>
      </c>
      <c r="P16" s="142">
        <v>0.2</v>
      </c>
      <c r="Q16" s="131" t="s">
        <v>106</v>
      </c>
      <c r="R16" s="140">
        <f>1-S16</f>
        <v>0.6</v>
      </c>
      <c r="S16" s="142">
        <v>0.4</v>
      </c>
      <c r="T16" s="131" t="s">
        <v>106</v>
      </c>
      <c r="U16" s="140">
        <f>1-V16</f>
        <v>0.5</v>
      </c>
      <c r="V16" s="142">
        <v>0.5</v>
      </c>
      <c r="W16" s="126" t="s">
        <v>106</v>
      </c>
      <c r="X16" s="140">
        <f>1-Y16</f>
        <v>0.30000000000000004</v>
      </c>
      <c r="Y16" s="140">
        <v>0.7</v>
      </c>
      <c r="Z16" s="131" t="s">
        <v>106</v>
      </c>
      <c r="AA16" s="140">
        <f>1-AB16</f>
        <v>0</v>
      </c>
      <c r="AB16" s="140">
        <f>100%</f>
        <v>1</v>
      </c>
      <c r="AC16" s="141" t="s">
        <v>108</v>
      </c>
    </row>
    <row r="17" spans="2:34" x14ac:dyDescent="0.4">
      <c r="B17" s="40" t="s">
        <v>56</v>
      </c>
      <c r="C17" s="41">
        <f>F17/0.9</f>
        <v>6633.5494399999998</v>
      </c>
      <c r="D17" s="41">
        <f>5717*0.88</f>
        <v>5030.96</v>
      </c>
      <c r="E17" s="41">
        <f>E24*E4</f>
        <v>5401.6045439999998</v>
      </c>
      <c r="F17" s="41">
        <f>F24*$F$4</f>
        <v>5970.1944960000001</v>
      </c>
      <c r="G17" s="41">
        <f t="shared" ref="G17:G23" si="7">G$24*$G4</f>
        <v>6529.9002300000011</v>
      </c>
      <c r="H17" s="93" t="s">
        <v>57</v>
      </c>
      <c r="I17" s="102">
        <v>1</v>
      </c>
      <c r="J17" s="84">
        <f>J$24*$H4*$I$17</f>
        <v>7130.6510511600018</v>
      </c>
      <c r="K17" s="42">
        <f t="shared" ref="K17:K23" si="8">J17*K$16</f>
        <v>6203.6664145092018</v>
      </c>
      <c r="L17" s="42">
        <f t="shared" ref="L17:L23" si="9">IF($H17=$H$17,J17*$T$4*L$16,J17*L$16*$T$5)</f>
        <v>614.59081409948055</v>
      </c>
      <c r="M17" s="98">
        <f t="shared" ref="M17:M24" si="10">J17/C17</f>
        <v>1.0749375000000003</v>
      </c>
      <c r="N17" s="84">
        <f t="shared" ref="N17:N23" si="11">N$24*$I4*$I17</f>
        <v>7487.1836037180019</v>
      </c>
      <c r="O17" s="42">
        <f t="shared" ref="O17:O23" si="12">N17*O$16</f>
        <v>5989.7468829744021</v>
      </c>
      <c r="P17" s="85">
        <f t="shared" ref="P17:P23" si="13">IF($H17=$H$17,N17*$T$4*P$16,N17*P$16*$T$5)</f>
        <v>992.80054585300718</v>
      </c>
      <c r="Q17" s="84">
        <f t="shared" ref="Q17:Q23" si="14">Q$24*$J4*$I17</f>
        <v>8163.9098140540527</v>
      </c>
      <c r="R17" s="42">
        <f t="shared" ref="R17:R23" si="15">Q17*R$16</f>
        <v>4898.3458884324318</v>
      </c>
      <c r="S17" s="85">
        <f t="shared" ref="S17:S23" si="16">IF($H17=$H$17,Q17*$T$4*S$16,Q17*S$16*$T$5)</f>
        <v>2165.0688826871351</v>
      </c>
      <c r="T17" s="84">
        <f t="shared" ref="T17:T23" si="17">T$24*$K4*$I17</f>
        <v>8572.1053047567566</v>
      </c>
      <c r="U17" s="42">
        <f t="shared" ref="U17:U23" si="18">T17*U$16</f>
        <v>4286.0526523783783</v>
      </c>
      <c r="V17" s="85">
        <f t="shared" ref="V17:V23" si="19">IF($H17=$H$17,T17*$T$4*V$16,T17*V$16*$T$5)</f>
        <v>2841.6529085268648</v>
      </c>
      <c r="W17" s="41">
        <f>W$24*$L4*$I$17</f>
        <v>9334.0702207351351</v>
      </c>
      <c r="X17" s="42">
        <f t="shared" ref="X17:X23" si="20">W17*X$16</f>
        <v>2800.2210662205412</v>
      </c>
      <c r="Y17" s="42">
        <f t="shared" ref="Y17:Y23" si="21">IF($H17=$H$17,W17*$T$4*Y$16,W17*Y$16*$T$5)</f>
        <v>4331.9419894431758</v>
      </c>
      <c r="Z17" s="84">
        <f>Z$24*$M4*$I$17</f>
        <v>9800.7737317718929</v>
      </c>
      <c r="AA17" s="42">
        <f t="shared" ref="AA17:AA23" si="22">Z17*AA$16</f>
        <v>0</v>
      </c>
      <c r="AB17" s="42">
        <f t="shared" ref="AB17:AB23" si="23">IF($H17=$H$17,Z17*$T$4*AB$16,Z17*AB$16*$T$5)</f>
        <v>6497.9129841647655</v>
      </c>
      <c r="AC17" s="98">
        <f t="shared" ref="AC17:AC23" si="24">Z17/C17</f>
        <v>1.4774554437890635</v>
      </c>
    </row>
    <row r="18" spans="2:34" x14ac:dyDescent="0.4">
      <c r="B18" s="43" t="s">
        <v>41</v>
      </c>
      <c r="C18" s="44">
        <f t="shared" ref="C18:C24" si="25">F18/0.9</f>
        <v>4201.2479786666681</v>
      </c>
      <c r="D18" s="44">
        <f t="shared" ref="D18:E23" si="26">D$24*D5</f>
        <v>3567.4080000000008</v>
      </c>
      <c r="E18" s="44">
        <f t="shared" si="26"/>
        <v>3657.9286912000002</v>
      </c>
      <c r="F18" s="44">
        <f>F$24*$F$5</f>
        <v>3781.1231808000011</v>
      </c>
      <c r="G18" s="44">
        <f t="shared" si="7"/>
        <v>3917.9401380000013</v>
      </c>
      <c r="H18" s="86" t="s">
        <v>58</v>
      </c>
      <c r="I18" s="46">
        <v>1</v>
      </c>
      <c r="J18" s="86">
        <f>J$24*$H5*$I$18</f>
        <v>4058.9859829680004</v>
      </c>
      <c r="K18" s="44">
        <f t="shared" si="8"/>
        <v>3531.3178051821601</v>
      </c>
      <c r="L18" s="44">
        <f t="shared" si="9"/>
        <v>466.19483507378965</v>
      </c>
      <c r="M18" s="104">
        <f>J18/C18</f>
        <v>0.96613815789473656</v>
      </c>
      <c r="N18" s="86">
        <f t="shared" si="11"/>
        <v>4261.9352821164011</v>
      </c>
      <c r="O18" s="44">
        <f t="shared" si="12"/>
        <v>3409.5482256931209</v>
      </c>
      <c r="P18" s="45">
        <f t="shared" si="13"/>
        <v>753.08396434996803</v>
      </c>
      <c r="Q18" s="86">
        <f t="shared" si="14"/>
        <v>4414.558640192191</v>
      </c>
      <c r="R18" s="44">
        <f t="shared" si="15"/>
        <v>2648.7351841153145</v>
      </c>
      <c r="S18" s="45">
        <f t="shared" si="16"/>
        <v>1560.1050234439203</v>
      </c>
      <c r="T18" s="86">
        <f t="shared" si="17"/>
        <v>4635.2865722018005</v>
      </c>
      <c r="U18" s="44">
        <f t="shared" si="18"/>
        <v>2317.6432861009002</v>
      </c>
      <c r="V18" s="45">
        <f t="shared" si="19"/>
        <v>2047.6378432701451</v>
      </c>
      <c r="W18" s="44">
        <f>W$24*L$5*$I$18</f>
        <v>4800.3789706637835</v>
      </c>
      <c r="X18" s="44">
        <f t="shared" si="20"/>
        <v>1440.1136911991352</v>
      </c>
      <c r="Y18" s="44">
        <f t="shared" si="21"/>
        <v>2968.7943744070167</v>
      </c>
      <c r="Z18" s="86">
        <f>Z$24*M$5*$I$18</f>
        <v>5040.3979191969729</v>
      </c>
      <c r="AA18" s="44">
        <f t="shared" si="22"/>
        <v>0</v>
      </c>
      <c r="AB18" s="44">
        <f t="shared" si="23"/>
        <v>4453.1915616105252</v>
      </c>
      <c r="AC18" s="104">
        <f>Z18/C18</f>
        <v>1.199738255106908</v>
      </c>
    </row>
    <row r="19" spans="2:34" x14ac:dyDescent="0.4">
      <c r="B19" s="33" t="s">
        <v>44</v>
      </c>
      <c r="C19" s="44">
        <f t="shared" si="25"/>
        <v>4831.4351754666677</v>
      </c>
      <c r="D19" s="44">
        <f t="shared" si="26"/>
        <v>4102.5191999999997</v>
      </c>
      <c r="E19" s="44">
        <f t="shared" si="26"/>
        <v>4206.6179948800009</v>
      </c>
      <c r="F19" s="44">
        <f>F$24*$F$6</f>
        <v>4348.2916579200009</v>
      </c>
      <c r="G19" s="44">
        <f t="shared" si="7"/>
        <v>4505.6311587000009</v>
      </c>
      <c r="H19" s="86" t="s">
        <v>58</v>
      </c>
      <c r="I19" s="46">
        <v>1</v>
      </c>
      <c r="J19" s="86">
        <f>J$24*$H6*$I$19</f>
        <v>4667.8338804132018</v>
      </c>
      <c r="K19" s="44">
        <f t="shared" si="8"/>
        <v>4061.0154759594857</v>
      </c>
      <c r="L19" s="95">
        <f t="shared" si="9"/>
        <v>536.1240603348582</v>
      </c>
      <c r="M19" s="104">
        <f t="shared" si="10"/>
        <v>0.966138157894737</v>
      </c>
      <c r="N19" s="86">
        <f t="shared" si="11"/>
        <v>4901.2255744338618</v>
      </c>
      <c r="O19" s="44">
        <f t="shared" si="12"/>
        <v>3920.9804595470896</v>
      </c>
      <c r="P19" s="45">
        <f t="shared" si="13"/>
        <v>866.04655900246337</v>
      </c>
      <c r="Q19" s="86">
        <f t="shared" si="14"/>
        <v>5076.7424362210195</v>
      </c>
      <c r="R19" s="44">
        <f t="shared" si="15"/>
        <v>3046.0454617326118</v>
      </c>
      <c r="S19" s="45">
        <f t="shared" si="16"/>
        <v>1794.1207769605082</v>
      </c>
      <c r="T19" s="86">
        <f t="shared" si="17"/>
        <v>5330.579558032071</v>
      </c>
      <c r="U19" s="44">
        <f t="shared" si="18"/>
        <v>2665.2897790160355</v>
      </c>
      <c r="V19" s="45">
        <f t="shared" si="19"/>
        <v>2354.7835197606673</v>
      </c>
      <c r="W19" s="44">
        <f>W$24*L6*$I19</f>
        <v>5520.4358162633507</v>
      </c>
      <c r="X19" s="44">
        <f t="shared" si="20"/>
        <v>1656.1307448790055</v>
      </c>
      <c r="Y19" s="44">
        <f t="shared" si="21"/>
        <v>3414.1135305680691</v>
      </c>
      <c r="Z19" s="86">
        <f>Z$24*M$6*$I19</f>
        <v>5796.4576070765188</v>
      </c>
      <c r="AA19" s="44">
        <f t="shared" si="22"/>
        <v>0</v>
      </c>
      <c r="AB19" s="44">
        <f t="shared" si="23"/>
        <v>5121.1702958521037</v>
      </c>
      <c r="AC19" s="104">
        <f t="shared" si="24"/>
        <v>1.1997382551069082</v>
      </c>
    </row>
    <row r="20" spans="2:34" x14ac:dyDescent="0.4">
      <c r="B20" s="33" t="s">
        <v>45</v>
      </c>
      <c r="C20" s="44">
        <f t="shared" si="25"/>
        <v>840.24959573333331</v>
      </c>
      <c r="D20" s="44">
        <f t="shared" si="26"/>
        <v>713.48160000000007</v>
      </c>
      <c r="E20" s="44">
        <f t="shared" si="26"/>
        <v>731.58573824000007</v>
      </c>
      <c r="F20" s="44">
        <f>F$24*$F$7</f>
        <v>756.22463616000005</v>
      </c>
      <c r="G20" s="44">
        <f t="shared" si="7"/>
        <v>783.58802760000015</v>
      </c>
      <c r="H20" s="86" t="s">
        <v>58</v>
      </c>
      <c r="I20" s="99">
        <v>1</v>
      </c>
      <c r="J20" s="86">
        <f>J$24*$H7*$I$20</f>
        <v>811.79719659360023</v>
      </c>
      <c r="K20" s="44">
        <f t="shared" si="8"/>
        <v>706.26356103643218</v>
      </c>
      <c r="L20" s="44">
        <f t="shared" si="9"/>
        <v>93.238967014757961</v>
      </c>
      <c r="M20" s="104">
        <f t="shared" si="10"/>
        <v>0.96613815789473712</v>
      </c>
      <c r="N20" s="86">
        <f t="shared" si="11"/>
        <v>852.38705642328023</v>
      </c>
      <c r="O20" s="44">
        <f t="shared" si="12"/>
        <v>681.90964513862423</v>
      </c>
      <c r="P20" s="45">
        <f t="shared" si="13"/>
        <v>150.61679286999362</v>
      </c>
      <c r="Q20" s="86">
        <f t="shared" si="14"/>
        <v>882.91172803843824</v>
      </c>
      <c r="R20" s="44">
        <f t="shared" si="15"/>
        <v>529.7470368230629</v>
      </c>
      <c r="S20" s="45">
        <f t="shared" si="16"/>
        <v>312.0210046887841</v>
      </c>
      <c r="T20" s="86">
        <f t="shared" si="17"/>
        <v>927.05731444036019</v>
      </c>
      <c r="U20" s="44">
        <f t="shared" si="18"/>
        <v>463.52865722018009</v>
      </c>
      <c r="V20" s="45">
        <f t="shared" si="19"/>
        <v>409.5275686540291</v>
      </c>
      <c r="W20" s="44">
        <f>W$24*L7*$I20</f>
        <v>960.07579413275664</v>
      </c>
      <c r="X20" s="44">
        <f t="shared" si="20"/>
        <v>288.02273823982705</v>
      </c>
      <c r="Y20" s="44">
        <f t="shared" si="21"/>
        <v>593.75887488140324</v>
      </c>
      <c r="Z20" s="86">
        <f>Z$24*M$7*$I20</f>
        <v>1008.0795838393946</v>
      </c>
      <c r="AA20" s="44">
        <f t="shared" si="22"/>
        <v>0</v>
      </c>
      <c r="AB20" s="44">
        <f t="shared" si="23"/>
        <v>890.63831232210509</v>
      </c>
      <c r="AC20" s="104">
        <f t="shared" si="24"/>
        <v>1.1997382551069085</v>
      </c>
    </row>
    <row r="21" spans="2:34" x14ac:dyDescent="0.4">
      <c r="B21" s="47" t="s">
        <v>47</v>
      </c>
      <c r="C21" s="48">
        <f t="shared" si="25"/>
        <v>6721.9967658666665</v>
      </c>
      <c r="D21" s="48">
        <f t="shared" si="26"/>
        <v>5707.8528000000006</v>
      </c>
      <c r="E21" s="48">
        <f t="shared" si="26"/>
        <v>5852.6859059200006</v>
      </c>
      <c r="F21" s="48">
        <f>F$24*$F$8</f>
        <v>6049.7970892800004</v>
      </c>
      <c r="G21" s="48">
        <f t="shared" si="7"/>
        <v>6268.7042208000012</v>
      </c>
      <c r="H21" s="87" t="s">
        <v>36</v>
      </c>
      <c r="I21" s="100">
        <v>1</v>
      </c>
      <c r="J21" s="87">
        <f>J$24*$H8*$I$21</f>
        <v>6494.3775727488019</v>
      </c>
      <c r="K21" s="48">
        <f t="shared" si="8"/>
        <v>5650.1084882914574</v>
      </c>
      <c r="L21" s="48">
        <f t="shared" si="9"/>
        <v>745.91173611806369</v>
      </c>
      <c r="M21" s="105">
        <f t="shared" si="10"/>
        <v>0.96613815789473712</v>
      </c>
      <c r="N21" s="87">
        <f t="shared" si="11"/>
        <v>6819.0964513862418</v>
      </c>
      <c r="O21" s="48">
        <f t="shared" si="12"/>
        <v>5455.2771611089938</v>
      </c>
      <c r="P21" s="49">
        <f t="shared" si="13"/>
        <v>1204.9343429599489</v>
      </c>
      <c r="Q21" s="87">
        <f t="shared" si="14"/>
        <v>7063.2938243075059</v>
      </c>
      <c r="R21" s="48">
        <f t="shared" si="15"/>
        <v>4237.9762945845032</v>
      </c>
      <c r="S21" s="49">
        <f t="shared" si="16"/>
        <v>2496.1680375102728</v>
      </c>
      <c r="T21" s="87">
        <f t="shared" si="17"/>
        <v>7416.4585155228815</v>
      </c>
      <c r="U21" s="48">
        <f t="shared" si="18"/>
        <v>3708.2292577614407</v>
      </c>
      <c r="V21" s="49">
        <f t="shared" si="19"/>
        <v>3276.2205492322328</v>
      </c>
      <c r="W21" s="48">
        <f>W$24*L8*$I21</f>
        <v>7680.6063530620531</v>
      </c>
      <c r="X21" s="48">
        <f t="shared" si="20"/>
        <v>2304.1819059186164</v>
      </c>
      <c r="Y21" s="48">
        <f t="shared" si="21"/>
        <v>4750.070999051226</v>
      </c>
      <c r="Z21" s="87">
        <f>Z$24*M$8*$I21</f>
        <v>8064.6366707151565</v>
      </c>
      <c r="AA21" s="48">
        <f t="shared" si="22"/>
        <v>0</v>
      </c>
      <c r="AB21" s="48">
        <f t="shared" si="23"/>
        <v>7125.1064985768407</v>
      </c>
      <c r="AC21" s="105">
        <f t="shared" si="24"/>
        <v>1.1997382551069085</v>
      </c>
    </row>
    <row r="22" spans="2:34" x14ac:dyDescent="0.4">
      <c r="B22" s="47" t="s">
        <v>50</v>
      </c>
      <c r="C22" s="48">
        <f t="shared" si="25"/>
        <v>2730.8111861333336</v>
      </c>
      <c r="D22" s="48">
        <f t="shared" si="26"/>
        <v>2318.8152</v>
      </c>
      <c r="E22" s="48">
        <f t="shared" si="26"/>
        <v>2377.6536492800001</v>
      </c>
      <c r="F22" s="48">
        <f>F$24*$F$9</f>
        <v>2457.7300675200004</v>
      </c>
      <c r="G22" s="48">
        <f t="shared" si="7"/>
        <v>2546.6610897000005</v>
      </c>
      <c r="H22" s="87" t="s">
        <v>36</v>
      </c>
      <c r="I22" s="100">
        <v>1</v>
      </c>
      <c r="J22" s="87">
        <f>J$24*$H9*$I$22</f>
        <v>2638.3408889292009</v>
      </c>
      <c r="K22" s="48">
        <f t="shared" si="8"/>
        <v>2295.356573368405</v>
      </c>
      <c r="L22" s="48">
        <f t="shared" si="9"/>
        <v>303.02664279796335</v>
      </c>
      <c r="M22" s="105">
        <f t="shared" si="10"/>
        <v>0.96613815789473712</v>
      </c>
      <c r="N22" s="87">
        <f t="shared" si="11"/>
        <v>2770.2579333756607</v>
      </c>
      <c r="O22" s="48">
        <f t="shared" si="12"/>
        <v>2216.2063467005287</v>
      </c>
      <c r="P22" s="49">
        <f t="shared" si="13"/>
        <v>489.50457682747924</v>
      </c>
      <c r="Q22" s="87">
        <f t="shared" si="14"/>
        <v>2869.4631161249245</v>
      </c>
      <c r="R22" s="48">
        <f t="shared" si="15"/>
        <v>1721.6778696749545</v>
      </c>
      <c r="S22" s="49">
        <f t="shared" si="16"/>
        <v>1014.0682652385484</v>
      </c>
      <c r="T22" s="87">
        <f t="shared" si="17"/>
        <v>3012.9362719311707</v>
      </c>
      <c r="U22" s="48">
        <f t="shared" si="18"/>
        <v>1506.4681359655854</v>
      </c>
      <c r="V22" s="49">
        <f t="shared" si="19"/>
        <v>1330.9645981255946</v>
      </c>
      <c r="W22" s="48">
        <f>W$24*L9*$I22</f>
        <v>3120.2463309314594</v>
      </c>
      <c r="X22" s="48">
        <f t="shared" si="20"/>
        <v>936.07389927943791</v>
      </c>
      <c r="Y22" s="48">
        <f t="shared" si="21"/>
        <v>1929.7163433645608</v>
      </c>
      <c r="Z22" s="87">
        <f>Z$24*M$9*$I22</f>
        <v>3276.2586474780328</v>
      </c>
      <c r="AA22" s="48">
        <f t="shared" si="22"/>
        <v>0</v>
      </c>
      <c r="AB22" s="48">
        <f t="shared" si="23"/>
        <v>2894.574515046842</v>
      </c>
      <c r="AC22" s="105">
        <f t="shared" si="24"/>
        <v>1.1997382551069085</v>
      </c>
    </row>
    <row r="23" spans="2:34" ht="15.6" thickBot="1" x14ac:dyDescent="0.45">
      <c r="B23" s="47" t="s">
        <v>52</v>
      </c>
      <c r="C23" s="48">
        <f t="shared" si="25"/>
        <v>1680.4991914666666</v>
      </c>
      <c r="D23" s="48">
        <f t="shared" si="26"/>
        <v>1426.9632000000001</v>
      </c>
      <c r="E23" s="48">
        <f t="shared" si="26"/>
        <v>1463.1714764800001</v>
      </c>
      <c r="F23" s="48">
        <f>F$24*$F$10</f>
        <v>1512.4492723200001</v>
      </c>
      <c r="G23" s="48">
        <f t="shared" si="7"/>
        <v>1567.1760552000003</v>
      </c>
      <c r="H23" s="112" t="s">
        <v>36</v>
      </c>
      <c r="I23" s="113">
        <v>1</v>
      </c>
      <c r="J23" s="87">
        <f>J$24*$H10*$I$23</f>
        <v>1623.5943931872005</v>
      </c>
      <c r="K23" s="48">
        <f t="shared" si="8"/>
        <v>1412.5271220728644</v>
      </c>
      <c r="L23" s="48">
        <f t="shared" si="9"/>
        <v>186.47793402951592</v>
      </c>
      <c r="M23" s="105">
        <f t="shared" si="10"/>
        <v>0.96613815789473712</v>
      </c>
      <c r="N23" s="87">
        <f t="shared" si="11"/>
        <v>1704.7741128465605</v>
      </c>
      <c r="O23" s="48">
        <f t="shared" si="12"/>
        <v>1363.8192902772485</v>
      </c>
      <c r="P23" s="49">
        <f t="shared" si="13"/>
        <v>301.23358573998723</v>
      </c>
      <c r="Q23" s="87">
        <f t="shared" si="14"/>
        <v>1765.8234560768765</v>
      </c>
      <c r="R23" s="48">
        <f t="shared" si="15"/>
        <v>1059.4940736461258</v>
      </c>
      <c r="S23" s="49">
        <f t="shared" si="16"/>
        <v>624.04200937756821</v>
      </c>
      <c r="T23" s="87">
        <f t="shared" si="17"/>
        <v>1854.1146288807204</v>
      </c>
      <c r="U23" s="48">
        <f t="shared" si="18"/>
        <v>927.05731444036019</v>
      </c>
      <c r="V23" s="49">
        <f t="shared" si="19"/>
        <v>819.05513730805819</v>
      </c>
      <c r="W23" s="48">
        <f>W$24*L10*$I23</f>
        <v>1920.1515882655133</v>
      </c>
      <c r="X23" s="48">
        <f t="shared" si="20"/>
        <v>576.0454764796541</v>
      </c>
      <c r="Y23" s="48">
        <f t="shared" si="21"/>
        <v>1187.5177497628065</v>
      </c>
      <c r="Z23" s="87">
        <f>Z$24*M$10*$I23</f>
        <v>2016.1591676787891</v>
      </c>
      <c r="AA23" s="48">
        <f t="shared" si="22"/>
        <v>0</v>
      </c>
      <c r="AB23" s="48">
        <f t="shared" si="23"/>
        <v>1781.2766246442102</v>
      </c>
      <c r="AC23" s="105">
        <f t="shared" si="24"/>
        <v>1.1997382551069085</v>
      </c>
    </row>
    <row r="24" spans="2:34" ht="15.6" thickTop="1" x14ac:dyDescent="0.4">
      <c r="B24" s="50" t="s">
        <v>20</v>
      </c>
      <c r="C24" s="51">
        <f t="shared" si="25"/>
        <v>27639.789333333334</v>
      </c>
      <c r="D24" s="51">
        <f>$D$17/D4</f>
        <v>22868</v>
      </c>
      <c r="E24" s="51">
        <f>D24*(1+E2)</f>
        <v>23691.248</v>
      </c>
      <c r="F24" s="51">
        <f>E24*(1+$F$2)</f>
        <v>24875.810400000002</v>
      </c>
      <c r="G24" s="51">
        <f>F24*(1+$G$2)</f>
        <v>26119.600920000004</v>
      </c>
      <c r="H24" s="94" t="str">
        <f>IF(Y7&gt;X7,H23,H17)</f>
        <v>R454B</v>
      </c>
      <c r="I24" s="103" cm="1">
        <f t="array" ref="I24">SUM(D17:D23*I17:I23)/D24</f>
        <v>1</v>
      </c>
      <c r="J24" s="88">
        <f>G24*(1+$H$2)</f>
        <v>27425.580966000005</v>
      </c>
      <c r="K24" s="52"/>
      <c r="L24" s="52"/>
      <c r="M24" s="106">
        <f t="shared" si="10"/>
        <v>0.99225000000000019</v>
      </c>
      <c r="N24" s="94">
        <f>J24*(1+$I$2)</f>
        <v>28796.860014300008</v>
      </c>
      <c r="O24" s="52"/>
      <c r="P24" s="89"/>
      <c r="Q24" s="94">
        <f>N24*(1+$J$2)</f>
        <v>30236.703015015009</v>
      </c>
      <c r="R24" s="52"/>
      <c r="S24" s="89"/>
      <c r="T24" s="94">
        <f>Q24*(1+K2)</f>
        <v>31748.53816576576</v>
      </c>
      <c r="U24" s="52"/>
      <c r="V24" s="89"/>
      <c r="W24" s="52">
        <f>T24*(1+$L$2)</f>
        <v>33335.965074054053</v>
      </c>
      <c r="X24" s="52"/>
      <c r="Y24" s="52"/>
      <c r="Z24" s="94">
        <f>W24*(1+$M$2)</f>
        <v>35002.763327756758</v>
      </c>
      <c r="AA24" s="52"/>
      <c r="AB24" s="52"/>
      <c r="AC24" s="106"/>
    </row>
    <row r="25" spans="2:34" x14ac:dyDescent="0.4">
      <c r="C25" s="5"/>
    </row>
    <row r="27" spans="2:34" ht="75" x14ac:dyDescent="0.35">
      <c r="B27" s="58" t="s">
        <v>107</v>
      </c>
      <c r="C27" s="37" t="s">
        <v>118</v>
      </c>
      <c r="D27" s="37" t="s">
        <v>66</v>
      </c>
      <c r="E27" s="81" t="s">
        <v>88</v>
      </c>
      <c r="F27" s="37" t="s">
        <v>97</v>
      </c>
      <c r="G27" s="37" t="s">
        <v>98</v>
      </c>
      <c r="H27" s="81" t="s">
        <v>55</v>
      </c>
      <c r="I27" s="82" t="s">
        <v>112</v>
      </c>
      <c r="J27" s="495" t="s">
        <v>71</v>
      </c>
      <c r="K27" s="496"/>
      <c r="L27" s="496"/>
      <c r="M27" s="123" t="s">
        <v>116</v>
      </c>
      <c r="N27" s="495" t="s">
        <v>73</v>
      </c>
      <c r="O27" s="496"/>
      <c r="P27" s="496"/>
      <c r="Q27" s="495" t="s">
        <v>77</v>
      </c>
      <c r="R27" s="496"/>
      <c r="S27" s="496"/>
      <c r="T27" s="495" t="s">
        <v>78</v>
      </c>
      <c r="U27" s="496"/>
      <c r="V27" s="497"/>
      <c r="W27" s="496" t="s">
        <v>79</v>
      </c>
      <c r="X27" s="496"/>
      <c r="Y27" s="496"/>
      <c r="Z27" s="495" t="s">
        <v>80</v>
      </c>
      <c r="AA27" s="496"/>
      <c r="AB27" s="496"/>
      <c r="AC27" s="145" t="s">
        <v>108</v>
      </c>
      <c r="AE27" t="s">
        <v>119</v>
      </c>
      <c r="AF27" t="s">
        <v>120</v>
      </c>
      <c r="AG27" t="s">
        <v>121</v>
      </c>
      <c r="AH27" t="s">
        <v>35</v>
      </c>
    </row>
    <row r="28" spans="2:34" x14ac:dyDescent="0.4">
      <c r="B28" s="40" t="s">
        <v>56</v>
      </c>
      <c r="C28" s="41">
        <f>C17*2090</f>
        <v>13864118.329599999</v>
      </c>
      <c r="D28" s="41">
        <f>D17*2090</f>
        <v>10514706.4</v>
      </c>
      <c r="E28" s="41">
        <f>E17*2090</f>
        <v>11289353.496959999</v>
      </c>
      <c r="F28" s="41">
        <f>F17*2090</f>
        <v>12477706.49664</v>
      </c>
      <c r="G28" s="41">
        <f>G17*2090</f>
        <v>13647491.480700003</v>
      </c>
      <c r="H28" s="93" t="str">
        <f>H17</f>
        <v>R32</v>
      </c>
      <c r="I28" s="102">
        <v>1</v>
      </c>
      <c r="J28" s="84">
        <f>K28+L28</f>
        <v>13380511.605841381</v>
      </c>
      <c r="K28" s="42">
        <f>K17*2090</f>
        <v>12965662.806324232</v>
      </c>
      <c r="L28" s="42">
        <f>IF($H$28="R32",L17*675,L17*465)</f>
        <v>414848.7995171494</v>
      </c>
      <c r="M28" s="98">
        <f t="shared" ref="M28:M35" si="27">J28/C28</f>
        <v>0.96511810471740467</v>
      </c>
      <c r="N28" s="84">
        <f>O28+P28</f>
        <v>13188711.353867279</v>
      </c>
      <c r="O28" s="42">
        <f t="shared" ref="O28:O34" si="28">O17*2090</f>
        <v>12518570.9854165</v>
      </c>
      <c r="P28" s="85">
        <f>IF($H$28="R32",P17*675,P17*465)</f>
        <v>670140.36845077982</v>
      </c>
      <c r="Q28" s="84">
        <f>R28+S28</f>
        <v>11698964.402637599</v>
      </c>
      <c r="R28" s="42">
        <f t="shared" ref="R28:R34" si="29">R17*2090</f>
        <v>10237542.906823782</v>
      </c>
      <c r="S28" s="42">
        <f>IF($H$28="R32",S17*675,S17*465)</f>
        <v>1461421.4958138161</v>
      </c>
      <c r="T28" s="84">
        <f>U28+V28</f>
        <v>10875965.756726446</v>
      </c>
      <c r="U28" s="42">
        <f t="shared" ref="U28:U34" si="30">U17*2090</f>
        <v>8957850.0434708111</v>
      </c>
      <c r="V28" s="85">
        <f>IF($H$28="R32",V17*675,V17*465)</f>
        <v>1918115.7132556338</v>
      </c>
      <c r="W28" s="41">
        <f>X28+Y28</f>
        <v>8776522.8712750748</v>
      </c>
      <c r="X28" s="42">
        <f t="shared" ref="X28:X34" si="31">X17*2090</f>
        <v>5852462.0284009306</v>
      </c>
      <c r="Y28" s="42">
        <f>IF($H$28="R32",Y17*675,Y17*465)</f>
        <v>2924060.8428741437</v>
      </c>
      <c r="Z28" s="84">
        <f>AA28+AB28</f>
        <v>4386091.2643112168</v>
      </c>
      <c r="AA28" s="42">
        <f t="shared" ref="AA28:AA34" si="32">AA17*2090</f>
        <v>0</v>
      </c>
      <c r="AB28" s="42">
        <f>IF($H$28="R32",AB17*675,AB17*465)</f>
        <v>4386091.2643112168</v>
      </c>
      <c r="AC28" s="146">
        <f t="shared" ref="AC28:AC35" si="33">Z28/C28</f>
        <v>0.31636279783813431</v>
      </c>
      <c r="AD28" s="18"/>
      <c r="AE28" s="18">
        <v>0.3</v>
      </c>
      <c r="AF28" s="18">
        <f>AC28-AE28</f>
        <v>1.6362797838134324E-2</v>
      </c>
      <c r="AG28" s="4">
        <f>AF28*AB28</f>
        <v>71768.72465753142</v>
      </c>
      <c r="AH28" s="172">
        <f>AG28/675</f>
        <v>106.32403652967618</v>
      </c>
    </row>
    <row r="29" spans="2:34" x14ac:dyDescent="0.4">
      <c r="B29" s="43" t="s">
        <v>41</v>
      </c>
      <c r="C29" s="44">
        <f t="shared" ref="C29:G35" si="34">C18*2090</f>
        <v>8780608.2754133362</v>
      </c>
      <c r="D29" s="44">
        <f t="shared" si="34"/>
        <v>7455882.7200000016</v>
      </c>
      <c r="E29" s="44">
        <f t="shared" si="34"/>
        <v>7645070.9646080006</v>
      </c>
      <c r="F29" s="44">
        <f t="shared" si="34"/>
        <v>7902547.4478720026</v>
      </c>
      <c r="G29" s="44">
        <f t="shared" si="34"/>
        <v>8188494.8884200025</v>
      </c>
      <c r="H29" s="86" t="str">
        <f t="shared" ref="H29:H35" si="35">H18</f>
        <v>R454B</v>
      </c>
      <c r="I29" s="46">
        <v>1</v>
      </c>
      <c r="J29" s="86">
        <f t="shared" ref="J29:J34" si="36">K29+L29</f>
        <v>7597234.8111400269</v>
      </c>
      <c r="K29" s="44">
        <f t="shared" ref="K29:K34" si="37">K18*2090</f>
        <v>7380454.2128307149</v>
      </c>
      <c r="L29" s="44">
        <f t="shared" ref="L29:L34" si="38">IF($H29="R32",L18*675,L18*465)</f>
        <v>216780.59830931219</v>
      </c>
      <c r="M29" s="104">
        <f t="shared" si="27"/>
        <v>0.86522876010915051</v>
      </c>
      <c r="N29" s="86">
        <f t="shared" ref="N29:N34" si="39">O29+P29</f>
        <v>7476139.8351213578</v>
      </c>
      <c r="O29" s="44">
        <f t="shared" si="28"/>
        <v>7125955.7916986225</v>
      </c>
      <c r="P29" s="45">
        <f t="shared" ref="P29:P34" si="40">IF($H$29="R32",P18*675,P18*465)</f>
        <v>350184.04342273512</v>
      </c>
      <c r="Q29" s="86">
        <f t="shared" ref="Q29:Q34" si="41">R29+S29</f>
        <v>6261305.3707024306</v>
      </c>
      <c r="R29" s="44">
        <f t="shared" si="29"/>
        <v>5535856.5348010072</v>
      </c>
      <c r="S29" s="44">
        <f t="shared" ref="S29:S34" si="42">IF($H$29="R32",S18*675,S18*465)</f>
        <v>725448.83590142301</v>
      </c>
      <c r="T29" s="86">
        <f t="shared" ref="T29:T34" si="43">U29+V29</f>
        <v>5796026.065071499</v>
      </c>
      <c r="U29" s="44">
        <f t="shared" si="30"/>
        <v>4843874.4679508815</v>
      </c>
      <c r="V29" s="45">
        <f t="shared" ref="V29:V34" si="44">IF($H$29="R32",V18*675,V18*465)</f>
        <v>952151.59712061752</v>
      </c>
      <c r="W29" s="44">
        <f t="shared" ref="W29:W34" si="45">X29+Y29</f>
        <v>4390326.998705456</v>
      </c>
      <c r="X29" s="44">
        <f t="shared" si="31"/>
        <v>3009837.6146061928</v>
      </c>
      <c r="Y29" s="44">
        <f t="shared" ref="Y29:Y34" si="46">IF($H$29="R32",Y18*675,Y18*465)</f>
        <v>1380489.3840992628</v>
      </c>
      <c r="Z29" s="86">
        <f t="shared" ref="Z29:Z34" si="47">AA29+AB29</f>
        <v>2070734.0761488941</v>
      </c>
      <c r="AA29" s="44">
        <f t="shared" si="32"/>
        <v>0</v>
      </c>
      <c r="AB29" s="44">
        <f t="shared" ref="AB29:AB34" si="48">IF($H$29="R32",AB18*675,AB18*465)</f>
        <v>2070734.0761488941</v>
      </c>
      <c r="AC29" s="28">
        <f>Z29/C29</f>
        <v>0.23583036746408287</v>
      </c>
    </row>
    <row r="30" spans="2:34" x14ac:dyDescent="0.4">
      <c r="B30" s="33" t="s">
        <v>44</v>
      </c>
      <c r="C30" s="44">
        <f t="shared" si="34"/>
        <v>10097699.516725335</v>
      </c>
      <c r="D30" s="44">
        <f t="shared" si="34"/>
        <v>8574265.1279999986</v>
      </c>
      <c r="E30" s="44">
        <f t="shared" si="34"/>
        <v>8791831.6092992015</v>
      </c>
      <c r="F30" s="44">
        <f t="shared" si="34"/>
        <v>9087929.5650528017</v>
      </c>
      <c r="G30" s="44">
        <f t="shared" si="34"/>
        <v>9416769.1216830015</v>
      </c>
      <c r="H30" s="86" t="str">
        <f t="shared" si="35"/>
        <v>R454B</v>
      </c>
      <c r="I30" s="46">
        <v>1</v>
      </c>
      <c r="J30" s="86">
        <f t="shared" si="36"/>
        <v>8736820.0328110345</v>
      </c>
      <c r="K30" s="44">
        <f t="shared" si="37"/>
        <v>8487522.3447553255</v>
      </c>
      <c r="L30" s="95">
        <f t="shared" si="38"/>
        <v>249297.68805570906</v>
      </c>
      <c r="M30" s="104">
        <f t="shared" si="27"/>
        <v>0.86522876010915095</v>
      </c>
      <c r="N30" s="86">
        <f t="shared" si="39"/>
        <v>8597560.8103895634</v>
      </c>
      <c r="O30" s="44">
        <f t="shared" si="28"/>
        <v>8194849.1604534173</v>
      </c>
      <c r="P30" s="45">
        <f t="shared" si="40"/>
        <v>402711.64993614546</v>
      </c>
      <c r="Q30" s="86">
        <f t="shared" si="41"/>
        <v>7200501.1763077946</v>
      </c>
      <c r="R30" s="44">
        <f t="shared" si="29"/>
        <v>6366235.0150211584</v>
      </c>
      <c r="S30" s="44">
        <f t="shared" si="42"/>
        <v>834266.16128663637</v>
      </c>
      <c r="T30" s="86">
        <f t="shared" si="43"/>
        <v>6665429.9748322247</v>
      </c>
      <c r="U30" s="44">
        <f t="shared" si="30"/>
        <v>5570455.6381435143</v>
      </c>
      <c r="V30" s="45">
        <f t="shared" si="44"/>
        <v>1094974.3366887104</v>
      </c>
      <c r="W30" s="44">
        <f t="shared" si="45"/>
        <v>5048876.0485112732</v>
      </c>
      <c r="X30" s="44">
        <f t="shared" si="31"/>
        <v>3461313.2567971214</v>
      </c>
      <c r="Y30" s="44">
        <f t="shared" si="46"/>
        <v>1587562.7917141521</v>
      </c>
      <c r="Z30" s="86">
        <f t="shared" si="47"/>
        <v>2381344.187571228</v>
      </c>
      <c r="AA30" s="44">
        <f t="shared" si="32"/>
        <v>0</v>
      </c>
      <c r="AB30" s="44">
        <f t="shared" si="48"/>
        <v>2381344.187571228</v>
      </c>
      <c r="AC30" s="28">
        <f t="shared" si="33"/>
        <v>0.2358303674640829</v>
      </c>
    </row>
    <row r="31" spans="2:34" x14ac:dyDescent="0.4">
      <c r="B31" s="33" t="s">
        <v>45</v>
      </c>
      <c r="C31" s="44">
        <f t="shared" si="34"/>
        <v>1756121.6550826665</v>
      </c>
      <c r="D31" s="44">
        <f t="shared" si="34"/>
        <v>1491176.5440000002</v>
      </c>
      <c r="E31" s="44">
        <f t="shared" si="34"/>
        <v>1529014.1929216001</v>
      </c>
      <c r="F31" s="44">
        <f t="shared" si="34"/>
        <v>1580509.4895744</v>
      </c>
      <c r="G31" s="44">
        <f t="shared" si="34"/>
        <v>1637698.9776840003</v>
      </c>
      <c r="H31" s="86" t="str">
        <f t="shared" si="35"/>
        <v>R454B</v>
      </c>
      <c r="I31" s="99">
        <v>1</v>
      </c>
      <c r="J31" s="86">
        <f t="shared" si="36"/>
        <v>1519446.9622280058</v>
      </c>
      <c r="K31" s="44">
        <f t="shared" si="37"/>
        <v>1476090.8425661433</v>
      </c>
      <c r="L31" s="44">
        <f t="shared" si="38"/>
        <v>43356.119661862453</v>
      </c>
      <c r="M31" s="104">
        <f t="shared" si="27"/>
        <v>0.86522876010915106</v>
      </c>
      <c r="N31" s="86">
        <f t="shared" si="39"/>
        <v>1495227.9670242716</v>
      </c>
      <c r="O31" s="44">
        <f t="shared" si="28"/>
        <v>1425191.1583397246</v>
      </c>
      <c r="P31" s="45">
        <f t="shared" si="40"/>
        <v>70036.808684547039</v>
      </c>
      <c r="Q31" s="86">
        <f t="shared" si="41"/>
        <v>1252261.0741404858</v>
      </c>
      <c r="R31" s="44">
        <f t="shared" si="29"/>
        <v>1107171.3069602014</v>
      </c>
      <c r="S31" s="44">
        <f t="shared" si="42"/>
        <v>145089.7671802846</v>
      </c>
      <c r="T31" s="86">
        <f t="shared" si="43"/>
        <v>1159205.2130143</v>
      </c>
      <c r="U31" s="44">
        <f t="shared" si="30"/>
        <v>968774.89359017636</v>
      </c>
      <c r="V31" s="45">
        <f t="shared" si="44"/>
        <v>190430.31942412353</v>
      </c>
      <c r="W31" s="44">
        <f t="shared" si="45"/>
        <v>878065.39974109107</v>
      </c>
      <c r="X31" s="44">
        <f t="shared" si="31"/>
        <v>601967.52292123856</v>
      </c>
      <c r="Y31" s="44">
        <f t="shared" si="46"/>
        <v>276097.87681985251</v>
      </c>
      <c r="Z31" s="86">
        <f t="shared" si="47"/>
        <v>414146.81522977888</v>
      </c>
      <c r="AA31" s="44">
        <f t="shared" si="32"/>
        <v>0</v>
      </c>
      <c r="AB31" s="44">
        <f t="shared" si="48"/>
        <v>414146.81522977888</v>
      </c>
      <c r="AC31" s="28">
        <f t="shared" si="33"/>
        <v>0.23583036746408301</v>
      </c>
    </row>
    <row r="32" spans="2:34" x14ac:dyDescent="0.4">
      <c r="B32" s="47" t="s">
        <v>47</v>
      </c>
      <c r="C32" s="48">
        <f t="shared" si="34"/>
        <v>14048973.240661332</v>
      </c>
      <c r="D32" s="48">
        <f t="shared" si="34"/>
        <v>11929412.352000002</v>
      </c>
      <c r="E32" s="48">
        <f t="shared" si="34"/>
        <v>12232113.543372801</v>
      </c>
      <c r="F32" s="48">
        <f t="shared" si="34"/>
        <v>12644075.9165952</v>
      </c>
      <c r="G32" s="48">
        <f t="shared" si="34"/>
        <v>13101591.821472002</v>
      </c>
      <c r="H32" s="87" t="str">
        <f t="shared" si="35"/>
        <v>R454B</v>
      </c>
      <c r="I32" s="100">
        <v>1</v>
      </c>
      <c r="J32" s="87">
        <f t="shared" si="36"/>
        <v>12155575.697824046</v>
      </c>
      <c r="K32" s="48">
        <f t="shared" si="37"/>
        <v>11808726.740529146</v>
      </c>
      <c r="L32" s="48">
        <f t="shared" si="38"/>
        <v>346848.95729489962</v>
      </c>
      <c r="M32" s="105">
        <f t="shared" si="27"/>
        <v>0.86522876010915106</v>
      </c>
      <c r="N32" s="87">
        <f t="shared" si="39"/>
        <v>11961823.736194173</v>
      </c>
      <c r="O32" s="48">
        <f t="shared" si="28"/>
        <v>11401529.266717797</v>
      </c>
      <c r="P32" s="49">
        <f t="shared" si="40"/>
        <v>560294.46947637631</v>
      </c>
      <c r="Q32" s="87">
        <f t="shared" si="41"/>
        <v>10018088.593123887</v>
      </c>
      <c r="R32" s="48">
        <f t="shared" si="29"/>
        <v>8857370.4556816109</v>
      </c>
      <c r="S32" s="48">
        <f t="shared" si="42"/>
        <v>1160718.1374422768</v>
      </c>
      <c r="T32" s="87">
        <f t="shared" si="43"/>
        <v>9273641.7041143999</v>
      </c>
      <c r="U32" s="48">
        <f t="shared" si="30"/>
        <v>7750199.1487214109</v>
      </c>
      <c r="V32" s="49">
        <f t="shared" si="44"/>
        <v>1523442.5553929883</v>
      </c>
      <c r="W32" s="48">
        <f t="shared" si="45"/>
        <v>7024523.1979287285</v>
      </c>
      <c r="X32" s="48">
        <f t="shared" si="31"/>
        <v>4815740.1833699085</v>
      </c>
      <c r="Y32" s="48">
        <f t="shared" si="46"/>
        <v>2208783.0145588201</v>
      </c>
      <c r="Z32" s="87">
        <f t="shared" si="47"/>
        <v>3313174.521838231</v>
      </c>
      <c r="AA32" s="48">
        <f t="shared" si="32"/>
        <v>0</v>
      </c>
      <c r="AB32" s="48">
        <f t="shared" si="48"/>
        <v>3313174.521838231</v>
      </c>
      <c r="AC32" s="147">
        <f t="shared" si="33"/>
        <v>0.23583036746408301</v>
      </c>
    </row>
    <row r="33" spans="2:29" x14ac:dyDescent="0.4">
      <c r="B33" s="47" t="s">
        <v>50</v>
      </c>
      <c r="C33" s="48">
        <f t="shared" si="34"/>
        <v>5707395.3790186672</v>
      </c>
      <c r="D33" s="48">
        <f t="shared" si="34"/>
        <v>4846323.7680000002</v>
      </c>
      <c r="E33" s="48">
        <f t="shared" si="34"/>
        <v>4969296.1269952003</v>
      </c>
      <c r="F33" s="48">
        <f t="shared" si="34"/>
        <v>5136655.8411168009</v>
      </c>
      <c r="G33" s="48">
        <f t="shared" si="34"/>
        <v>5322521.6774730012</v>
      </c>
      <c r="H33" s="87" t="str">
        <f t="shared" si="35"/>
        <v>R454B</v>
      </c>
      <c r="I33" s="100">
        <v>1</v>
      </c>
      <c r="J33" s="87">
        <f t="shared" si="36"/>
        <v>4938202.6272410192</v>
      </c>
      <c r="K33" s="48">
        <f t="shared" si="37"/>
        <v>4797295.2383399662</v>
      </c>
      <c r="L33" s="48">
        <f t="shared" si="38"/>
        <v>140907.38890105297</v>
      </c>
      <c r="M33" s="105">
        <f t="shared" si="27"/>
        <v>0.86522876010915095</v>
      </c>
      <c r="N33" s="87">
        <f t="shared" si="39"/>
        <v>4859490.8928288827</v>
      </c>
      <c r="O33" s="48">
        <f t="shared" si="28"/>
        <v>4631871.2646041047</v>
      </c>
      <c r="P33" s="49">
        <f t="shared" si="40"/>
        <v>227619.62822477784</v>
      </c>
      <c r="Q33" s="87">
        <f t="shared" si="41"/>
        <v>4069848.4909565798</v>
      </c>
      <c r="R33" s="48">
        <f t="shared" si="29"/>
        <v>3598306.7476206548</v>
      </c>
      <c r="S33" s="48">
        <f t="shared" si="42"/>
        <v>471541.74333592498</v>
      </c>
      <c r="T33" s="87">
        <f t="shared" si="43"/>
        <v>3767416.9422964752</v>
      </c>
      <c r="U33" s="48">
        <f t="shared" si="30"/>
        <v>3148518.4041680736</v>
      </c>
      <c r="V33" s="49">
        <f t="shared" si="44"/>
        <v>618898.5381284015</v>
      </c>
      <c r="W33" s="48">
        <f t="shared" si="45"/>
        <v>2853712.5491585461</v>
      </c>
      <c r="X33" s="48">
        <f t="shared" si="31"/>
        <v>1956394.4494940252</v>
      </c>
      <c r="Y33" s="48">
        <f t="shared" si="46"/>
        <v>897318.09966452071</v>
      </c>
      <c r="Z33" s="87">
        <f t="shared" si="47"/>
        <v>1345977.1494967814</v>
      </c>
      <c r="AA33" s="48">
        <f t="shared" si="32"/>
        <v>0</v>
      </c>
      <c r="AB33" s="48">
        <f t="shared" si="48"/>
        <v>1345977.1494967814</v>
      </c>
      <c r="AC33" s="147">
        <f t="shared" si="33"/>
        <v>0.23583036746408298</v>
      </c>
    </row>
    <row r="34" spans="2:29" ht="15.6" thickBot="1" x14ac:dyDescent="0.45">
      <c r="B34" s="47" t="s">
        <v>52</v>
      </c>
      <c r="C34" s="48">
        <f t="shared" si="34"/>
        <v>3512243.3101653331</v>
      </c>
      <c r="D34" s="48">
        <f t="shared" si="34"/>
        <v>2982353.0880000005</v>
      </c>
      <c r="E34" s="48">
        <f t="shared" si="34"/>
        <v>3058028.3858432001</v>
      </c>
      <c r="F34" s="48">
        <f t="shared" si="34"/>
        <v>3161018.9791488</v>
      </c>
      <c r="G34" s="48">
        <f t="shared" si="34"/>
        <v>3275397.9553680005</v>
      </c>
      <c r="H34" s="87" t="str">
        <f t="shared" si="35"/>
        <v>R454B</v>
      </c>
      <c r="I34" s="100">
        <v>1</v>
      </c>
      <c r="J34" s="87">
        <f t="shared" si="36"/>
        <v>3038893.9244560115</v>
      </c>
      <c r="K34" s="48">
        <f t="shared" si="37"/>
        <v>2952181.6851322865</v>
      </c>
      <c r="L34" s="48">
        <f t="shared" si="38"/>
        <v>86712.239323724905</v>
      </c>
      <c r="M34" s="105">
        <f t="shared" si="27"/>
        <v>0.86522876010915106</v>
      </c>
      <c r="N34" s="87">
        <f t="shared" si="39"/>
        <v>2990455.9340485432</v>
      </c>
      <c r="O34" s="48">
        <f t="shared" si="28"/>
        <v>2850382.3166794493</v>
      </c>
      <c r="P34" s="49">
        <f t="shared" si="40"/>
        <v>140073.61736909408</v>
      </c>
      <c r="Q34" s="87">
        <f t="shared" si="41"/>
        <v>2504522.1482809717</v>
      </c>
      <c r="R34" s="48">
        <f t="shared" si="29"/>
        <v>2214342.6139204027</v>
      </c>
      <c r="S34" s="48">
        <f t="shared" si="42"/>
        <v>290179.5343605692</v>
      </c>
      <c r="T34" s="87">
        <f t="shared" si="43"/>
        <v>2318410.4260286</v>
      </c>
      <c r="U34" s="48">
        <f t="shared" si="30"/>
        <v>1937549.7871803527</v>
      </c>
      <c r="V34" s="49">
        <f t="shared" si="44"/>
        <v>380860.63884824706</v>
      </c>
      <c r="W34" s="48">
        <f t="shared" si="45"/>
        <v>1756130.7994821821</v>
      </c>
      <c r="X34" s="48">
        <f t="shared" si="31"/>
        <v>1203935.0458424771</v>
      </c>
      <c r="Y34" s="48">
        <f t="shared" si="46"/>
        <v>552195.75363970501</v>
      </c>
      <c r="Z34" s="87">
        <f t="shared" si="47"/>
        <v>828293.63045955775</v>
      </c>
      <c r="AA34" s="48">
        <f t="shared" si="32"/>
        <v>0</v>
      </c>
      <c r="AB34" s="48">
        <f t="shared" si="48"/>
        <v>828293.63045955775</v>
      </c>
      <c r="AC34" s="147">
        <f t="shared" si="33"/>
        <v>0.23583036746408301</v>
      </c>
    </row>
    <row r="35" spans="2:29" s="158" customFormat="1" ht="15.6" thickTop="1" x14ac:dyDescent="0.4">
      <c r="B35" s="159" t="s">
        <v>20</v>
      </c>
      <c r="C35" s="148">
        <f t="shared" si="34"/>
        <v>57767159.706666671</v>
      </c>
      <c r="D35" s="148">
        <f t="shared" si="34"/>
        <v>47794120</v>
      </c>
      <c r="E35" s="148">
        <f t="shared" si="34"/>
        <v>49514708.32</v>
      </c>
      <c r="F35" s="148">
        <f t="shared" si="34"/>
        <v>51990443.736000001</v>
      </c>
      <c r="G35" s="148">
        <f t="shared" si="34"/>
        <v>54589965.922800012</v>
      </c>
      <c r="H35" s="52" t="str">
        <f t="shared" si="35"/>
        <v>R454B</v>
      </c>
      <c r="I35" s="103" cm="1">
        <f t="array" ref="I35">SUM(D28:D34*I28:I34)/D35</f>
        <v>1</v>
      </c>
      <c r="J35" s="148">
        <f>SUM(J28:J34)</f>
        <v>51366685.661541522</v>
      </c>
      <c r="K35" s="148">
        <f>SUM(K28:K34)</f>
        <v>49867933.870477818</v>
      </c>
      <c r="L35" s="155">
        <f>SUM(L29:L34)</f>
        <v>1083902.9915465612</v>
      </c>
      <c r="M35" s="134">
        <f t="shared" si="27"/>
        <v>0.88920220281513174</v>
      </c>
      <c r="N35" s="148">
        <f t="shared" ref="N35:AB35" si="49">SUM(N28:N34)</f>
        <v>50569410.529474065</v>
      </c>
      <c r="O35" s="148">
        <f t="shared" si="49"/>
        <v>48148349.943909615</v>
      </c>
      <c r="P35" s="155">
        <f t="shared" si="49"/>
        <v>2421060.5855644555</v>
      </c>
      <c r="Q35" s="148">
        <f t="shared" si="49"/>
        <v>43005491.256149754</v>
      </c>
      <c r="R35" s="148">
        <f t="shared" si="49"/>
        <v>37916825.580828823</v>
      </c>
      <c r="S35" s="155">
        <f t="shared" si="49"/>
        <v>5088665.6753209308</v>
      </c>
      <c r="T35" s="156">
        <f t="shared" si="49"/>
        <v>39856096.082083948</v>
      </c>
      <c r="U35" s="148">
        <f t="shared" si="49"/>
        <v>33177222.383225217</v>
      </c>
      <c r="V35" s="157">
        <f t="shared" si="49"/>
        <v>6678873.6988587212</v>
      </c>
      <c r="W35" s="148">
        <f t="shared" si="49"/>
        <v>30728157.864802349</v>
      </c>
      <c r="X35" s="148">
        <f t="shared" si="49"/>
        <v>20901650.101431895</v>
      </c>
      <c r="Y35" s="155">
        <f t="shared" si="49"/>
        <v>9826507.763370458</v>
      </c>
      <c r="Z35" s="156">
        <f t="shared" si="49"/>
        <v>14739761.645055687</v>
      </c>
      <c r="AA35" s="148">
        <f t="shared" si="49"/>
        <v>0</v>
      </c>
      <c r="AB35" s="155">
        <f t="shared" si="49"/>
        <v>14739761.645055687</v>
      </c>
      <c r="AC35" s="103">
        <f t="shared" si="33"/>
        <v>0.25515815075385523</v>
      </c>
    </row>
    <row r="36" spans="2:29" x14ac:dyDescent="0.4">
      <c r="B36" s="135"/>
    </row>
    <row r="45" spans="2:29" x14ac:dyDescent="0.4">
      <c r="C45" s="6"/>
    </row>
  </sheetData>
  <mergeCells count="22">
    <mergeCell ref="B3:B5"/>
    <mergeCell ref="F12:G12"/>
    <mergeCell ref="J14:L14"/>
    <mergeCell ref="N14:P14"/>
    <mergeCell ref="Q14:S14"/>
    <mergeCell ref="B14:B15"/>
    <mergeCell ref="C14:C15"/>
    <mergeCell ref="D14:D15"/>
    <mergeCell ref="E14:E15"/>
    <mergeCell ref="F14:F15"/>
    <mergeCell ref="G14:G15"/>
    <mergeCell ref="H14:H15"/>
    <mergeCell ref="I14:I15"/>
    <mergeCell ref="Z14:AB14"/>
    <mergeCell ref="J27:L27"/>
    <mergeCell ref="N27:P27"/>
    <mergeCell ref="Q27:S27"/>
    <mergeCell ref="T27:V27"/>
    <mergeCell ref="W27:Y27"/>
    <mergeCell ref="Z27:AB27"/>
    <mergeCell ref="T14:V14"/>
    <mergeCell ref="W14:Y14"/>
  </mergeCells>
  <phoneticPr fontId="2"/>
  <conditionalFormatting sqref="B17:H17 J17:P17 J28:P28 AC28">
    <cfRule type="expression" dxfId="208" priority="115">
      <formula>$H$17="R454B"</formula>
    </cfRule>
    <cfRule type="expression" dxfId="207" priority="116">
      <formula>$H$17="R32"</formula>
    </cfRule>
  </conditionalFormatting>
  <conditionalFormatting sqref="B20:H20 J20:P20 J31:P31 AC31">
    <cfRule type="expression" dxfId="206" priority="117">
      <formula>$H$20=$H$17</formula>
    </cfRule>
    <cfRule type="expression" dxfId="205" priority="118">
      <formula>$H$20=$H$23</formula>
    </cfRule>
  </conditionalFormatting>
  <conditionalFormatting sqref="B18:H18 J18:P18 J29:P29 AC29">
    <cfRule type="expression" dxfId="204" priority="119">
      <formula>$H$18=$H$21</formula>
    </cfRule>
    <cfRule type="expression" dxfId="203" priority="120">
      <formula>$H$18=$H$17</formula>
    </cfRule>
  </conditionalFormatting>
  <conditionalFormatting sqref="B19:H19 J19:P19 J30:P30 AC30">
    <cfRule type="expression" dxfId="202" priority="121">
      <formula>$H$19=$H$23</formula>
    </cfRule>
    <cfRule type="expression" dxfId="201" priority="122">
      <formula>$H$19=$H$17</formula>
    </cfRule>
  </conditionalFormatting>
  <conditionalFormatting sqref="I17">
    <cfRule type="expression" dxfId="200" priority="113">
      <formula>$G$16="R454B"</formula>
    </cfRule>
    <cfRule type="expression" dxfId="199" priority="114">
      <formula>$G$16="R32"</formula>
    </cfRule>
  </conditionalFormatting>
  <conditionalFormatting sqref="I18">
    <cfRule type="expression" dxfId="198" priority="111">
      <formula>$H$18=$H$21</formula>
    </cfRule>
    <cfRule type="expression" dxfId="197" priority="112">
      <formula>$H$18=$H$17</formula>
    </cfRule>
  </conditionalFormatting>
  <conditionalFormatting sqref="T18:V18">
    <cfRule type="expression" dxfId="196" priority="99">
      <formula>$H$18=$H$21</formula>
    </cfRule>
    <cfRule type="expression" dxfId="195" priority="100">
      <formula>$H$18=$H$17</formula>
    </cfRule>
  </conditionalFormatting>
  <conditionalFormatting sqref="Q17:S17">
    <cfRule type="expression" dxfId="194" priority="103">
      <formula>$H$17="R454B"</formula>
    </cfRule>
    <cfRule type="expression" dxfId="193" priority="104">
      <formula>$H$17="R32"</formula>
    </cfRule>
  </conditionalFormatting>
  <conditionalFormatting sqref="Q20:S20">
    <cfRule type="expression" dxfId="192" priority="105">
      <formula>$H$20=$H$17</formula>
    </cfRule>
    <cfRule type="expression" dxfId="191" priority="106">
      <formula>$H$20=$H$23</formula>
    </cfRule>
  </conditionalFormatting>
  <conditionalFormatting sqref="Q18:S18">
    <cfRule type="expression" dxfId="190" priority="107">
      <formula>$H$18=$H$21</formula>
    </cfRule>
    <cfRule type="expression" dxfId="189" priority="108">
      <formula>$H$18=$H$17</formula>
    </cfRule>
  </conditionalFormatting>
  <conditionalFormatting sqref="Q19:S19">
    <cfRule type="expression" dxfId="188" priority="109">
      <formula>$H$19=$H$23</formula>
    </cfRule>
    <cfRule type="expression" dxfId="187" priority="110">
      <formula>$H$19=$H$17</formula>
    </cfRule>
  </conditionalFormatting>
  <conditionalFormatting sqref="T17:V17">
    <cfRule type="expression" dxfId="186" priority="95">
      <formula>$H$17="R454B"</formula>
    </cfRule>
    <cfRule type="expression" dxfId="185" priority="96">
      <formula>$H$17="R32"</formula>
    </cfRule>
  </conditionalFormatting>
  <conditionalFormatting sqref="T20:V20">
    <cfRule type="expression" dxfId="184" priority="97">
      <formula>$H$20=$H$17</formula>
    </cfRule>
    <cfRule type="expression" dxfId="183" priority="98">
      <formula>$H$20=$H$23</formula>
    </cfRule>
  </conditionalFormatting>
  <conditionalFormatting sqref="T19:V19">
    <cfRule type="expression" dxfId="182" priority="101">
      <formula>$H$19=$H$23</formula>
    </cfRule>
    <cfRule type="expression" dxfId="181" priority="102">
      <formula>$H$19=$H$17</formula>
    </cfRule>
  </conditionalFormatting>
  <conditionalFormatting sqref="W17:Y17">
    <cfRule type="expression" dxfId="180" priority="87">
      <formula>$H$17="R454B"</formula>
    </cfRule>
    <cfRule type="expression" dxfId="179" priority="88">
      <formula>$H$17="R32"</formula>
    </cfRule>
  </conditionalFormatting>
  <conditionalFormatting sqref="W20:Y20">
    <cfRule type="expression" dxfId="178" priority="89">
      <formula>$H$20=$H$17</formula>
    </cfRule>
    <cfRule type="expression" dxfId="177" priority="90">
      <formula>$H$20=$H$23</formula>
    </cfRule>
  </conditionalFormatting>
  <conditionalFormatting sqref="W18:Y18">
    <cfRule type="expression" dxfId="176" priority="91">
      <formula>$H$18=$H$21</formula>
    </cfRule>
    <cfRule type="expression" dxfId="175" priority="92">
      <formula>$H$18=$H$17</formula>
    </cfRule>
  </conditionalFormatting>
  <conditionalFormatting sqref="W19:Y19">
    <cfRule type="expression" dxfId="174" priority="93">
      <formula>$H$19=$H$23</formula>
    </cfRule>
    <cfRule type="expression" dxfId="173" priority="94">
      <formula>$H$19=$H$17</formula>
    </cfRule>
  </conditionalFormatting>
  <conditionalFormatting sqref="Z17:AB17">
    <cfRule type="expression" dxfId="172" priority="79">
      <formula>$H$17="R454B"</formula>
    </cfRule>
    <cfRule type="expression" dxfId="171" priority="80">
      <formula>$H$17="R32"</formula>
    </cfRule>
  </conditionalFormatting>
  <conditionalFormatting sqref="Z20:AB20">
    <cfRule type="expression" dxfId="170" priority="81">
      <formula>$H$20=$H$17</formula>
    </cfRule>
    <cfRule type="expression" dxfId="169" priority="82">
      <formula>$H$20=$H$23</formula>
    </cfRule>
  </conditionalFormatting>
  <conditionalFormatting sqref="Z18:AB18">
    <cfRule type="expression" dxfId="168" priority="83">
      <formula>$H$18=$H$21</formula>
    </cfRule>
    <cfRule type="expression" dxfId="167" priority="84">
      <formula>$H$18=$H$17</formula>
    </cfRule>
  </conditionalFormatting>
  <conditionalFormatting sqref="Z19:AB19">
    <cfRule type="expression" dxfId="166" priority="85">
      <formula>$H$19=$H$23</formula>
    </cfRule>
    <cfRule type="expression" dxfId="165" priority="86">
      <formula>$H$19=$H$17</formula>
    </cfRule>
  </conditionalFormatting>
  <conditionalFormatting sqref="I19">
    <cfRule type="expression" dxfId="164" priority="77">
      <formula>$H$19=$H$23</formula>
    </cfRule>
    <cfRule type="expression" dxfId="163" priority="78">
      <formula>$H$19=$H$17</formula>
    </cfRule>
  </conditionalFormatting>
  <conditionalFormatting sqref="I20">
    <cfRule type="expression" dxfId="162" priority="75">
      <formula>$H$20=$H$17</formula>
    </cfRule>
    <cfRule type="expression" dxfId="161" priority="76">
      <formula>$H$20=$H$23</formula>
    </cfRule>
  </conditionalFormatting>
  <conditionalFormatting sqref="B28:H28">
    <cfRule type="expression" dxfId="160" priority="67">
      <formula>$H$17="R454B"</formula>
    </cfRule>
    <cfRule type="expression" dxfId="159" priority="68">
      <formula>$H$17="R32"</formula>
    </cfRule>
  </conditionalFormatting>
  <conditionalFormatting sqref="B31:H31">
    <cfRule type="expression" dxfId="158" priority="69">
      <formula>$H$20=$H$17</formula>
    </cfRule>
    <cfRule type="expression" dxfId="157" priority="70">
      <formula>$H$20=$H$23</formula>
    </cfRule>
  </conditionalFormatting>
  <conditionalFormatting sqref="B29:H29">
    <cfRule type="expression" dxfId="156" priority="71">
      <formula>$H$18=$H$21</formula>
    </cfRule>
    <cfRule type="expression" dxfId="155" priority="72">
      <formula>$H$18=$H$17</formula>
    </cfRule>
  </conditionalFormatting>
  <conditionalFormatting sqref="B30:H30">
    <cfRule type="expression" dxfId="154" priority="73">
      <formula>$H$19=$H$23</formula>
    </cfRule>
    <cfRule type="expression" dxfId="153" priority="74">
      <formula>$H$19=$H$17</formula>
    </cfRule>
  </conditionalFormatting>
  <conditionalFormatting sqref="I28">
    <cfRule type="expression" dxfId="152" priority="65">
      <formula>$G$16="R454B"</formula>
    </cfRule>
    <cfRule type="expression" dxfId="151" priority="66">
      <formula>$G$16="R32"</formula>
    </cfRule>
  </conditionalFormatting>
  <conditionalFormatting sqref="I29">
    <cfRule type="expression" dxfId="150" priority="63">
      <formula>$H$18=$H$21</formula>
    </cfRule>
    <cfRule type="expression" dxfId="149" priority="64">
      <formula>$H$18=$H$17</formula>
    </cfRule>
  </conditionalFormatting>
  <conditionalFormatting sqref="T29:V29">
    <cfRule type="expression" dxfId="148" priority="51">
      <formula>$H$18=$H$21</formula>
    </cfRule>
    <cfRule type="expression" dxfId="147" priority="52">
      <formula>$H$18=$H$17</formula>
    </cfRule>
  </conditionalFormatting>
  <conditionalFormatting sqref="Q28:S28">
    <cfRule type="expression" dxfId="146" priority="55">
      <formula>$H$17="R454B"</formula>
    </cfRule>
    <cfRule type="expression" dxfId="145" priority="56">
      <formula>$H$17="R32"</formula>
    </cfRule>
  </conditionalFormatting>
  <conditionalFormatting sqref="Q31:S31">
    <cfRule type="expression" dxfId="144" priority="57">
      <formula>$H$20=$H$17</formula>
    </cfRule>
    <cfRule type="expression" dxfId="143" priority="58">
      <formula>$H$20=$H$23</formula>
    </cfRule>
  </conditionalFormatting>
  <conditionalFormatting sqref="Q29:S29">
    <cfRule type="expression" dxfId="142" priority="59">
      <formula>$H$18=$H$21</formula>
    </cfRule>
    <cfRule type="expression" dxfId="141" priority="60">
      <formula>$H$18=$H$17</formula>
    </cfRule>
  </conditionalFormatting>
  <conditionalFormatting sqref="Q30:S30">
    <cfRule type="expression" dxfId="140" priority="61">
      <formula>$H$19=$H$23</formula>
    </cfRule>
    <cfRule type="expression" dxfId="139" priority="62">
      <formula>$H$19=$H$17</formula>
    </cfRule>
  </conditionalFormatting>
  <conditionalFormatting sqref="T28:V28">
    <cfRule type="expression" dxfId="138" priority="47">
      <formula>$H$17="R454B"</formula>
    </cfRule>
    <cfRule type="expression" dxfId="137" priority="48">
      <formula>$H$17="R32"</formula>
    </cfRule>
  </conditionalFormatting>
  <conditionalFormatting sqref="T31:V31">
    <cfRule type="expression" dxfId="136" priority="49">
      <formula>$H$20=$H$17</formula>
    </cfRule>
    <cfRule type="expression" dxfId="135" priority="50">
      <formula>$H$20=$H$23</formula>
    </cfRule>
  </conditionalFormatting>
  <conditionalFormatting sqref="T30:V30">
    <cfRule type="expression" dxfId="134" priority="53">
      <formula>$H$19=$H$23</formula>
    </cfRule>
    <cfRule type="expression" dxfId="133" priority="54">
      <formula>$H$19=$H$17</formula>
    </cfRule>
  </conditionalFormatting>
  <conditionalFormatting sqref="W28:Y28">
    <cfRule type="expression" dxfId="132" priority="39">
      <formula>$H$17="R454B"</formula>
    </cfRule>
    <cfRule type="expression" dxfId="131" priority="40">
      <formula>$H$17="R32"</formula>
    </cfRule>
  </conditionalFormatting>
  <conditionalFormatting sqref="W31:Y31">
    <cfRule type="expression" dxfId="130" priority="41">
      <formula>$H$20=$H$17</formula>
    </cfRule>
    <cfRule type="expression" dxfId="129" priority="42">
      <formula>$H$20=$H$23</formula>
    </cfRule>
  </conditionalFormatting>
  <conditionalFormatting sqref="W29:Y29">
    <cfRule type="expression" dxfId="128" priority="43">
      <formula>$H$18=$H$21</formula>
    </cfRule>
    <cfRule type="expression" dxfId="127" priority="44">
      <formula>$H$18=$H$17</formula>
    </cfRule>
  </conditionalFormatting>
  <conditionalFormatting sqref="W30:Y30">
    <cfRule type="expression" dxfId="126" priority="45">
      <formula>$H$19=$H$23</formula>
    </cfRule>
    <cfRule type="expression" dxfId="125" priority="46">
      <formula>$H$19=$H$17</formula>
    </cfRule>
  </conditionalFormatting>
  <conditionalFormatting sqref="Z28:AB28">
    <cfRule type="expression" dxfId="124" priority="31">
      <formula>$H$17="R454B"</formula>
    </cfRule>
    <cfRule type="expression" dxfId="123" priority="32">
      <formula>$H$17="R32"</formula>
    </cfRule>
  </conditionalFormatting>
  <conditionalFormatting sqref="Z31:AB31">
    <cfRule type="expression" dxfId="122" priority="33">
      <formula>$H$20=$H$17</formula>
    </cfRule>
    <cfRule type="expression" dxfId="121" priority="34">
      <formula>$H$20=$H$23</formula>
    </cfRule>
  </conditionalFormatting>
  <conditionalFormatting sqref="Z29:AB29">
    <cfRule type="expression" dxfId="120" priority="35">
      <formula>$H$18=$H$21</formula>
    </cfRule>
    <cfRule type="expression" dxfId="119" priority="36">
      <formula>$H$18=$H$17</formula>
    </cfRule>
  </conditionalFormatting>
  <conditionalFormatting sqref="Z30:AB30">
    <cfRule type="expression" dxfId="118" priority="37">
      <formula>$H$19=$H$23</formula>
    </cfRule>
    <cfRule type="expression" dxfId="117" priority="38">
      <formula>$H$19=$H$17</formula>
    </cfRule>
  </conditionalFormatting>
  <conditionalFormatting sqref="I30">
    <cfRule type="expression" dxfId="116" priority="29">
      <formula>$H$19=$H$23</formula>
    </cfRule>
    <cfRule type="expression" dxfId="115" priority="30">
      <formula>$H$19=$H$17</formula>
    </cfRule>
  </conditionalFormatting>
  <conditionalFormatting sqref="I31">
    <cfRule type="expression" dxfId="114" priority="27">
      <formula>$H$20=$H$17</formula>
    </cfRule>
    <cfRule type="expression" dxfId="113" priority="28">
      <formula>$H$20=$H$23</formula>
    </cfRule>
  </conditionalFormatting>
  <conditionalFormatting sqref="M28">
    <cfRule type="expression" dxfId="112" priority="26">
      <formula>$M$28&gt;60%</formula>
    </cfRule>
  </conditionalFormatting>
  <conditionalFormatting sqref="M29">
    <cfRule type="expression" dxfId="111" priority="25">
      <formula>$M$29:$M$35&gt;60%</formula>
    </cfRule>
  </conditionalFormatting>
  <conditionalFormatting sqref="M30">
    <cfRule type="expression" dxfId="110" priority="24">
      <formula>$M$30&gt;60%</formula>
    </cfRule>
  </conditionalFormatting>
  <conditionalFormatting sqref="M31">
    <cfRule type="expression" dxfId="109" priority="22">
      <formula>$M$31&gt;60%</formula>
    </cfRule>
  </conditionalFormatting>
  <conditionalFormatting sqref="M32">
    <cfRule type="expression" dxfId="108" priority="21">
      <formula>$M$32&gt;60%</formula>
    </cfRule>
  </conditionalFormatting>
  <conditionalFormatting sqref="M33">
    <cfRule type="expression" dxfId="107" priority="20">
      <formula>$M$33&gt;60%</formula>
    </cfRule>
  </conditionalFormatting>
  <conditionalFormatting sqref="M34">
    <cfRule type="expression" dxfId="106" priority="19">
      <formula>$M$34&gt;60%</formula>
    </cfRule>
  </conditionalFormatting>
  <conditionalFormatting sqref="AC17">
    <cfRule type="expression" dxfId="105" priority="3">
      <formula>$H$17="R454B"</formula>
    </cfRule>
    <cfRule type="expression" dxfId="104" priority="4">
      <formula>$H$17="R32"</formula>
    </cfRule>
  </conditionalFormatting>
  <conditionalFormatting sqref="AC20">
    <cfRule type="expression" dxfId="103" priority="5">
      <formula>$H$20=$H$17</formula>
    </cfRule>
    <cfRule type="expression" dxfId="102" priority="6">
      <formula>$H$20=$H$23</formula>
    </cfRule>
  </conditionalFormatting>
  <conditionalFormatting sqref="AC18">
    <cfRule type="expression" dxfId="101" priority="7">
      <formula>$H$18=$H$21</formula>
    </cfRule>
    <cfRule type="expression" dxfId="100" priority="8">
      <formula>$H$18=$H$17</formula>
    </cfRule>
  </conditionalFormatting>
  <conditionalFormatting sqref="AC19">
    <cfRule type="expression" dxfId="99" priority="9">
      <formula>$H$19=$H$23</formula>
    </cfRule>
    <cfRule type="expression" dxfId="98" priority="10">
      <formula>$H$19=$H$17</formula>
    </cfRule>
  </conditionalFormatting>
  <conditionalFormatting sqref="AC28">
    <cfRule type="expression" dxfId="97" priority="2">
      <formula>$AC$28&gt;30%</formula>
    </cfRule>
  </conditionalFormatting>
  <conditionalFormatting sqref="AC29:AC35">
    <cfRule type="expression" dxfId="96" priority="1">
      <formula>"&gt;30%"</formula>
    </cfRule>
  </conditionalFormatting>
  <dataValidations count="6">
    <dataValidation type="list" allowBlank="1" showInputMessage="1" showErrorMessage="1" sqref="I18:I23 I29:I34" xr:uid="{09E0A59E-58D5-4AD5-B5D6-58C0AAA4F41C}">
      <formula1>"10%,15%,20%,25%,30%,35%,40%,45%,50%,55%,60％,65%,70%,75%,80%,85%,90%,95%,100%"</formula1>
    </dataValidation>
    <dataValidation type="list" allowBlank="1" showInputMessage="1" showErrorMessage="1" sqref="H28:H31 H18:H20" xr:uid="{A5463015-D0F2-49BE-88FF-C5768F32B971}">
      <formula1>"R32,R454B"</formula1>
    </dataValidation>
    <dataValidation type="list" allowBlank="1" showInputMessage="1" showErrorMessage="1" sqref="D4" xr:uid="{54998D9A-11E7-474D-84CA-1588D660BBE9}">
      <formula1>"22％,25%,28%,30%,32%,35%"</formula1>
    </dataValidation>
    <dataValidation type="list" allowBlank="1" showInputMessage="1" showErrorMessage="1" sqref="I17 I28" xr:uid="{5A6088BE-7CA6-4071-A3C0-90F52EFAEB69}">
      <formula1>"10%,20%,30%,40%,50%,60％,70%,80%,90%,100%"</formula1>
    </dataValidation>
    <dataValidation type="list" allowBlank="1" showInputMessage="1" showErrorMessage="1" sqref="F4:O4" xr:uid="{9E0A7A5F-C402-4527-BCA7-48D27FC065C7}">
      <formula1>"22％,23%,24%,25%,26%,27%,28%,29%,30%,31%,32%,33%,34%,35%"</formula1>
    </dataValidation>
    <dataValidation type="list" allowBlank="1" showInputMessage="1" showErrorMessage="1" sqref="F2:O2" xr:uid="{77376B26-4D0D-4DAD-894B-4CF6120AB1DA}">
      <formula1>"2%,3%,4%,5%,6%,7%,8%,9%,10%"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8FB68-9AD9-4320-8904-854A3A5C6D35}">
  <dimension ref="B2:AO69"/>
  <sheetViews>
    <sheetView topLeftCell="A10" workbookViewId="0"/>
  </sheetViews>
  <sheetFormatPr defaultRowHeight="15" x14ac:dyDescent="0.4"/>
  <cols>
    <col min="2" max="2" width="18.75" bestFit="1" customWidth="1"/>
    <col min="3" max="3" width="13" customWidth="1"/>
    <col min="4" max="4" width="16.125" bestFit="1" customWidth="1"/>
    <col min="5" max="5" width="12" bestFit="1" customWidth="1"/>
    <col min="6" max="9" width="15.75" customWidth="1"/>
    <col min="10" max="10" width="10.75" bestFit="1" customWidth="1"/>
    <col min="11" max="12" width="12.25" bestFit="1" customWidth="1"/>
    <col min="13" max="14" width="10.375" bestFit="1" customWidth="1"/>
    <col min="15" max="15" width="17.75" customWidth="1"/>
    <col min="16" max="16" width="18.625" bestFit="1" customWidth="1"/>
    <col min="17" max="17" width="17.75" bestFit="1" customWidth="1"/>
    <col min="18" max="18" width="10.375" bestFit="1" customWidth="1"/>
    <col min="19" max="20" width="17.75" bestFit="1" customWidth="1"/>
    <col min="21" max="22" width="9.375" bestFit="1" customWidth="1"/>
    <col min="27" max="27" width="18.25" bestFit="1" customWidth="1"/>
    <col min="28" max="28" width="10.375" bestFit="1" customWidth="1"/>
    <col min="30" max="30" width="20.125" bestFit="1" customWidth="1"/>
    <col min="35" max="36" width="10.375" bestFit="1" customWidth="1"/>
  </cols>
  <sheetData>
    <row r="2" spans="2:41" x14ac:dyDescent="0.4">
      <c r="B2" s="62" t="s">
        <v>92</v>
      </c>
      <c r="C2" s="63"/>
      <c r="D2" s="63"/>
      <c r="E2" s="111">
        <v>3.5999999999999997E-2</v>
      </c>
      <c r="F2" s="14">
        <v>0.05</v>
      </c>
      <c r="G2" s="15" t="s">
        <v>33</v>
      </c>
      <c r="J2" s="54"/>
      <c r="K2" s="76" t="s">
        <v>81</v>
      </c>
      <c r="L2" s="76" t="s">
        <v>100</v>
      </c>
      <c r="M2" s="76" t="s">
        <v>101</v>
      </c>
      <c r="N2" s="76" t="s">
        <v>99</v>
      </c>
      <c r="Q2" s="9" t="s">
        <v>34</v>
      </c>
      <c r="R2" s="16" t="s">
        <v>35</v>
      </c>
      <c r="S2" s="17" t="s">
        <v>36</v>
      </c>
      <c r="AB2" t="s">
        <v>37</v>
      </c>
    </row>
    <row r="3" spans="2:41" x14ac:dyDescent="0.4">
      <c r="B3" s="484" t="s">
        <v>89</v>
      </c>
      <c r="C3" s="60"/>
      <c r="D3" s="110" t="s">
        <v>90</v>
      </c>
      <c r="E3" s="71" t="s">
        <v>91</v>
      </c>
      <c r="F3" s="61" t="s">
        <v>96</v>
      </c>
      <c r="G3" s="18"/>
      <c r="H3" s="18"/>
      <c r="I3" s="18"/>
      <c r="J3" s="55" t="s">
        <v>3</v>
      </c>
      <c r="K3" s="55">
        <v>1</v>
      </c>
      <c r="L3" s="77">
        <v>1</v>
      </c>
      <c r="M3" s="55">
        <v>1</v>
      </c>
      <c r="N3" s="55">
        <v>1</v>
      </c>
      <c r="O3" s="67"/>
      <c r="Q3" s="9" t="s">
        <v>38</v>
      </c>
      <c r="R3" s="19">
        <f>IF(H15="R32",AB15,0)+IF(H16="R32",AB16,0)+IF(H17="R32",AB17,0)+IF(H18="R32",AB18,0)</f>
        <v>9839.7540818414363</v>
      </c>
      <c r="S3" s="20">
        <f>SUM(AB19:AB21,IF(H16="R454B",AB16,0),IF(H17="R454B",AB17,0),IF(H18="R454B",AB18,0))</f>
        <v>17041.048390594817</v>
      </c>
    </row>
    <row r="4" spans="2:41" x14ac:dyDescent="0.4">
      <c r="B4" s="485"/>
      <c r="C4" s="22" t="s">
        <v>39</v>
      </c>
      <c r="D4" s="43">
        <v>0.22</v>
      </c>
      <c r="E4" s="24">
        <v>0.22800000000000001</v>
      </c>
      <c r="F4" s="66">
        <v>0.28000000000000003</v>
      </c>
      <c r="G4" s="15" t="s">
        <v>33</v>
      </c>
      <c r="H4" s="18"/>
      <c r="I4" s="18"/>
      <c r="J4" s="73" t="s">
        <v>57</v>
      </c>
      <c r="K4" s="73">
        <v>0.85</v>
      </c>
      <c r="L4" s="26">
        <v>0.88</v>
      </c>
      <c r="M4" s="75">
        <f>L8/L4</f>
        <v>0.88636363636363635</v>
      </c>
      <c r="N4" s="73">
        <f>K4*L4*M4</f>
        <v>0.66300000000000003</v>
      </c>
      <c r="O4" s="18"/>
      <c r="Q4" s="9" t="s">
        <v>40</v>
      </c>
      <c r="R4" s="19">
        <f>R3*675</f>
        <v>6641834.0052429698</v>
      </c>
      <c r="S4" s="20">
        <f>S3*465</f>
        <v>7924087.5016265893</v>
      </c>
    </row>
    <row r="5" spans="2:41" x14ac:dyDescent="0.4">
      <c r="B5" s="485"/>
      <c r="C5" s="23" t="s">
        <v>41</v>
      </c>
      <c r="D5" s="43">
        <f>0.2*(1-D4)</f>
        <v>0.15600000000000003</v>
      </c>
      <c r="E5" s="28">
        <f>0.2*(1-E4)</f>
        <v>0.15440000000000001</v>
      </c>
      <c r="F5" s="67">
        <f>0.2*(1-F4)</f>
        <v>0.14399999999999999</v>
      </c>
      <c r="J5" s="56" t="s">
        <v>36</v>
      </c>
      <c r="K5" s="56">
        <v>0.93</v>
      </c>
      <c r="L5" s="27">
        <v>0.95</v>
      </c>
      <c r="M5" s="74" t="s">
        <v>102</v>
      </c>
      <c r="N5" s="56">
        <f>K5*L5</f>
        <v>0.88349999999999995</v>
      </c>
      <c r="AG5" s="9" t="s">
        <v>42</v>
      </c>
      <c r="AH5" s="9" t="s">
        <v>19</v>
      </c>
      <c r="AI5" s="9" t="s">
        <v>43</v>
      </c>
    </row>
    <row r="6" spans="2:41" x14ac:dyDescent="0.4">
      <c r="B6" s="21"/>
      <c r="C6" s="25" t="s">
        <v>44</v>
      </c>
      <c r="D6" s="43">
        <f>0.23*(1-D4)</f>
        <v>0.1794</v>
      </c>
      <c r="E6" s="28">
        <f>0.23*(1-E4)</f>
        <v>0.17756000000000002</v>
      </c>
      <c r="F6" s="67">
        <f>0.23*(1-F4)</f>
        <v>0.1656</v>
      </c>
      <c r="J6" s="18"/>
      <c r="Q6" s="9"/>
      <c r="R6" s="16" t="s">
        <v>35</v>
      </c>
      <c r="S6" s="17" t="s">
        <v>36</v>
      </c>
      <c r="AG6" s="9">
        <v>273.5</v>
      </c>
      <c r="AH6" s="9">
        <v>182.3</v>
      </c>
      <c r="AI6" s="9">
        <v>91.2</v>
      </c>
    </row>
    <row r="7" spans="2:41" x14ac:dyDescent="0.4">
      <c r="B7" s="21"/>
      <c r="C7" s="25" t="s">
        <v>45</v>
      </c>
      <c r="D7" s="43">
        <f>0.04*(1-D4)</f>
        <v>3.1200000000000002E-2</v>
      </c>
      <c r="E7" s="28">
        <f>0.04*(1-E4)</f>
        <v>3.0880000000000001E-2</v>
      </c>
      <c r="F7" s="67">
        <f>0.04*(1-F4)</f>
        <v>2.8799999999999999E-2</v>
      </c>
      <c r="J7" s="18"/>
      <c r="Q7" s="9" t="s">
        <v>46</v>
      </c>
      <c r="R7" s="26">
        <f>F4+IF(H16="R32",F6,0)+IF(H17="R32",F5,0)+IF(H18="R32",F7,0)</f>
        <v>0.28000000000000003</v>
      </c>
      <c r="S7" s="27">
        <f>1-R7</f>
        <v>0.72</v>
      </c>
      <c r="AG7" s="9">
        <f>AG6*11%</f>
        <v>30.085000000000001</v>
      </c>
      <c r="AH7" s="9">
        <f>AH6*11%</f>
        <v>20.053000000000001</v>
      </c>
      <c r="AI7" s="9">
        <f>AI6*11%</f>
        <v>10.032</v>
      </c>
    </row>
    <row r="8" spans="2:41" x14ac:dyDescent="0.4">
      <c r="B8" s="21"/>
      <c r="C8" s="25" t="s">
        <v>47</v>
      </c>
      <c r="D8" s="64">
        <f>0.32*(1-D4)</f>
        <v>0.24960000000000002</v>
      </c>
      <c r="E8" s="28">
        <f>0.32*(1-E4)</f>
        <v>0.24704000000000001</v>
      </c>
      <c r="F8" s="68">
        <f>0.32*(1-F4)</f>
        <v>0.23039999999999999</v>
      </c>
      <c r="K8" s="18">
        <v>0.88</v>
      </c>
      <c r="L8" s="72">
        <v>0.78</v>
      </c>
      <c r="M8" s="18">
        <f>L8/L4</f>
        <v>0.88636363636363635</v>
      </c>
      <c r="AI8" t="s">
        <v>48</v>
      </c>
      <c r="AJ8" t="s">
        <v>48</v>
      </c>
      <c r="AK8" t="s">
        <v>49</v>
      </c>
    </row>
    <row r="9" spans="2:41" x14ac:dyDescent="0.4">
      <c r="B9" s="21"/>
      <c r="C9" s="25" t="s">
        <v>50</v>
      </c>
      <c r="D9" s="64">
        <f>0.13*(1-D4)</f>
        <v>0.1014</v>
      </c>
      <c r="E9" s="28">
        <f>0.13*(1-E4)</f>
        <v>0.10036</v>
      </c>
      <c r="F9" s="68">
        <f>0.13*(1-F4)</f>
        <v>9.3600000000000003E-2</v>
      </c>
      <c r="K9" s="18">
        <f>K8/K5</f>
        <v>0.94623655913978488</v>
      </c>
      <c r="L9" s="6">
        <f>L8/L4</f>
        <v>0.88636363636363635</v>
      </c>
      <c r="AA9" s="29" t="s">
        <v>51</v>
      </c>
      <c r="AB9" s="30">
        <v>91.2</v>
      </c>
      <c r="AI9" s="4">
        <f>AG7/2204*1000000</f>
        <v>13650.181488203267</v>
      </c>
      <c r="AJ9" s="4">
        <f>AH7/2204*1000000</f>
        <v>9098.4573502722324</v>
      </c>
      <c r="AK9" s="4">
        <f>AI7/675*1000000</f>
        <v>14862.222222222223</v>
      </c>
    </row>
    <row r="10" spans="2:41" x14ac:dyDescent="0.4">
      <c r="B10" s="31"/>
      <c r="C10" s="32" t="s">
        <v>52</v>
      </c>
      <c r="D10" s="65">
        <f>0.08*(1-D4)</f>
        <v>6.2400000000000004E-2</v>
      </c>
      <c r="E10" s="70">
        <f>0.08*(1-E4)</f>
        <v>6.1760000000000002E-2</v>
      </c>
      <c r="F10" s="69">
        <f>0.08*(1-F4)</f>
        <v>5.7599999999999998E-2</v>
      </c>
      <c r="K10" s="6"/>
      <c r="AA10" s="33" t="s">
        <v>53</v>
      </c>
      <c r="AB10" s="34">
        <f>AB9*0.11</f>
        <v>10.032</v>
      </c>
      <c r="AI10" s="4">
        <v>7252</v>
      </c>
      <c r="AJ10" s="4">
        <v>5625</v>
      </c>
      <c r="AK10" s="4">
        <v>7440.3538348726916</v>
      </c>
    </row>
    <row r="11" spans="2:41" x14ac:dyDescent="0.4">
      <c r="AE11" s="35" t="s">
        <v>54</v>
      </c>
      <c r="AF11" s="36">
        <f>AB10*0.6</f>
        <v>6.0191999999999997</v>
      </c>
      <c r="AM11" s="6">
        <f>AI10/AI9</f>
        <v>0.53127498753531666</v>
      </c>
      <c r="AN11" s="6">
        <f>AJ10/AJ9</f>
        <v>0.61823667281703487</v>
      </c>
      <c r="AO11" s="6">
        <f>AK10/AK9</f>
        <v>0.50062189379376665</v>
      </c>
    </row>
    <row r="12" spans="2:41" x14ac:dyDescent="0.4">
      <c r="F12" s="500"/>
      <c r="G12" s="500"/>
      <c r="H12" s="59"/>
      <c r="I12" s="59"/>
      <c r="J12" s="59"/>
      <c r="K12" s="59"/>
    </row>
    <row r="13" spans="2:41" ht="51" customHeight="1" x14ac:dyDescent="0.4">
      <c r="B13" s="58" t="s">
        <v>87</v>
      </c>
      <c r="C13" s="37" t="s">
        <v>86</v>
      </c>
      <c r="D13" s="37" t="s">
        <v>66</v>
      </c>
      <c r="E13" s="38" t="s">
        <v>88</v>
      </c>
      <c r="F13" s="37" t="s">
        <v>97</v>
      </c>
      <c r="G13" s="37" t="s">
        <v>98</v>
      </c>
      <c r="H13" s="101" t="s">
        <v>55</v>
      </c>
      <c r="I13" s="39" t="s">
        <v>112</v>
      </c>
      <c r="J13" s="495" t="s">
        <v>93</v>
      </c>
      <c r="K13" s="496"/>
      <c r="L13" s="496"/>
      <c r="M13" s="39"/>
      <c r="N13" s="495" t="s">
        <v>94</v>
      </c>
      <c r="O13" s="496"/>
      <c r="P13" s="497"/>
      <c r="Q13" s="496" t="s">
        <v>95</v>
      </c>
      <c r="R13" s="496"/>
      <c r="S13" s="497"/>
      <c r="T13" s="495" t="s">
        <v>109</v>
      </c>
      <c r="U13" s="496"/>
      <c r="V13" s="497"/>
      <c r="W13" s="495" t="s">
        <v>110</v>
      </c>
      <c r="X13" s="496"/>
      <c r="Y13" s="497"/>
      <c r="Z13" s="495" t="s">
        <v>111</v>
      </c>
      <c r="AA13" s="496"/>
      <c r="AB13" s="497"/>
      <c r="AC13" t="s">
        <v>108</v>
      </c>
    </row>
    <row r="14" spans="2:41" ht="18" customHeight="1" x14ac:dyDescent="0.4">
      <c r="B14" s="78" t="s">
        <v>103</v>
      </c>
      <c r="C14" s="79" t="s">
        <v>104</v>
      </c>
      <c r="D14" s="79" t="s">
        <v>104</v>
      </c>
      <c r="E14" s="80" t="s">
        <v>104</v>
      </c>
      <c r="F14" s="79" t="s">
        <v>104</v>
      </c>
      <c r="G14" s="79" t="s">
        <v>104</v>
      </c>
      <c r="H14" s="107" t="s">
        <v>105</v>
      </c>
      <c r="I14" s="97" t="s">
        <v>113</v>
      </c>
      <c r="J14" s="83" t="s">
        <v>106</v>
      </c>
      <c r="K14" s="90">
        <v>0.9</v>
      </c>
      <c r="L14" s="90">
        <v>0.1</v>
      </c>
      <c r="M14" s="96" t="s">
        <v>108</v>
      </c>
      <c r="N14" s="83" t="s">
        <v>106</v>
      </c>
      <c r="O14" s="90">
        <v>0.7</v>
      </c>
      <c r="P14" s="91">
        <v>0.3</v>
      </c>
      <c r="Q14" s="107" t="s">
        <v>106</v>
      </c>
      <c r="R14" s="108">
        <v>0.5</v>
      </c>
      <c r="S14" s="109">
        <v>0.5</v>
      </c>
      <c r="T14" s="80" t="s">
        <v>106</v>
      </c>
      <c r="U14" s="90">
        <v>0.3</v>
      </c>
      <c r="V14" s="91">
        <v>0.7</v>
      </c>
      <c r="W14" s="83" t="s">
        <v>106</v>
      </c>
      <c r="X14" s="90">
        <v>0.1</v>
      </c>
      <c r="Y14" s="91">
        <v>0.9</v>
      </c>
      <c r="Z14" s="83" t="s">
        <v>106</v>
      </c>
      <c r="AA14" s="90">
        <v>0</v>
      </c>
      <c r="AB14" s="91">
        <f>1-AA14</f>
        <v>1</v>
      </c>
    </row>
    <row r="15" spans="2:41" x14ac:dyDescent="0.4">
      <c r="B15" s="40" t="s">
        <v>56</v>
      </c>
      <c r="C15" s="41">
        <f t="shared" ref="C15:C22" si="0">D15/0.9</f>
        <v>6352.2222222222217</v>
      </c>
      <c r="D15" s="41">
        <v>5717</v>
      </c>
      <c r="E15" s="41">
        <v>6803.8800622908821</v>
      </c>
      <c r="F15" s="41">
        <f>F22*$F$4</f>
        <v>7915.0305818181832</v>
      </c>
      <c r="G15" s="41">
        <f>G22*$F$4</f>
        <v>8310.7821109090928</v>
      </c>
      <c r="H15" s="93" t="s">
        <v>57</v>
      </c>
      <c r="I15" s="102">
        <v>1</v>
      </c>
      <c r="J15" s="84">
        <f>J$22*$F$4*$I$15</f>
        <v>8726.3212164545475</v>
      </c>
      <c r="K15" s="42">
        <f t="shared" ref="K15:K21" si="1">J15*K$14</f>
        <v>7853.6890948090931</v>
      </c>
      <c r="L15" s="42">
        <f>IF(H15=$H$15,J15*$K$4*$L$4,J15*L$14*$N$5)</f>
        <v>6527.288269908001</v>
      </c>
      <c r="M15" s="98">
        <f t="shared" ref="M15:M22" si="2">J15/C15</f>
        <v>1.3737430636363641</v>
      </c>
      <c r="N15" s="84">
        <f>N$22*$F$4*$I$15</f>
        <v>9162.6372772772756</v>
      </c>
      <c r="O15" s="42">
        <f t="shared" ref="O15:O21" si="3">N15*O$14</f>
        <v>6413.8460940940922</v>
      </c>
      <c r="P15" s="85">
        <f t="shared" ref="P15:P21" si="4">IF(L15=$H$15,N15*$K$4*$L$4,N15*P$14*$N$5)</f>
        <v>2428.5570103423415</v>
      </c>
      <c r="Q15" s="84">
        <f>Q$22*$F$4*$I$15</f>
        <v>9620.7691411411379</v>
      </c>
      <c r="R15" s="42">
        <f t="shared" ref="R15:R21" si="5">Q15*R$14</f>
        <v>4810.3845705705689</v>
      </c>
      <c r="S15" s="85">
        <f t="shared" ref="S15:S21" si="6">IF(O15=$H$15,Q15*$K$4*$L$4,Q15*S$14*$N$5)</f>
        <v>4249.9747680990977</v>
      </c>
      <c r="T15" s="41">
        <f>T$22*$F$4*$I$15</f>
        <v>10101.807598198195</v>
      </c>
      <c r="U15" s="42">
        <f t="shared" ref="U15:U21" si="7">T15*U$14</f>
        <v>3030.5422794594583</v>
      </c>
      <c r="V15" s="42">
        <f t="shared" ref="V15:V21" si="8">IF(R15=$H$15,T15*$K$4*$L$4,T15*V$14*$N$5)</f>
        <v>6247.4629091056731</v>
      </c>
      <c r="W15" s="41">
        <f>W$22*$F$4*$I$15</f>
        <v>10606.897978108103</v>
      </c>
      <c r="X15" s="42">
        <f t="shared" ref="X15:X21" si="9">W15*X$14</f>
        <v>1060.6897978108104</v>
      </c>
      <c r="Y15" s="42">
        <f t="shared" ref="Y15:Y21" si="10">IF(U15=$H$15,W15*$K$4*$L$4,W15*Y$14*$N$5)</f>
        <v>8434.0749272926587</v>
      </c>
      <c r="Z15" s="41">
        <f>Z$22*$F$4*$I$15</f>
        <v>11137.24287701351</v>
      </c>
      <c r="AA15" s="42">
        <f t="shared" ref="AA15:AA21" si="11">Z15*AA$14</f>
        <v>0</v>
      </c>
      <c r="AB15" s="42">
        <f t="shared" ref="AB15:AB21" si="12">IF(X15=$H$15,Z15*$K$4*$L$4,Z15*AB$14*$N$5)</f>
        <v>9839.7540818414363</v>
      </c>
      <c r="AC15" s="6">
        <f>Z15/C15</f>
        <v>1.7532829437313555</v>
      </c>
    </row>
    <row r="16" spans="2:41" x14ac:dyDescent="0.4">
      <c r="B16" s="43" t="s">
        <v>41</v>
      </c>
      <c r="C16" s="44">
        <f t="shared" si="0"/>
        <v>4504.3030303030309</v>
      </c>
      <c r="D16" s="44">
        <f t="shared" ref="D16:E21" si="13">D$22*D5</f>
        <v>4053.8727272727278</v>
      </c>
      <c r="E16" s="44">
        <f t="shared" si="13"/>
        <v>4156.737149090909</v>
      </c>
      <c r="F16" s="44">
        <f>F$22*$F$5</f>
        <v>4070.5871563636365</v>
      </c>
      <c r="G16" s="44">
        <f>G$22*$F$5</f>
        <v>4274.1165141818183</v>
      </c>
      <c r="H16" s="86" t="s">
        <v>58</v>
      </c>
      <c r="I16" s="46">
        <v>0.45</v>
      </c>
      <c r="J16" s="86">
        <f>J$22*$F$5*$I$16</f>
        <v>2019.5200529509093</v>
      </c>
      <c r="K16" s="44">
        <f t="shared" si="1"/>
        <v>1817.5680476558184</v>
      </c>
      <c r="L16" s="44">
        <f t="shared" ref="L16:L21" si="14">IF(H16=$H$15,J16*$K$4*$L$4,J16*L$14*$N$5)</f>
        <v>178.42459667821285</v>
      </c>
      <c r="M16" s="104">
        <f t="shared" si="2"/>
        <v>0.44835350538461538</v>
      </c>
      <c r="N16" s="86">
        <f>N$22*$F$5*$I$16</f>
        <v>2120.4960555984549</v>
      </c>
      <c r="O16" s="44">
        <f t="shared" si="3"/>
        <v>1484.3472389189183</v>
      </c>
      <c r="P16" s="45">
        <f t="shared" si="4"/>
        <v>562.03747953637048</v>
      </c>
      <c r="Q16" s="86">
        <f>Q$22*$F$5*$I$16</f>
        <v>2226.5208583783774</v>
      </c>
      <c r="R16" s="44">
        <f t="shared" si="5"/>
        <v>1113.2604291891887</v>
      </c>
      <c r="S16" s="45">
        <f t="shared" si="6"/>
        <v>983.56558918864812</v>
      </c>
      <c r="T16" s="44">
        <f>T$22*$F$5*$I$16</f>
        <v>2337.846901297296</v>
      </c>
      <c r="U16" s="44">
        <f t="shared" si="7"/>
        <v>701.35407038918879</v>
      </c>
      <c r="V16" s="44">
        <f t="shared" si="8"/>
        <v>1445.8414161073126</v>
      </c>
      <c r="W16" s="44">
        <f>W$22*$F$5*$I$16</f>
        <v>2454.7392463621609</v>
      </c>
      <c r="X16" s="44">
        <f t="shared" si="9"/>
        <v>245.47392463621611</v>
      </c>
      <c r="Y16" s="44">
        <f t="shared" si="10"/>
        <v>1951.8859117448721</v>
      </c>
      <c r="Z16" s="44">
        <f>Z$22*$F$5*$I$16</f>
        <v>2577.4762086802693</v>
      </c>
      <c r="AA16" s="44">
        <f t="shared" si="11"/>
        <v>0</v>
      </c>
      <c r="AB16" s="44">
        <f t="shared" si="12"/>
        <v>2277.2002303690178</v>
      </c>
      <c r="AC16" s="6">
        <f t="shared" ref="AC16:AC21" si="15">Z16/C16</f>
        <v>0.57222531240462904</v>
      </c>
    </row>
    <row r="17" spans="2:33" x14ac:dyDescent="0.4">
      <c r="B17" s="33" t="s">
        <v>44</v>
      </c>
      <c r="C17" s="44">
        <f t="shared" si="0"/>
        <v>5179.9484848484844</v>
      </c>
      <c r="D17" s="44">
        <f t="shared" si="13"/>
        <v>4661.9536363636362</v>
      </c>
      <c r="E17" s="44">
        <f t="shared" si="13"/>
        <v>4780.2477214545461</v>
      </c>
      <c r="F17" s="44">
        <f>F$22*$F$6</f>
        <v>4681.1752298181818</v>
      </c>
      <c r="G17" s="44">
        <f>G$22*$F$6</f>
        <v>4915.2339913090909</v>
      </c>
      <c r="H17" s="86" t="s">
        <v>58</v>
      </c>
      <c r="I17" s="46">
        <v>0.85</v>
      </c>
      <c r="J17" s="86">
        <f>J$22*$F$6*$I$17</f>
        <v>4386.8463372433644</v>
      </c>
      <c r="K17" s="44">
        <f t="shared" si="1"/>
        <v>3948.1617035190279</v>
      </c>
      <c r="L17" s="95">
        <f t="shared" si="14"/>
        <v>387.57787389545121</v>
      </c>
      <c r="M17" s="104">
        <f t="shared" si="2"/>
        <v>0.84688995461538485</v>
      </c>
      <c r="N17" s="86">
        <f>N$22*$F$6*$I$17</f>
        <v>4606.1886541055328</v>
      </c>
      <c r="O17" s="44">
        <f t="shared" si="3"/>
        <v>3224.3320578738726</v>
      </c>
      <c r="P17" s="45">
        <f t="shared" si="4"/>
        <v>1220.8703027706713</v>
      </c>
      <c r="Q17" s="86">
        <f>Q$22*$F$6*$I$17</f>
        <v>4836.4980868108087</v>
      </c>
      <c r="R17" s="44">
        <f t="shared" si="5"/>
        <v>2418.2490434054043</v>
      </c>
      <c r="S17" s="45">
        <f t="shared" si="6"/>
        <v>2136.5230298486745</v>
      </c>
      <c r="T17" s="44">
        <f>T$22*$F$6*$I$17</f>
        <v>5078.322991151349</v>
      </c>
      <c r="U17" s="44">
        <f t="shared" si="7"/>
        <v>1523.4968973454047</v>
      </c>
      <c r="V17" s="44">
        <f t="shared" si="8"/>
        <v>3140.6888538775515</v>
      </c>
      <c r="W17" s="44">
        <f>W$22*$F$6*$I$17</f>
        <v>5332.2391407089162</v>
      </c>
      <c r="X17" s="44">
        <f t="shared" si="9"/>
        <v>533.22391407089162</v>
      </c>
      <c r="Y17" s="44">
        <f t="shared" si="10"/>
        <v>4239.9299527346948</v>
      </c>
      <c r="Z17" s="44">
        <f>Z$22*$F$6*$I$17</f>
        <v>5598.851097744363</v>
      </c>
      <c r="AA17" s="44">
        <f t="shared" si="11"/>
        <v>0</v>
      </c>
      <c r="AB17" s="44">
        <f t="shared" si="12"/>
        <v>4946.5849448571444</v>
      </c>
      <c r="AC17" s="6">
        <f t="shared" si="15"/>
        <v>1.0808700345420774</v>
      </c>
    </row>
    <row r="18" spans="2:33" x14ac:dyDescent="0.4">
      <c r="B18" s="33" t="s">
        <v>45</v>
      </c>
      <c r="C18" s="44">
        <f t="shared" si="0"/>
        <v>900.86060606060619</v>
      </c>
      <c r="D18" s="44">
        <f t="shared" si="13"/>
        <v>810.77454545454555</v>
      </c>
      <c r="E18" s="44">
        <f t="shared" si="13"/>
        <v>831.34742981818181</v>
      </c>
      <c r="F18" s="44">
        <f>F$22*$F$7</f>
        <v>814.11743127272734</v>
      </c>
      <c r="G18" s="44">
        <f>G$22*$F$7</f>
        <v>854.82330283636372</v>
      </c>
      <c r="H18" s="86" t="s">
        <v>58</v>
      </c>
      <c r="I18" s="99">
        <v>0.8</v>
      </c>
      <c r="J18" s="86">
        <f>J$22*$F$7*$I$18</f>
        <v>718.0515743825456</v>
      </c>
      <c r="K18" s="44">
        <f t="shared" si="1"/>
        <v>646.24641694429101</v>
      </c>
      <c r="L18" s="44">
        <f t="shared" si="14"/>
        <v>63.439856596697908</v>
      </c>
      <c r="M18" s="104">
        <f t="shared" si="2"/>
        <v>0.7970728984615385</v>
      </c>
      <c r="N18" s="86">
        <f>N$22*$F$7*$I$18</f>
        <v>753.95415310167289</v>
      </c>
      <c r="O18" s="44">
        <f t="shared" si="3"/>
        <v>527.76790717117103</v>
      </c>
      <c r="P18" s="45">
        <f t="shared" si="4"/>
        <v>199.83554827959838</v>
      </c>
      <c r="Q18" s="86">
        <f>Q$22*$F$7*$I$18</f>
        <v>791.65186075675649</v>
      </c>
      <c r="R18" s="44">
        <f t="shared" si="5"/>
        <v>395.82593037837825</v>
      </c>
      <c r="S18" s="45">
        <f t="shared" si="6"/>
        <v>349.71220948929715</v>
      </c>
      <c r="T18" s="44">
        <f>T$22*$F$7*$I$18</f>
        <v>831.23445379459429</v>
      </c>
      <c r="U18" s="44">
        <f t="shared" si="7"/>
        <v>249.37033613837826</v>
      </c>
      <c r="V18" s="44">
        <f t="shared" si="8"/>
        <v>514.07694794926681</v>
      </c>
      <c r="W18" s="44">
        <f>W$22*$F$7*$I$18</f>
        <v>872.79617648432395</v>
      </c>
      <c r="X18" s="44">
        <f t="shared" si="9"/>
        <v>87.279617648432406</v>
      </c>
      <c r="Y18" s="44">
        <f t="shared" si="10"/>
        <v>694.00387973151021</v>
      </c>
      <c r="Z18" s="44">
        <f>Z$22*$F$7*$I$18</f>
        <v>916.43598530854024</v>
      </c>
      <c r="AA18" s="44">
        <f t="shared" si="11"/>
        <v>0</v>
      </c>
      <c r="AB18" s="44">
        <f t="shared" si="12"/>
        <v>809.6711930200953</v>
      </c>
      <c r="AC18" s="6">
        <f t="shared" si="15"/>
        <v>1.0172894442748961</v>
      </c>
    </row>
    <row r="19" spans="2:33" x14ac:dyDescent="0.4">
      <c r="B19" s="47" t="s">
        <v>47</v>
      </c>
      <c r="C19" s="48">
        <f t="shared" si="0"/>
        <v>7206.8848484848495</v>
      </c>
      <c r="D19" s="48">
        <f t="shared" si="13"/>
        <v>6486.1963636363644</v>
      </c>
      <c r="E19" s="48">
        <f t="shared" si="13"/>
        <v>6650.7794385454545</v>
      </c>
      <c r="F19" s="48">
        <f>F$22*$F$8</f>
        <v>6512.9394501818188</v>
      </c>
      <c r="G19" s="48">
        <f>G$22*$F$8</f>
        <v>6838.5864226909098</v>
      </c>
      <c r="H19" s="87" t="s">
        <v>36</v>
      </c>
      <c r="I19" s="100">
        <v>0.6</v>
      </c>
      <c r="J19" s="87">
        <f>J$22*$F$8*$I$19</f>
        <v>4308.3094462952731</v>
      </c>
      <c r="K19" s="48">
        <f t="shared" si="1"/>
        <v>3877.4785016657461</v>
      </c>
      <c r="L19" s="48">
        <f t="shared" si="14"/>
        <v>380.63913958018736</v>
      </c>
      <c r="M19" s="105">
        <f t="shared" si="2"/>
        <v>0.59780467384615377</v>
      </c>
      <c r="N19" s="87">
        <f>N$22*$F$8*$I$19</f>
        <v>4523.7249186100371</v>
      </c>
      <c r="O19" s="48">
        <f t="shared" si="3"/>
        <v>3166.607443027026</v>
      </c>
      <c r="P19" s="49">
        <f t="shared" si="4"/>
        <v>1199.0132896775904</v>
      </c>
      <c r="Q19" s="87">
        <f>Q$22*$F$8*$I$19</f>
        <v>4749.9111645405383</v>
      </c>
      <c r="R19" s="48">
        <f t="shared" si="5"/>
        <v>2374.9555822702691</v>
      </c>
      <c r="S19" s="49">
        <f t="shared" si="6"/>
        <v>2098.2732569357827</v>
      </c>
      <c r="T19" s="48">
        <f>T$22*$F$8*$I$19</f>
        <v>4987.406722767565</v>
      </c>
      <c r="U19" s="48">
        <f t="shared" si="7"/>
        <v>1496.2220168302695</v>
      </c>
      <c r="V19" s="48">
        <f t="shared" si="8"/>
        <v>3084.4616876956002</v>
      </c>
      <c r="W19" s="48">
        <f>W$22*$F$8*$I$19</f>
        <v>5236.7770589059437</v>
      </c>
      <c r="X19" s="48">
        <f t="shared" si="9"/>
        <v>523.67770589059444</v>
      </c>
      <c r="Y19" s="48">
        <f t="shared" si="10"/>
        <v>4164.0232783890606</v>
      </c>
      <c r="Z19" s="48">
        <f>Z$22*$F$8*$I$19</f>
        <v>5498.6159118512405</v>
      </c>
      <c r="AA19" s="48">
        <f t="shared" si="11"/>
        <v>0</v>
      </c>
      <c r="AB19" s="48">
        <f t="shared" si="12"/>
        <v>4858.0271581205707</v>
      </c>
      <c r="AC19" s="6">
        <f t="shared" si="15"/>
        <v>0.76296708320617201</v>
      </c>
    </row>
    <row r="20" spans="2:33" x14ac:dyDescent="0.4">
      <c r="B20" s="47" t="s">
        <v>50</v>
      </c>
      <c r="C20" s="48">
        <f t="shared" si="0"/>
        <v>2927.7969696969699</v>
      </c>
      <c r="D20" s="48">
        <f t="shared" si="13"/>
        <v>2635.0172727272729</v>
      </c>
      <c r="E20" s="48">
        <f t="shared" si="13"/>
        <v>2701.8791469090911</v>
      </c>
      <c r="F20" s="48">
        <f>F$22*$F$9</f>
        <v>2645.881651636364</v>
      </c>
      <c r="G20" s="48">
        <f>G$22*$F$9</f>
        <v>2778.1757342181822</v>
      </c>
      <c r="H20" s="87" t="s">
        <v>36</v>
      </c>
      <c r="I20" s="100">
        <v>0.8</v>
      </c>
      <c r="J20" s="87">
        <f>J$22*$F$9*$I$20</f>
        <v>2333.6676167432734</v>
      </c>
      <c r="K20" s="48">
        <f t="shared" si="1"/>
        <v>2100.300855068946</v>
      </c>
      <c r="L20" s="48">
        <f t="shared" si="14"/>
        <v>206.1795339392682</v>
      </c>
      <c r="M20" s="105">
        <f t="shared" si="2"/>
        <v>0.79707289846153861</v>
      </c>
      <c r="N20" s="87">
        <f>N$22*$F$9*$I$20</f>
        <v>2450.3509975804368</v>
      </c>
      <c r="O20" s="48">
        <f t="shared" si="3"/>
        <v>1715.2456983063057</v>
      </c>
      <c r="P20" s="49">
        <f t="shared" si="4"/>
        <v>649.46553190869463</v>
      </c>
      <c r="Q20" s="87">
        <f>Q$22*$F$9*$I$20</f>
        <v>2572.8685474594586</v>
      </c>
      <c r="R20" s="48">
        <f t="shared" si="5"/>
        <v>1286.4342737297293</v>
      </c>
      <c r="S20" s="49">
        <f t="shared" si="6"/>
        <v>1136.5646808402157</v>
      </c>
      <c r="T20" s="48">
        <f>T$22*$F$9*$I$20</f>
        <v>2701.5119748324314</v>
      </c>
      <c r="U20" s="48">
        <f t="shared" si="7"/>
        <v>810.4535924497294</v>
      </c>
      <c r="V20" s="48">
        <f t="shared" si="8"/>
        <v>1670.7500808351169</v>
      </c>
      <c r="W20" s="48">
        <f>W$22*$F$9*$I$20</f>
        <v>2836.5875735740533</v>
      </c>
      <c r="X20" s="48">
        <f t="shared" si="9"/>
        <v>283.65875735740536</v>
      </c>
      <c r="Y20" s="48">
        <f t="shared" si="10"/>
        <v>2255.5126091274083</v>
      </c>
      <c r="Z20" s="48">
        <f>Z$22*$F$9*$I$20</f>
        <v>2978.4169522527559</v>
      </c>
      <c r="AA20" s="48">
        <f t="shared" si="11"/>
        <v>0</v>
      </c>
      <c r="AB20" s="48">
        <f t="shared" si="12"/>
        <v>2631.4313773153099</v>
      </c>
      <c r="AC20" s="6">
        <f t="shared" si="15"/>
        <v>1.0172894442748963</v>
      </c>
    </row>
    <row r="21" spans="2:33" ht="15.6" thickBot="1" x14ac:dyDescent="0.45">
      <c r="B21" s="47" t="s">
        <v>52</v>
      </c>
      <c r="C21" s="48">
        <f t="shared" si="0"/>
        <v>1801.7212121212124</v>
      </c>
      <c r="D21" s="48">
        <f t="shared" si="13"/>
        <v>1621.5490909090911</v>
      </c>
      <c r="E21" s="48">
        <f t="shared" si="13"/>
        <v>1662.6948596363636</v>
      </c>
      <c r="F21" s="48">
        <f>F$22*$F$10</f>
        <v>1628.2348625454547</v>
      </c>
      <c r="G21" s="48">
        <f>G$22*$F$10</f>
        <v>1709.6466056727274</v>
      </c>
      <c r="H21" s="112" t="s">
        <v>36</v>
      </c>
      <c r="I21" s="113">
        <v>0.75</v>
      </c>
      <c r="J21" s="87">
        <f>J$22*$F$10*$I$21</f>
        <v>1346.346701967273</v>
      </c>
      <c r="K21" s="48">
        <f t="shared" si="1"/>
        <v>1211.7120317705458</v>
      </c>
      <c r="L21" s="48">
        <f t="shared" si="14"/>
        <v>118.94973111880857</v>
      </c>
      <c r="M21" s="105">
        <f t="shared" si="2"/>
        <v>0.74725584230769238</v>
      </c>
      <c r="N21" s="87">
        <f>N$22*$F$10*$I$21</f>
        <v>1413.6640370656364</v>
      </c>
      <c r="O21" s="48">
        <f t="shared" si="3"/>
        <v>989.56482594594547</v>
      </c>
      <c r="P21" s="49">
        <f t="shared" si="4"/>
        <v>374.69165302424688</v>
      </c>
      <c r="Q21" s="87">
        <f>Q$22*$F$10*$I$21</f>
        <v>1484.3472389189183</v>
      </c>
      <c r="R21" s="48">
        <f t="shared" si="5"/>
        <v>742.17361945945913</v>
      </c>
      <c r="S21" s="49">
        <f t="shared" si="6"/>
        <v>655.71039279243212</v>
      </c>
      <c r="T21" s="48">
        <f>T$22*$F$10*$I$21</f>
        <v>1558.5646008648641</v>
      </c>
      <c r="U21" s="48">
        <f t="shared" si="7"/>
        <v>467.56938025945919</v>
      </c>
      <c r="V21" s="48">
        <f t="shared" si="8"/>
        <v>963.89427740487497</v>
      </c>
      <c r="W21" s="48">
        <f>W$22*$F$10*$I$21</f>
        <v>1636.4928309081074</v>
      </c>
      <c r="X21" s="48">
        <f t="shared" si="9"/>
        <v>163.64928309081074</v>
      </c>
      <c r="Y21" s="48">
        <f t="shared" si="10"/>
        <v>1301.2572744965814</v>
      </c>
      <c r="Z21" s="48">
        <f>Z$22*$F$10*$I$21</f>
        <v>1718.3174724535129</v>
      </c>
      <c r="AA21" s="48">
        <f t="shared" si="11"/>
        <v>0</v>
      </c>
      <c r="AB21" s="48">
        <f t="shared" si="12"/>
        <v>1518.1334869126786</v>
      </c>
      <c r="AC21" s="6">
        <f t="shared" si="15"/>
        <v>0.9537088540077151</v>
      </c>
    </row>
    <row r="22" spans="2:33" ht="15.6" thickTop="1" x14ac:dyDescent="0.4">
      <c r="B22" s="50" t="s">
        <v>20</v>
      </c>
      <c r="C22" s="51">
        <f t="shared" si="0"/>
        <v>28873.737373737371</v>
      </c>
      <c r="D22" s="51">
        <f>$D$15/D4</f>
        <v>25986.363636363636</v>
      </c>
      <c r="E22" s="51">
        <f>D22*(1+E2)</f>
        <v>26921.872727272726</v>
      </c>
      <c r="F22" s="51">
        <f>E22*(1+$F$2)</f>
        <v>28267.966363636366</v>
      </c>
      <c r="G22" s="51">
        <f>F22*(1+$F$2)</f>
        <v>29681.364681818184</v>
      </c>
      <c r="H22" s="94" t="str">
        <f>IF(S7&gt;R7,H21,H15)</f>
        <v>R454B</v>
      </c>
      <c r="I22" s="103" cm="1">
        <f t="array" ref="I22">SUM(D15:D21*I15:I21)/D22</f>
        <v>0.74533000000000005</v>
      </c>
      <c r="J22" s="88">
        <f>G22*(1+$F$2)</f>
        <v>31165.432915909096</v>
      </c>
      <c r="K22" s="52"/>
      <c r="L22" s="52"/>
      <c r="M22" s="106">
        <f t="shared" si="2"/>
        <v>1.0793695500000002</v>
      </c>
      <c r="N22" s="94">
        <f>J22*(1+$F$2)</f>
        <v>32723.704561704551</v>
      </c>
      <c r="O22" s="52"/>
      <c r="P22" s="89"/>
      <c r="Q22" s="94">
        <f>N22*(1+$F$2)</f>
        <v>34359.889789789777</v>
      </c>
      <c r="R22" s="52"/>
      <c r="S22" s="89"/>
      <c r="T22" s="52">
        <f>Q22*(1+$F$2)</f>
        <v>36077.884279279264</v>
      </c>
      <c r="U22" s="52"/>
      <c r="V22" s="52"/>
      <c r="W22" s="52">
        <f>T22*(1+$F$2)</f>
        <v>37881.778493243226</v>
      </c>
      <c r="X22" s="52"/>
      <c r="Y22" s="52"/>
      <c r="Z22" s="52">
        <f>W22*(1+$F$2)</f>
        <v>39775.867417905392</v>
      </c>
      <c r="AA22" s="52"/>
      <c r="AB22" s="52"/>
    </row>
    <row r="23" spans="2:33" x14ac:dyDescent="0.4">
      <c r="C23" s="5"/>
    </row>
    <row r="25" spans="2:33" ht="60" x14ac:dyDescent="0.4">
      <c r="B25" s="58" t="s">
        <v>107</v>
      </c>
      <c r="C25" s="37" t="s">
        <v>86</v>
      </c>
      <c r="D25" s="37" t="s">
        <v>66</v>
      </c>
      <c r="E25" s="38" t="s">
        <v>88</v>
      </c>
      <c r="F25" s="37" t="s">
        <v>97</v>
      </c>
      <c r="G25" s="37" t="s">
        <v>98</v>
      </c>
      <c r="H25" s="38" t="s">
        <v>55</v>
      </c>
      <c r="I25" s="39" t="s">
        <v>112</v>
      </c>
      <c r="J25" s="495" t="s">
        <v>93</v>
      </c>
      <c r="K25" s="496"/>
      <c r="L25" s="497"/>
      <c r="M25" s="96" t="s">
        <v>108</v>
      </c>
      <c r="N25" s="495" t="s">
        <v>94</v>
      </c>
      <c r="O25" s="496"/>
      <c r="P25" s="496"/>
      <c r="Q25" s="495" t="s">
        <v>95</v>
      </c>
      <c r="R25" s="496"/>
      <c r="S25" s="497"/>
      <c r="T25" s="495" t="s">
        <v>109</v>
      </c>
      <c r="U25" s="496"/>
      <c r="V25" s="497"/>
      <c r="W25" s="495" t="s">
        <v>110</v>
      </c>
      <c r="X25" s="496"/>
      <c r="Y25" s="497"/>
      <c r="Z25" s="495" t="s">
        <v>111</v>
      </c>
      <c r="AA25" s="496"/>
      <c r="AB25" s="497"/>
      <c r="AC25" s="30" t="s">
        <v>108</v>
      </c>
      <c r="AD25" t="s">
        <v>114</v>
      </c>
    </row>
    <row r="26" spans="2:33" x14ac:dyDescent="0.4">
      <c r="B26" s="40" t="s">
        <v>56</v>
      </c>
      <c r="C26" s="41">
        <f>C15*2090</f>
        <v>13276144.444444444</v>
      </c>
      <c r="D26" s="41">
        <f>D15*2090</f>
        <v>11948530</v>
      </c>
      <c r="E26" s="41">
        <f>E15*2090</f>
        <v>14220109.330187943</v>
      </c>
      <c r="F26" s="41">
        <f>F15*2090</f>
        <v>16542413.916000003</v>
      </c>
      <c r="G26" s="41">
        <f>G15*2090</f>
        <v>17369534.611800004</v>
      </c>
      <c r="H26" s="93" t="str">
        <f>H15</f>
        <v>R32</v>
      </c>
      <c r="I26" s="102">
        <v>1</v>
      </c>
      <c r="J26" s="84">
        <f>K26+L26</f>
        <v>20820129.790338904</v>
      </c>
      <c r="K26" s="42">
        <f>K15*2090</f>
        <v>16414210.208151005</v>
      </c>
      <c r="L26" s="42">
        <f>IF($H$26="R32",L15*675,L15*465)</f>
        <v>4405919.5821879003</v>
      </c>
      <c r="M26" s="98">
        <f>J26/C26</f>
        <v>1.5682361605406703</v>
      </c>
      <c r="N26" s="84">
        <f>O26+P26</f>
        <v>15044214.318637732</v>
      </c>
      <c r="O26" s="42">
        <f t="shared" ref="O26:O32" si="16">O15*2090</f>
        <v>13404938.336656652</v>
      </c>
      <c r="P26" s="85">
        <f>IF($H$26="R32",P15*675,P15*465)</f>
        <v>1639275.9819810805</v>
      </c>
      <c r="Q26" s="84">
        <f>R26+S26</f>
        <v>12922436.72095938</v>
      </c>
      <c r="R26" s="42">
        <f t="shared" ref="R26:R32" si="17">R15*2090</f>
        <v>10053703.752492489</v>
      </c>
      <c r="S26" s="85">
        <f>IF($H$26="R32",S15*675,S15*465)</f>
        <v>2868732.968466891</v>
      </c>
      <c r="T26" s="41">
        <f>U26+V26</f>
        <v>10550870.827716596</v>
      </c>
      <c r="U26" s="42">
        <f t="shared" ref="U26:U32" si="18">U15*2090</f>
        <v>6333833.3640702674</v>
      </c>
      <c r="V26" s="42">
        <f>IF($H$26="R32",V15*675,V15*465)</f>
        <v>4217037.463646329</v>
      </c>
      <c r="W26" s="41">
        <f>X26+Y26</f>
        <v>7909842.2533471389</v>
      </c>
      <c r="X26" s="42">
        <f t="shared" ref="X26:X32" si="19">X15*2090</f>
        <v>2216841.6774245938</v>
      </c>
      <c r="Y26" s="42">
        <f>IF($H$26="R32",Y15*675,Y15*465)</f>
        <v>5693000.575922545</v>
      </c>
      <c r="Z26" s="41">
        <f>AA26+AB26</f>
        <v>6641834.0052429698</v>
      </c>
      <c r="AA26" s="42">
        <f t="shared" ref="AA26:AA32" si="20">AA15*2090</f>
        <v>0</v>
      </c>
      <c r="AB26" s="42">
        <f>IF($H$26="R32",AB15*675,AB15*465)</f>
        <v>6641834.0052429698</v>
      </c>
      <c r="AC26" s="119">
        <f>Z26/C26</f>
        <v>0.50028334905789018</v>
      </c>
      <c r="AD26" s="18">
        <f>AC26*M4</f>
        <v>0.44343296848312991</v>
      </c>
      <c r="AE26" s="18">
        <v>0.3</v>
      </c>
      <c r="AF26" s="18">
        <f>AD26-AE26</f>
        <v>0.14343296848312992</v>
      </c>
      <c r="AG26" s="4">
        <f>AF26*AB26</f>
        <v>952657.96754419548</v>
      </c>
    </row>
    <row r="27" spans="2:33" x14ac:dyDescent="0.4">
      <c r="B27" s="43" t="s">
        <v>41</v>
      </c>
      <c r="C27" s="44">
        <f t="shared" ref="C27:G33" si="21">C16*2090</f>
        <v>9413993.333333334</v>
      </c>
      <c r="D27" s="44">
        <f t="shared" si="21"/>
        <v>8472594.0000000019</v>
      </c>
      <c r="E27" s="44">
        <f t="shared" si="21"/>
        <v>8687580.6415999997</v>
      </c>
      <c r="F27" s="44">
        <f t="shared" si="21"/>
        <v>8507527.1568</v>
      </c>
      <c r="G27" s="44">
        <f t="shared" si="21"/>
        <v>8932903.5146399997</v>
      </c>
      <c r="H27" s="86" t="str">
        <f t="shared" ref="H27:H33" si="22">H16</f>
        <v>R454B</v>
      </c>
      <c r="I27" s="46">
        <v>0.45</v>
      </c>
      <c r="J27" s="86">
        <f t="shared" ref="J27:J32" si="23">K27+L27</f>
        <v>3881684.6570560299</v>
      </c>
      <c r="K27" s="44">
        <f t="shared" ref="K27:K32" si="24">K16*2090</f>
        <v>3798717.2196006607</v>
      </c>
      <c r="L27" s="44">
        <f t="shared" ref="L27:L32" si="25">IF($H$27="R32",L16*675,L16*465)</f>
        <v>82967.43745536897</v>
      </c>
      <c r="M27" s="104">
        <f>J27/C27</f>
        <v>0.41233135818268013</v>
      </c>
      <c r="N27" s="86">
        <f t="shared" ref="N27:N32" si="26">O27+P27</f>
        <v>3363633.1573249516</v>
      </c>
      <c r="O27" s="44">
        <f t="shared" si="16"/>
        <v>3102285.7293405393</v>
      </c>
      <c r="P27" s="45">
        <f t="shared" ref="P27:P32" si="27">IF($H$27="R32",P16*675,P16*465)</f>
        <v>261347.42798441226</v>
      </c>
      <c r="Q27" s="86">
        <f t="shared" ref="Q27:Q32" si="28">R27+S27</f>
        <v>2784072.2959781257</v>
      </c>
      <c r="R27" s="44">
        <f t="shared" si="17"/>
        <v>2326714.2970054043</v>
      </c>
      <c r="S27" s="45">
        <f t="shared" ref="S27:S32" si="29">IF($H$27="R32",S16*675,S16*465)</f>
        <v>457357.9989727214</v>
      </c>
      <c r="T27" s="44">
        <f t="shared" ref="T27:T32" si="30">U27+V27</f>
        <v>2138146.2656033048</v>
      </c>
      <c r="U27" s="44">
        <f t="shared" si="18"/>
        <v>1465830.0071134046</v>
      </c>
      <c r="V27" s="44">
        <f t="shared" ref="V27:V32" si="31">IF($H$27="R32",V16*675,V16*465)</f>
        <v>672316.25848990039</v>
      </c>
      <c r="W27" s="44">
        <f t="shared" ref="W27:W32" si="32">X27+Y27</f>
        <v>1420667.4514510571</v>
      </c>
      <c r="X27" s="44">
        <f t="shared" si="19"/>
        <v>513040.50248969166</v>
      </c>
      <c r="Y27" s="44">
        <f t="shared" ref="Y27:Y32" si="33">IF($H$27="R32",Y16*675,Y16*465)</f>
        <v>907626.9489613655</v>
      </c>
      <c r="Z27" s="44">
        <f t="shared" ref="Z27:Z32" si="34">AA27+AB27</f>
        <v>1058898.1071215933</v>
      </c>
      <c r="AA27" s="44">
        <f t="shared" si="20"/>
        <v>0</v>
      </c>
      <c r="AB27" s="44">
        <f t="shared" ref="AB27:AB32" si="35">IF($H$27="R32",AB16*675,AB16*465)</f>
        <v>1058898.1071215933</v>
      </c>
      <c r="AC27" s="64">
        <f t="shared" ref="AC27:AC33" si="36">Z27/C27</f>
        <v>0.11248128924971902</v>
      </c>
    </row>
    <row r="28" spans="2:33" x14ac:dyDescent="0.4">
      <c r="B28" s="33" t="s">
        <v>44</v>
      </c>
      <c r="C28" s="44">
        <f t="shared" si="21"/>
        <v>10826092.333333332</v>
      </c>
      <c r="D28" s="44">
        <f t="shared" si="21"/>
        <v>9743483.0999999996</v>
      </c>
      <c r="E28" s="44">
        <f t="shared" si="21"/>
        <v>9990717.7378400005</v>
      </c>
      <c r="F28" s="44">
        <f t="shared" si="21"/>
        <v>9783656.2303199992</v>
      </c>
      <c r="G28" s="44">
        <f t="shared" si="21"/>
        <v>10272839.041835999</v>
      </c>
      <c r="H28" s="86" t="str">
        <f t="shared" si="22"/>
        <v>R454B</v>
      </c>
      <c r="I28" s="46">
        <v>0.85</v>
      </c>
      <c r="J28" s="86">
        <f t="shared" si="23"/>
        <v>8431881.6717161536</v>
      </c>
      <c r="K28" s="44">
        <f t="shared" si="24"/>
        <v>8251657.9603547687</v>
      </c>
      <c r="L28" s="95">
        <f t="shared" si="25"/>
        <v>180223.71136138481</v>
      </c>
      <c r="M28" s="104">
        <f t="shared" ref="M28:M33" si="37">J28/C28</f>
        <v>0.77884812101172929</v>
      </c>
      <c r="N28" s="86">
        <f t="shared" si="26"/>
        <v>7306558.691744756</v>
      </c>
      <c r="O28" s="44">
        <f t="shared" si="16"/>
        <v>6738854.0009563938</v>
      </c>
      <c r="P28" s="45">
        <f t="shared" si="27"/>
        <v>567704.69078836218</v>
      </c>
      <c r="Q28" s="86">
        <f t="shared" si="28"/>
        <v>6047623.7095969291</v>
      </c>
      <c r="R28" s="44">
        <f t="shared" si="17"/>
        <v>5054140.5007172953</v>
      </c>
      <c r="S28" s="45">
        <f t="shared" si="29"/>
        <v>993483.20887963357</v>
      </c>
      <c r="T28" s="44">
        <f t="shared" si="30"/>
        <v>4644528.8325049579</v>
      </c>
      <c r="U28" s="44">
        <f t="shared" si="18"/>
        <v>3184108.515451896</v>
      </c>
      <c r="V28" s="44">
        <f t="shared" si="31"/>
        <v>1460420.3170530614</v>
      </c>
      <c r="W28" s="44">
        <f t="shared" si="32"/>
        <v>3086005.4084297968</v>
      </c>
      <c r="X28" s="44">
        <f t="shared" si="19"/>
        <v>1114437.9804081635</v>
      </c>
      <c r="Y28" s="44">
        <f t="shared" si="33"/>
        <v>1971567.4280216331</v>
      </c>
      <c r="Z28" s="44">
        <f t="shared" si="34"/>
        <v>2300161.9993585721</v>
      </c>
      <c r="AA28" s="44">
        <f t="shared" si="20"/>
        <v>0</v>
      </c>
      <c r="AB28" s="44">
        <f t="shared" si="35"/>
        <v>2300161.9993585721</v>
      </c>
      <c r="AC28" s="64">
        <f t="shared" si="36"/>
        <v>0.21246465747169152</v>
      </c>
    </row>
    <row r="29" spans="2:33" x14ac:dyDescent="0.4">
      <c r="B29" s="33" t="s">
        <v>45</v>
      </c>
      <c r="C29" s="44">
        <f t="shared" si="21"/>
        <v>1882798.666666667</v>
      </c>
      <c r="D29" s="44">
        <f t="shared" si="21"/>
        <v>1694518.8000000003</v>
      </c>
      <c r="E29" s="44">
        <f t="shared" si="21"/>
        <v>1737516.1283199999</v>
      </c>
      <c r="F29" s="44">
        <f t="shared" si="21"/>
        <v>1701505.43136</v>
      </c>
      <c r="G29" s="44">
        <f t="shared" si="21"/>
        <v>1786580.7029280001</v>
      </c>
      <c r="H29" s="86" t="str">
        <f t="shared" si="22"/>
        <v>R454B</v>
      </c>
      <c r="I29" s="99">
        <v>0.8</v>
      </c>
      <c r="J29" s="86">
        <f t="shared" si="23"/>
        <v>1380154.5447310328</v>
      </c>
      <c r="K29" s="44">
        <f t="shared" si="24"/>
        <v>1350655.0114135682</v>
      </c>
      <c r="L29" s="44">
        <f t="shared" si="25"/>
        <v>29499.533317464527</v>
      </c>
      <c r="M29" s="104">
        <f t="shared" si="37"/>
        <v>0.73303352565809798</v>
      </c>
      <c r="N29" s="86">
        <f t="shared" si="26"/>
        <v>1195958.4559377606</v>
      </c>
      <c r="O29" s="44">
        <f t="shared" si="16"/>
        <v>1103034.9259877475</v>
      </c>
      <c r="P29" s="45">
        <f t="shared" si="27"/>
        <v>92923.529950013253</v>
      </c>
      <c r="Q29" s="86">
        <f t="shared" si="28"/>
        <v>989892.3719033337</v>
      </c>
      <c r="R29" s="44">
        <f t="shared" si="17"/>
        <v>827276.19449081051</v>
      </c>
      <c r="S29" s="45">
        <f t="shared" si="29"/>
        <v>162616.17741252319</v>
      </c>
      <c r="T29" s="44">
        <f t="shared" si="30"/>
        <v>760229.78332561965</v>
      </c>
      <c r="U29" s="44">
        <f t="shared" si="18"/>
        <v>521184.00252921059</v>
      </c>
      <c r="V29" s="44">
        <f t="shared" si="31"/>
        <v>239045.78079640906</v>
      </c>
      <c r="W29" s="44">
        <f t="shared" si="32"/>
        <v>505126.20496037602</v>
      </c>
      <c r="X29" s="44">
        <f t="shared" si="19"/>
        <v>182414.40088522373</v>
      </c>
      <c r="Y29" s="44">
        <f t="shared" si="33"/>
        <v>322711.80407515226</v>
      </c>
      <c r="Z29" s="44">
        <f t="shared" si="34"/>
        <v>376497.10475434433</v>
      </c>
      <c r="AA29" s="44">
        <f t="shared" si="20"/>
        <v>0</v>
      </c>
      <c r="AB29" s="44">
        <f t="shared" si="35"/>
        <v>376497.10475434433</v>
      </c>
      <c r="AC29" s="64">
        <f t="shared" si="36"/>
        <v>0.19996673644394494</v>
      </c>
    </row>
    <row r="30" spans="2:33" x14ac:dyDescent="0.4">
      <c r="B30" s="47" t="s">
        <v>47</v>
      </c>
      <c r="C30" s="48">
        <f t="shared" si="21"/>
        <v>15062389.333333336</v>
      </c>
      <c r="D30" s="48">
        <f t="shared" si="21"/>
        <v>13556150.400000002</v>
      </c>
      <c r="E30" s="48">
        <f t="shared" si="21"/>
        <v>13900129.026559999</v>
      </c>
      <c r="F30" s="48">
        <f t="shared" si="21"/>
        <v>13612043.45088</v>
      </c>
      <c r="G30" s="48">
        <f t="shared" si="21"/>
        <v>14292645.623424001</v>
      </c>
      <c r="H30" s="87" t="str">
        <f t="shared" si="22"/>
        <v>R454B</v>
      </c>
      <c r="I30" s="100">
        <v>0.6</v>
      </c>
      <c r="J30" s="87">
        <f t="shared" si="23"/>
        <v>8280927.2683861963</v>
      </c>
      <c r="K30" s="48">
        <f t="shared" si="24"/>
        <v>8103930.068481409</v>
      </c>
      <c r="L30" s="48">
        <f t="shared" si="25"/>
        <v>176997.19990478712</v>
      </c>
      <c r="M30" s="105">
        <f t="shared" si="37"/>
        <v>0.54977514424357343</v>
      </c>
      <c r="N30" s="87">
        <f t="shared" si="26"/>
        <v>7175750.7356265634</v>
      </c>
      <c r="O30" s="48">
        <f t="shared" si="16"/>
        <v>6618209.5559264841</v>
      </c>
      <c r="P30" s="49">
        <f t="shared" si="27"/>
        <v>557541.17970007949</v>
      </c>
      <c r="Q30" s="87">
        <f t="shared" si="28"/>
        <v>5939354.231420001</v>
      </c>
      <c r="R30" s="48">
        <f t="shared" si="17"/>
        <v>4963657.1669448623</v>
      </c>
      <c r="S30" s="49">
        <f t="shared" si="29"/>
        <v>975697.0644751389</v>
      </c>
      <c r="T30" s="48">
        <f t="shared" si="30"/>
        <v>4561378.6999537172</v>
      </c>
      <c r="U30" s="48">
        <f t="shared" si="18"/>
        <v>3127104.0151752634</v>
      </c>
      <c r="V30" s="48">
        <f t="shared" si="31"/>
        <v>1434274.684778454</v>
      </c>
      <c r="W30" s="48">
        <f t="shared" si="32"/>
        <v>3030757.2297622552</v>
      </c>
      <c r="X30" s="48">
        <f t="shared" si="19"/>
        <v>1094486.4053113423</v>
      </c>
      <c r="Y30" s="48">
        <f t="shared" si="33"/>
        <v>1936270.8244509131</v>
      </c>
      <c r="Z30" s="48">
        <f t="shared" si="34"/>
        <v>2258982.6285260655</v>
      </c>
      <c r="AA30" s="48">
        <f t="shared" si="20"/>
        <v>0</v>
      </c>
      <c r="AB30" s="48">
        <f t="shared" si="35"/>
        <v>2258982.6285260655</v>
      </c>
      <c r="AC30" s="120">
        <f t="shared" si="36"/>
        <v>0.14997505233295866</v>
      </c>
    </row>
    <row r="31" spans="2:33" x14ac:dyDescent="0.4">
      <c r="B31" s="47" t="s">
        <v>50</v>
      </c>
      <c r="C31" s="48">
        <f t="shared" si="21"/>
        <v>6119095.666666667</v>
      </c>
      <c r="D31" s="48">
        <f t="shared" si="21"/>
        <v>5507186.1000000006</v>
      </c>
      <c r="E31" s="48">
        <f t="shared" si="21"/>
        <v>5646927.4170400007</v>
      </c>
      <c r="F31" s="48">
        <f t="shared" si="21"/>
        <v>5529892.651920001</v>
      </c>
      <c r="G31" s="48">
        <f t="shared" si="21"/>
        <v>5806387.2845160011</v>
      </c>
      <c r="H31" s="87" t="str">
        <f t="shared" si="22"/>
        <v>R454B</v>
      </c>
      <c r="I31" s="100">
        <v>0.8</v>
      </c>
      <c r="J31" s="87">
        <f t="shared" si="23"/>
        <v>4485502.2703758571</v>
      </c>
      <c r="K31" s="48">
        <f t="shared" si="24"/>
        <v>4389628.7870940976</v>
      </c>
      <c r="L31" s="48">
        <f t="shared" si="25"/>
        <v>95873.483281759705</v>
      </c>
      <c r="M31" s="105">
        <f t="shared" si="37"/>
        <v>0.7330335256580981</v>
      </c>
      <c r="N31" s="87">
        <f t="shared" si="26"/>
        <v>3886864.9817977222</v>
      </c>
      <c r="O31" s="48">
        <f t="shared" si="16"/>
        <v>3584863.5094601791</v>
      </c>
      <c r="P31" s="49">
        <f t="shared" si="27"/>
        <v>302001.47233754297</v>
      </c>
      <c r="Q31" s="87">
        <f t="shared" si="28"/>
        <v>3217150.2086858349</v>
      </c>
      <c r="R31" s="48">
        <f t="shared" si="17"/>
        <v>2688647.6320951344</v>
      </c>
      <c r="S31" s="49">
        <f t="shared" si="29"/>
        <v>528502.57659070031</v>
      </c>
      <c r="T31" s="48">
        <f t="shared" si="30"/>
        <v>2470746.7958082641</v>
      </c>
      <c r="U31" s="48">
        <f t="shared" si="18"/>
        <v>1693848.0082199345</v>
      </c>
      <c r="V31" s="48">
        <f t="shared" si="31"/>
        <v>776898.7875883294</v>
      </c>
      <c r="W31" s="48">
        <f t="shared" si="32"/>
        <v>1641660.1661212221</v>
      </c>
      <c r="X31" s="48">
        <f t="shared" si="19"/>
        <v>592846.80287697725</v>
      </c>
      <c r="Y31" s="48">
        <f t="shared" si="33"/>
        <v>1048813.3632442448</v>
      </c>
      <c r="Z31" s="48">
        <f t="shared" si="34"/>
        <v>1223615.5904516191</v>
      </c>
      <c r="AA31" s="48">
        <f t="shared" si="20"/>
        <v>0</v>
      </c>
      <c r="AB31" s="48">
        <f t="shared" si="35"/>
        <v>1223615.5904516191</v>
      </c>
      <c r="AC31" s="120">
        <f t="shared" si="36"/>
        <v>0.19996673644394497</v>
      </c>
    </row>
    <row r="32" spans="2:33" ht="15.6" thickBot="1" x14ac:dyDescent="0.45">
      <c r="B32" s="47" t="s">
        <v>52</v>
      </c>
      <c r="C32" s="48">
        <f t="shared" si="21"/>
        <v>3765597.333333334</v>
      </c>
      <c r="D32" s="48">
        <f t="shared" si="21"/>
        <v>3389037.6000000006</v>
      </c>
      <c r="E32" s="48">
        <f t="shared" si="21"/>
        <v>3475032.2566399998</v>
      </c>
      <c r="F32" s="48">
        <f t="shared" si="21"/>
        <v>3403010.8627200001</v>
      </c>
      <c r="G32" s="48">
        <f t="shared" si="21"/>
        <v>3573161.4058560003</v>
      </c>
      <c r="H32" s="112" t="str">
        <f t="shared" si="22"/>
        <v>R454B</v>
      </c>
      <c r="I32" s="113">
        <v>0.75</v>
      </c>
      <c r="J32" s="87">
        <f t="shared" si="23"/>
        <v>2587789.7713706866</v>
      </c>
      <c r="K32" s="48">
        <f t="shared" si="24"/>
        <v>2532478.1464004405</v>
      </c>
      <c r="L32" s="48">
        <f t="shared" si="25"/>
        <v>55311.624970245983</v>
      </c>
      <c r="M32" s="105">
        <f t="shared" si="37"/>
        <v>0.68721893030446679</v>
      </c>
      <c r="N32" s="87">
        <f t="shared" si="26"/>
        <v>2242422.1048833006</v>
      </c>
      <c r="O32" s="48">
        <f t="shared" si="16"/>
        <v>2068190.486227026</v>
      </c>
      <c r="P32" s="49">
        <f t="shared" si="27"/>
        <v>174231.6186562748</v>
      </c>
      <c r="Q32" s="87">
        <f t="shared" si="28"/>
        <v>1856048.1973187507</v>
      </c>
      <c r="R32" s="48">
        <f t="shared" si="17"/>
        <v>1551142.8646702697</v>
      </c>
      <c r="S32" s="49">
        <f t="shared" si="29"/>
        <v>304905.33264848095</v>
      </c>
      <c r="T32" s="48">
        <f t="shared" si="30"/>
        <v>1425430.8437355366</v>
      </c>
      <c r="U32" s="48">
        <f t="shared" si="18"/>
        <v>977220.00474226975</v>
      </c>
      <c r="V32" s="48">
        <f t="shared" si="31"/>
        <v>448210.83899326687</v>
      </c>
      <c r="W32" s="48">
        <f t="shared" si="32"/>
        <v>947111.63430070481</v>
      </c>
      <c r="X32" s="48">
        <f t="shared" si="19"/>
        <v>342027.00165979442</v>
      </c>
      <c r="Y32" s="48">
        <f t="shared" si="33"/>
        <v>605084.63264091033</v>
      </c>
      <c r="Z32" s="48">
        <f t="shared" si="34"/>
        <v>705932.07141439558</v>
      </c>
      <c r="AA32" s="48">
        <f t="shared" si="20"/>
        <v>0</v>
      </c>
      <c r="AB32" s="48">
        <f t="shared" si="35"/>
        <v>705932.07141439558</v>
      </c>
      <c r="AC32" s="120">
        <f t="shared" si="36"/>
        <v>0.18746881541619836</v>
      </c>
    </row>
    <row r="33" spans="2:29" ht="15.6" thickTop="1" x14ac:dyDescent="0.4">
      <c r="B33" s="35" t="s">
        <v>20</v>
      </c>
      <c r="C33" s="114">
        <f t="shared" si="21"/>
        <v>60346111.111111104</v>
      </c>
      <c r="D33" s="114">
        <f t="shared" si="21"/>
        <v>54311500</v>
      </c>
      <c r="E33" s="114">
        <f t="shared" si="21"/>
        <v>56266714</v>
      </c>
      <c r="F33" s="114">
        <f t="shared" si="21"/>
        <v>59080049.700000003</v>
      </c>
      <c r="G33" s="114">
        <f t="shared" si="21"/>
        <v>62034052.185000002</v>
      </c>
      <c r="H33" s="115" t="str">
        <f t="shared" si="22"/>
        <v>R454B</v>
      </c>
      <c r="I33" s="103" cm="1">
        <f t="array" ref="I33">SUM(D26:D32*I26:I32)/D33</f>
        <v>0.74533000000000016</v>
      </c>
      <c r="J33" s="114">
        <f>SUM(J26:J32)</f>
        <v>49868069.973974854</v>
      </c>
      <c r="K33" s="114">
        <f>SUM(K26:K32)</f>
        <v>44841277.401495948</v>
      </c>
      <c r="L33" s="116">
        <f>SUM(L26:L32)</f>
        <v>5026792.5724789118</v>
      </c>
      <c r="M33" s="118">
        <f t="shared" si="37"/>
        <v>0.82636758286140821</v>
      </c>
      <c r="N33" s="114">
        <f t="shared" ref="N33:AB33" si="38">SUM(N26:N32)</f>
        <v>40215402.445952788</v>
      </c>
      <c r="O33" s="114">
        <f t="shared" si="38"/>
        <v>36620376.544555023</v>
      </c>
      <c r="P33" s="116">
        <f t="shared" si="38"/>
        <v>3595025.9013977656</v>
      </c>
      <c r="Q33" s="114">
        <f t="shared" si="38"/>
        <v>33756577.735862352</v>
      </c>
      <c r="R33" s="114">
        <f t="shared" si="38"/>
        <v>27465282.408416264</v>
      </c>
      <c r="S33" s="116">
        <f t="shared" si="38"/>
        <v>6291295.3274460891</v>
      </c>
      <c r="T33" s="114">
        <f t="shared" si="38"/>
        <v>26551332.048647992</v>
      </c>
      <c r="U33" s="114">
        <f t="shared" si="38"/>
        <v>17303127.917302247</v>
      </c>
      <c r="V33" s="116">
        <f t="shared" si="38"/>
        <v>9248204.1313457489</v>
      </c>
      <c r="W33" s="114">
        <f t="shared" si="38"/>
        <v>18541170.348372553</v>
      </c>
      <c r="X33" s="114">
        <f t="shared" si="38"/>
        <v>6056094.7710557869</v>
      </c>
      <c r="Y33" s="116">
        <f t="shared" si="38"/>
        <v>12485075.577316765</v>
      </c>
      <c r="Z33" s="114">
        <f t="shared" si="38"/>
        <v>14565921.50686956</v>
      </c>
      <c r="AA33" s="114">
        <f t="shared" si="38"/>
        <v>0</v>
      </c>
      <c r="AB33" s="116">
        <f t="shared" si="38"/>
        <v>14565921.50686956</v>
      </c>
      <c r="AC33" s="117">
        <f t="shared" si="36"/>
        <v>0.24137299386285788</v>
      </c>
    </row>
    <row r="34" spans="2:29" x14ac:dyDescent="0.4">
      <c r="B34" s="92"/>
    </row>
    <row r="43" spans="2:29" x14ac:dyDescent="0.4">
      <c r="B43" t="s">
        <v>76</v>
      </c>
      <c r="C43" t="s">
        <v>67</v>
      </c>
      <c r="D43" t="s">
        <v>68</v>
      </c>
      <c r="E43" t="s">
        <v>69</v>
      </c>
      <c r="F43" t="s">
        <v>70</v>
      </c>
      <c r="G43" t="s">
        <v>71</v>
      </c>
      <c r="L43" t="s">
        <v>73</v>
      </c>
      <c r="P43" t="s">
        <v>77</v>
      </c>
      <c r="Q43" t="s">
        <v>78</v>
      </c>
      <c r="R43" t="s">
        <v>79</v>
      </c>
      <c r="S43" t="s">
        <v>80</v>
      </c>
    </row>
    <row r="44" spans="2:29" x14ac:dyDescent="0.4">
      <c r="B44" t="s">
        <v>3</v>
      </c>
      <c r="C44" s="5">
        <f>D15</f>
        <v>5717</v>
      </c>
      <c r="D44">
        <v>6804</v>
      </c>
      <c r="E44">
        <v>7718</v>
      </c>
      <c r="F44">
        <v>8490</v>
      </c>
      <c r="G44" s="5" t="e">
        <f>#REF!</f>
        <v>#REF!</v>
      </c>
      <c r="H44" s="5"/>
      <c r="I44" s="5"/>
      <c r="J44" s="5"/>
      <c r="K44" s="5"/>
    </row>
    <row r="45" spans="2:29" x14ac:dyDescent="0.4">
      <c r="B45" t="s">
        <v>82</v>
      </c>
      <c r="G45" s="6">
        <v>0.05</v>
      </c>
      <c r="H45" s="6"/>
      <c r="I45" s="6"/>
      <c r="J45" s="6"/>
      <c r="K45" s="6"/>
      <c r="L45" s="6">
        <v>0.1</v>
      </c>
      <c r="M45" s="6"/>
      <c r="N45" s="6"/>
      <c r="O45" s="6"/>
      <c r="P45" s="18">
        <v>0.3</v>
      </c>
      <c r="Q45" s="18">
        <v>0.5</v>
      </c>
      <c r="R45" s="18">
        <v>0.7</v>
      </c>
      <c r="S45" s="18">
        <v>0.9</v>
      </c>
    </row>
    <row r="46" spans="2:29" x14ac:dyDescent="0.4">
      <c r="B46" t="s">
        <v>83</v>
      </c>
      <c r="C46" t="s">
        <v>72</v>
      </c>
      <c r="D46" t="s">
        <v>72</v>
      </c>
      <c r="E46" t="s">
        <v>72</v>
      </c>
      <c r="F46" t="s">
        <v>72</v>
      </c>
      <c r="G46" s="5" t="e">
        <f>#REF!</f>
        <v>#REF!</v>
      </c>
      <c r="H46" s="5"/>
      <c r="I46" s="5"/>
      <c r="J46" s="5"/>
      <c r="K46" s="5"/>
    </row>
    <row r="47" spans="2:29" x14ac:dyDescent="0.4">
      <c r="B47" t="s">
        <v>84</v>
      </c>
      <c r="G47" s="5" t="e">
        <f>G46*0.75</f>
        <v>#REF!</v>
      </c>
      <c r="H47" s="5"/>
      <c r="I47" s="5"/>
      <c r="J47" s="5"/>
      <c r="K47" s="5"/>
    </row>
    <row r="48" spans="2:29" x14ac:dyDescent="0.4">
      <c r="G48" s="5"/>
      <c r="H48" s="5"/>
      <c r="I48" s="5"/>
      <c r="J48" s="5"/>
      <c r="K48" s="5"/>
    </row>
    <row r="49" spans="2:19" x14ac:dyDescent="0.4">
      <c r="F49" t="s">
        <v>85</v>
      </c>
    </row>
    <row r="50" spans="2:19" x14ac:dyDescent="0.4">
      <c r="F50" t="s">
        <v>75</v>
      </c>
      <c r="G50" s="5">
        <v>1565</v>
      </c>
      <c r="H50" s="5"/>
      <c r="I50" s="5"/>
      <c r="J50" s="5"/>
      <c r="K50" s="5"/>
      <c r="L50">
        <v>1477</v>
      </c>
      <c r="P50">
        <v>1395</v>
      </c>
      <c r="Q50">
        <v>1219</v>
      </c>
      <c r="R50">
        <v>1249</v>
      </c>
      <c r="S50">
        <v>885</v>
      </c>
    </row>
    <row r="51" spans="2:19" x14ac:dyDescent="0.4">
      <c r="F51" t="s">
        <v>13</v>
      </c>
      <c r="G51" s="4">
        <v>30</v>
      </c>
      <c r="H51" s="4"/>
      <c r="I51" s="4"/>
      <c r="J51" s="4"/>
      <c r="K51" s="4"/>
      <c r="L51">
        <v>30</v>
      </c>
      <c r="P51">
        <v>50</v>
      </c>
      <c r="Q51">
        <v>70</v>
      </c>
      <c r="R51">
        <v>90</v>
      </c>
      <c r="S51">
        <v>130</v>
      </c>
    </row>
    <row r="52" spans="2:19" x14ac:dyDescent="0.4">
      <c r="B52" s="18"/>
      <c r="C52" s="18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</row>
    <row r="53" spans="2:19" x14ac:dyDescent="0.4">
      <c r="C53" s="6"/>
    </row>
    <row r="61" spans="2:19" x14ac:dyDescent="0.4">
      <c r="D61" t="s">
        <v>59</v>
      </c>
      <c r="E61" t="s">
        <v>60</v>
      </c>
      <c r="L61" t="s">
        <v>61</v>
      </c>
    </row>
    <row r="62" spans="2:19" x14ac:dyDescent="0.4">
      <c r="C62" t="s">
        <v>62</v>
      </c>
      <c r="D62">
        <v>1545</v>
      </c>
      <c r="E62" s="18">
        <v>0.94</v>
      </c>
      <c r="L62">
        <v>1572</v>
      </c>
    </row>
    <row r="63" spans="2:19" x14ac:dyDescent="0.4">
      <c r="C63" t="s">
        <v>63</v>
      </c>
      <c r="D63">
        <v>1775</v>
      </c>
      <c r="E63" s="6">
        <f>D63/D62</f>
        <v>1.1488673139158576</v>
      </c>
      <c r="L63">
        <v>1912</v>
      </c>
    </row>
    <row r="64" spans="2:19" x14ac:dyDescent="0.4">
      <c r="C64" t="s">
        <v>42</v>
      </c>
      <c r="D64">
        <v>1875</v>
      </c>
      <c r="E64" s="6">
        <f>D64/D63</f>
        <v>1.056338028169014</v>
      </c>
      <c r="L64">
        <v>1936</v>
      </c>
    </row>
    <row r="65" spans="3:5" x14ac:dyDescent="0.4">
      <c r="C65" t="s">
        <v>64</v>
      </c>
      <c r="D65">
        <v>1875</v>
      </c>
      <c r="E65" s="6">
        <f>D65/D64</f>
        <v>1</v>
      </c>
    </row>
    <row r="66" spans="3:5" x14ac:dyDescent="0.4">
      <c r="C66" t="s">
        <v>19</v>
      </c>
      <c r="D66">
        <v>1985</v>
      </c>
      <c r="E66" s="6">
        <f>D66/D65</f>
        <v>1.0586666666666666</v>
      </c>
    </row>
    <row r="67" spans="3:5" x14ac:dyDescent="0.4">
      <c r="D67">
        <v>2153</v>
      </c>
      <c r="E67" s="6">
        <f>D67/D66</f>
        <v>1.0846347607052897</v>
      </c>
    </row>
    <row r="69" spans="3:5" x14ac:dyDescent="0.4">
      <c r="D69" t="s">
        <v>65</v>
      </c>
      <c r="E69" s="6">
        <f>(D67/D63)^(1/(2025-2021))-1</f>
        <v>4.9449193449945028E-2</v>
      </c>
    </row>
  </sheetData>
  <mergeCells count="14">
    <mergeCell ref="Q13:S13"/>
    <mergeCell ref="T13:V13"/>
    <mergeCell ref="W13:Y13"/>
    <mergeCell ref="Z13:AB13"/>
    <mergeCell ref="N25:P25"/>
    <mergeCell ref="Q25:S25"/>
    <mergeCell ref="T25:V25"/>
    <mergeCell ref="W25:Y25"/>
    <mergeCell ref="Z25:AB25"/>
    <mergeCell ref="F12:G12"/>
    <mergeCell ref="B3:B5"/>
    <mergeCell ref="J13:L13"/>
    <mergeCell ref="J25:L25"/>
    <mergeCell ref="N13:P13"/>
  </mergeCells>
  <phoneticPr fontId="2"/>
  <conditionalFormatting sqref="B15:H15 J15:P15">
    <cfRule type="expression" dxfId="95" priority="213">
      <formula>$H$15="R454B"</formula>
    </cfRule>
    <cfRule type="expression" dxfId="94" priority="214">
      <formula>$H$15="R32"</formula>
    </cfRule>
  </conditionalFormatting>
  <conditionalFormatting sqref="B18:H18 J18:P18">
    <cfRule type="expression" dxfId="93" priority="223">
      <formula>$H$18=$H$15</formula>
    </cfRule>
    <cfRule type="expression" dxfId="92" priority="224">
      <formula>$H$18=$H$21</formula>
    </cfRule>
  </conditionalFormatting>
  <conditionalFormatting sqref="B16:H16 J16:P16">
    <cfRule type="expression" dxfId="91" priority="231">
      <formula>$H$16=$H$19</formula>
    </cfRule>
    <cfRule type="expression" dxfId="90" priority="232">
      <formula>$H$16=$H$15</formula>
    </cfRule>
  </conditionalFormatting>
  <conditionalFormatting sqref="B17:H17 J17:P17">
    <cfRule type="expression" dxfId="89" priority="239">
      <formula>$H$17=$H$21</formula>
    </cfRule>
    <cfRule type="expression" dxfId="88" priority="240">
      <formula>$H$17=$H$15</formula>
    </cfRule>
  </conditionalFormatting>
  <conditionalFormatting sqref="I15">
    <cfRule type="expression" dxfId="87" priority="107">
      <formula>$G$14="R454B"</formula>
    </cfRule>
    <cfRule type="expression" dxfId="86" priority="108">
      <formula>$G$14="R32"</formula>
    </cfRule>
  </conditionalFormatting>
  <conditionalFormatting sqref="I16">
    <cfRule type="expression" dxfId="85" priority="97">
      <formula>$H$16=$H$19</formula>
    </cfRule>
    <cfRule type="expression" dxfId="84" priority="98">
      <formula>$H$16=$H$15</formula>
    </cfRule>
  </conditionalFormatting>
  <conditionalFormatting sqref="T16:V16">
    <cfRule type="expression" dxfId="83" priority="81">
      <formula>$H$16=$H$19</formula>
    </cfRule>
    <cfRule type="expression" dxfId="82" priority="82">
      <formula>$H$16=$H$15</formula>
    </cfRule>
  </conditionalFormatting>
  <conditionalFormatting sqref="Q15:S15">
    <cfRule type="expression" dxfId="81" priority="85">
      <formula>$H$15="R454B"</formula>
    </cfRule>
    <cfRule type="expression" dxfId="80" priority="86">
      <formula>$H$15="R32"</formula>
    </cfRule>
  </conditionalFormatting>
  <conditionalFormatting sqref="Q18:S18">
    <cfRule type="expression" dxfId="79" priority="87">
      <formula>$H$18=$H$15</formula>
    </cfRule>
    <cfRule type="expression" dxfId="78" priority="88">
      <formula>$H$18=$H$21</formula>
    </cfRule>
  </conditionalFormatting>
  <conditionalFormatting sqref="Q16:S16">
    <cfRule type="expression" dxfId="77" priority="89">
      <formula>$H$16=$H$19</formula>
    </cfRule>
    <cfRule type="expression" dxfId="76" priority="90">
      <formula>$H$16=$H$15</formula>
    </cfRule>
  </conditionalFormatting>
  <conditionalFormatting sqref="Q17:S17">
    <cfRule type="expression" dxfId="75" priority="91">
      <formula>$H$17=$H$21</formula>
    </cfRule>
    <cfRule type="expression" dxfId="74" priority="92">
      <formula>$H$17=$H$15</formula>
    </cfRule>
  </conditionalFormatting>
  <conditionalFormatting sqref="T15:V15">
    <cfRule type="expression" dxfId="73" priority="77">
      <formula>$H$15="R454B"</formula>
    </cfRule>
    <cfRule type="expression" dxfId="72" priority="78">
      <formula>$H$15="R32"</formula>
    </cfRule>
  </conditionalFormatting>
  <conditionalFormatting sqref="T18:V18">
    <cfRule type="expression" dxfId="71" priority="79">
      <formula>$H$18=$H$15</formula>
    </cfRule>
    <cfRule type="expression" dxfId="70" priority="80">
      <formula>$H$18=$H$21</formula>
    </cfRule>
  </conditionalFormatting>
  <conditionalFormatting sqref="T17:V17">
    <cfRule type="expression" dxfId="69" priority="83">
      <formula>$H$17=$H$21</formula>
    </cfRule>
    <cfRule type="expression" dxfId="68" priority="84">
      <formula>$H$17=$H$15</formula>
    </cfRule>
  </conditionalFormatting>
  <conditionalFormatting sqref="W15:Y15">
    <cfRule type="expression" dxfId="67" priority="69">
      <formula>$H$15="R454B"</formula>
    </cfRule>
    <cfRule type="expression" dxfId="66" priority="70">
      <formula>$H$15="R32"</formula>
    </cfRule>
  </conditionalFormatting>
  <conditionalFormatting sqref="W18:Y18">
    <cfRule type="expression" dxfId="65" priority="71">
      <formula>$H$18=$H$15</formula>
    </cfRule>
    <cfRule type="expression" dxfId="64" priority="72">
      <formula>$H$18=$H$21</formula>
    </cfRule>
  </conditionalFormatting>
  <conditionalFormatting sqref="W16:Y16">
    <cfRule type="expression" dxfId="63" priority="73">
      <formula>$H$16=$H$19</formula>
    </cfRule>
    <cfRule type="expression" dxfId="62" priority="74">
      <formula>$H$16=$H$15</formula>
    </cfRule>
  </conditionalFormatting>
  <conditionalFormatting sqref="W17:Y17">
    <cfRule type="expression" dxfId="61" priority="75">
      <formula>$H$17=$H$21</formula>
    </cfRule>
    <cfRule type="expression" dxfId="60" priority="76">
      <formula>$H$17=$H$15</formula>
    </cfRule>
  </conditionalFormatting>
  <conditionalFormatting sqref="Z15:AB15">
    <cfRule type="expression" dxfId="59" priority="61">
      <formula>$H$15="R454B"</formula>
    </cfRule>
    <cfRule type="expression" dxfId="58" priority="62">
      <formula>$H$15="R32"</formula>
    </cfRule>
  </conditionalFormatting>
  <conditionalFormatting sqref="Z18:AB18">
    <cfRule type="expression" dxfId="57" priority="63">
      <formula>$H$18=$H$15</formula>
    </cfRule>
    <cfRule type="expression" dxfId="56" priority="64">
      <formula>$H$18=$H$21</formula>
    </cfRule>
  </conditionalFormatting>
  <conditionalFormatting sqref="Z16:AB16">
    <cfRule type="expression" dxfId="55" priority="65">
      <formula>$H$16=$H$19</formula>
    </cfRule>
    <cfRule type="expression" dxfId="54" priority="66">
      <formula>$H$16=$H$15</formula>
    </cfRule>
  </conditionalFormatting>
  <conditionalFormatting sqref="Z17:AB17">
    <cfRule type="expression" dxfId="53" priority="67">
      <formula>$H$17=$H$21</formula>
    </cfRule>
    <cfRule type="expression" dxfId="52" priority="68">
      <formula>$H$17=$H$15</formula>
    </cfRule>
  </conditionalFormatting>
  <conditionalFormatting sqref="I17">
    <cfRule type="expression" dxfId="51" priority="59">
      <formula>$H$17=$H$21</formula>
    </cfRule>
    <cfRule type="expression" dxfId="50" priority="60">
      <formula>$H$17=$H$15</formula>
    </cfRule>
  </conditionalFormatting>
  <conditionalFormatting sqref="I18">
    <cfRule type="expression" dxfId="49" priority="57">
      <formula>$H$18=$H$15</formula>
    </cfRule>
    <cfRule type="expression" dxfId="48" priority="58">
      <formula>$H$18=$H$21</formula>
    </cfRule>
  </conditionalFormatting>
  <conditionalFormatting sqref="B26:H26 AC26 J26:P26">
    <cfRule type="expression" dxfId="47" priority="41">
      <formula>$H$15="R454B"</formula>
    </cfRule>
    <cfRule type="expression" dxfId="46" priority="42">
      <formula>$H$15="R32"</formula>
    </cfRule>
  </conditionalFormatting>
  <conditionalFormatting sqref="B29:H29 AC29 J29:P29">
    <cfRule type="expression" dxfId="45" priority="43">
      <formula>$H$18=$H$15</formula>
    </cfRule>
    <cfRule type="expression" dxfId="44" priority="44">
      <formula>$H$18=$H$21</formula>
    </cfRule>
  </conditionalFormatting>
  <conditionalFormatting sqref="B27:H27 AC27 J27:P27">
    <cfRule type="expression" dxfId="43" priority="45">
      <formula>$H$16=$H$19</formula>
    </cfRule>
    <cfRule type="expression" dxfId="42" priority="46">
      <formula>$H$16=$H$15</formula>
    </cfRule>
  </conditionalFormatting>
  <conditionalFormatting sqref="B28:H28 AC28 J28:P28">
    <cfRule type="expression" dxfId="41" priority="47">
      <formula>$H$17=$H$21</formula>
    </cfRule>
    <cfRule type="expression" dxfId="40" priority="48">
      <formula>$H$17=$H$15</formula>
    </cfRule>
  </conditionalFormatting>
  <conditionalFormatting sqref="I26">
    <cfRule type="expression" dxfId="39" priority="39">
      <formula>$G$14="R454B"</formula>
    </cfRule>
    <cfRule type="expression" dxfId="38" priority="40">
      <formula>$G$14="R32"</formula>
    </cfRule>
  </conditionalFormatting>
  <conditionalFormatting sqref="I27">
    <cfRule type="expression" dxfId="37" priority="37">
      <formula>$H$16=$H$19</formula>
    </cfRule>
    <cfRule type="expression" dxfId="36" priority="38">
      <formula>$H$16=$H$15</formula>
    </cfRule>
  </conditionalFormatting>
  <conditionalFormatting sqref="T27:V27">
    <cfRule type="expression" dxfId="35" priority="25">
      <formula>$H$16=$H$19</formula>
    </cfRule>
    <cfRule type="expression" dxfId="34" priority="26">
      <formula>$H$16=$H$15</formula>
    </cfRule>
  </conditionalFormatting>
  <conditionalFormatting sqref="Q26:S26">
    <cfRule type="expression" dxfId="33" priority="29">
      <formula>$H$15="R454B"</formula>
    </cfRule>
    <cfRule type="expression" dxfId="32" priority="30">
      <formula>$H$15="R32"</formula>
    </cfRule>
  </conditionalFormatting>
  <conditionalFormatting sqref="Q29:S29">
    <cfRule type="expression" dxfId="31" priority="31">
      <formula>$H$18=$H$15</formula>
    </cfRule>
    <cfRule type="expression" dxfId="30" priority="32">
      <formula>$H$18=$H$21</formula>
    </cfRule>
  </conditionalFormatting>
  <conditionalFormatting sqref="Q27:S27">
    <cfRule type="expression" dxfId="29" priority="33">
      <formula>$H$16=$H$19</formula>
    </cfRule>
    <cfRule type="expression" dxfId="28" priority="34">
      <formula>$H$16=$H$15</formula>
    </cfRule>
  </conditionalFormatting>
  <conditionalFormatting sqref="Q28:S28">
    <cfRule type="expression" dxfId="27" priority="35">
      <formula>$H$17=$H$21</formula>
    </cfRule>
    <cfRule type="expression" dxfId="26" priority="36">
      <formula>$H$17=$H$15</formula>
    </cfRule>
  </conditionalFormatting>
  <conditionalFormatting sqref="T26:V26">
    <cfRule type="expression" dxfId="25" priority="21">
      <formula>$H$15="R454B"</formula>
    </cfRule>
    <cfRule type="expression" dxfId="24" priority="22">
      <formula>$H$15="R32"</formula>
    </cfRule>
  </conditionalFormatting>
  <conditionalFormatting sqref="T29:V29">
    <cfRule type="expression" dxfId="23" priority="23">
      <formula>$H$18=$H$15</formula>
    </cfRule>
    <cfRule type="expression" dxfId="22" priority="24">
      <formula>$H$18=$H$21</formula>
    </cfRule>
  </conditionalFormatting>
  <conditionalFormatting sqref="T28:V28">
    <cfRule type="expression" dxfId="21" priority="27">
      <formula>$H$17=$H$21</formula>
    </cfRule>
    <cfRule type="expression" dxfId="20" priority="28">
      <formula>$H$17=$H$15</formula>
    </cfRule>
  </conditionalFormatting>
  <conditionalFormatting sqref="W26:Y26">
    <cfRule type="expression" dxfId="19" priority="13">
      <formula>$H$15="R454B"</formula>
    </cfRule>
    <cfRule type="expression" dxfId="18" priority="14">
      <formula>$H$15="R32"</formula>
    </cfRule>
  </conditionalFormatting>
  <conditionalFormatting sqref="W29:Y29">
    <cfRule type="expression" dxfId="17" priority="15">
      <formula>$H$18=$H$15</formula>
    </cfRule>
    <cfRule type="expression" dxfId="16" priority="16">
      <formula>$H$18=$H$21</formula>
    </cfRule>
  </conditionalFormatting>
  <conditionalFormatting sqref="W27:Y27">
    <cfRule type="expression" dxfId="15" priority="17">
      <formula>$H$16=$H$19</formula>
    </cfRule>
    <cfRule type="expression" dxfId="14" priority="18">
      <formula>$H$16=$H$15</formula>
    </cfRule>
  </conditionalFormatting>
  <conditionalFormatting sqref="W28:Y28">
    <cfRule type="expression" dxfId="13" priority="19">
      <formula>$H$17=$H$21</formula>
    </cfRule>
    <cfRule type="expression" dxfId="12" priority="20">
      <formula>$H$17=$H$15</formula>
    </cfRule>
  </conditionalFormatting>
  <conditionalFormatting sqref="Z26:AB26">
    <cfRule type="expression" dxfId="11" priority="5">
      <formula>$H$15="R454B"</formula>
    </cfRule>
    <cfRule type="expression" dxfId="10" priority="6">
      <formula>$H$15="R32"</formula>
    </cfRule>
  </conditionalFormatting>
  <conditionalFormatting sqref="Z29:AB29">
    <cfRule type="expression" dxfId="9" priority="7">
      <formula>$H$18=$H$15</formula>
    </cfRule>
    <cfRule type="expression" dxfId="8" priority="8">
      <formula>$H$18=$H$21</formula>
    </cfRule>
  </conditionalFormatting>
  <conditionalFormatting sqref="Z27:AB27">
    <cfRule type="expression" dxfId="7" priority="9">
      <formula>$H$16=$H$19</formula>
    </cfRule>
    <cfRule type="expression" dxfId="6" priority="10">
      <formula>$H$16=$H$15</formula>
    </cfRule>
  </conditionalFormatting>
  <conditionalFormatting sqref="Z28:AB28">
    <cfRule type="expression" dxfId="5" priority="11">
      <formula>$H$17=$H$21</formula>
    </cfRule>
    <cfRule type="expression" dxfId="4" priority="12">
      <formula>$H$17=$H$15</formula>
    </cfRule>
  </conditionalFormatting>
  <conditionalFormatting sqref="I28">
    <cfRule type="expression" dxfId="3" priority="3">
      <formula>$H$17=$H$21</formula>
    </cfRule>
    <cfRule type="expression" dxfId="2" priority="4">
      <formula>$H$17=$H$15</formula>
    </cfRule>
  </conditionalFormatting>
  <conditionalFormatting sqref="I29">
    <cfRule type="expression" dxfId="1" priority="1">
      <formula>$H$18=$H$15</formula>
    </cfRule>
    <cfRule type="expression" dxfId="0" priority="2">
      <formula>$H$18=$H$21</formula>
    </cfRule>
  </conditionalFormatting>
  <dataValidations count="6">
    <dataValidation type="list" allowBlank="1" showInputMessage="1" showErrorMessage="1" sqref="I15 I26" xr:uid="{9B2D0ED2-C758-42A2-8761-3C56BD7F74F1}">
      <formula1>"10%,20%,30%,40%,50%,60％,70%,80%,90%,100%"</formula1>
    </dataValidation>
    <dataValidation type="list" allowBlank="1" showInputMessage="1" showErrorMessage="1" sqref="F2" xr:uid="{E2E3D8ED-20E0-468B-BCAE-947AC0AD7238}">
      <formula1>"2%,3%,4%,5%,6%,7%,8%,9%,10%"</formula1>
    </dataValidation>
    <dataValidation type="list" allowBlank="1" showInputMessage="1" showErrorMessage="1" sqref="D4" xr:uid="{3EFB5AED-73BE-47B5-A975-6206BF2B3DDC}">
      <formula1>"22％,25%,28%,30%,32%,35%"</formula1>
    </dataValidation>
    <dataValidation type="list" allowBlank="1" showInputMessage="1" showErrorMessage="1" sqref="H15:H18 H26:H29" xr:uid="{8695A532-2504-4E14-A48E-1AF52A670D83}">
      <formula1>"R32,R454B"</formula1>
    </dataValidation>
    <dataValidation type="list" allowBlank="1" showInputMessage="1" showErrorMessage="1" sqref="F4" xr:uid="{85B51F91-7169-4783-AD9E-A488DC544190}">
      <formula1>"22％,23%,24%,25%,26%,27%,28%,29%,30%,31%,32%,33%,34%,35%"</formula1>
    </dataValidation>
    <dataValidation type="list" allowBlank="1" showInputMessage="1" showErrorMessage="1" sqref="I16:I21 I27:I32" xr:uid="{5A8095AB-2B60-46AA-8019-7F5E6C58E513}">
      <formula1>"10%,15%,20%,25%,30%,35%,40%,45%,50%,55%,60％,65%,70%,75%,80%,85%,90%,95%,100%"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F254D-55F5-4C63-A271-9E6D38F172E7}">
  <dimension ref="A1"/>
  <sheetViews>
    <sheetView workbookViewId="0"/>
  </sheetViews>
  <sheetFormatPr defaultRowHeight="15" x14ac:dyDescent="0.4"/>
  <sheetData/>
  <phoneticPr fontId="2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E8DE9-C5D8-41C0-B6EC-E9483CD501AE}">
  <dimension ref="A1:S25"/>
  <sheetViews>
    <sheetView workbookViewId="0">
      <selection activeCell="E4" sqref="E4"/>
    </sheetView>
  </sheetViews>
  <sheetFormatPr defaultRowHeight="15" x14ac:dyDescent="0.4"/>
  <cols>
    <col min="1" max="1" width="12.25" customWidth="1"/>
    <col min="2" max="6" width="10.5" bestFit="1" customWidth="1"/>
    <col min="7" max="7" width="9.5" bestFit="1" customWidth="1"/>
    <col min="8" max="8" width="9.375" bestFit="1" customWidth="1"/>
    <col min="9" max="9" width="9.625" bestFit="1" customWidth="1"/>
    <col min="10" max="10" width="9.375" bestFit="1" customWidth="1"/>
    <col min="15" max="15" width="5" bestFit="1" customWidth="1"/>
    <col min="16" max="16" width="9.25" customWidth="1"/>
    <col min="17" max="17" width="11.625" customWidth="1"/>
    <col min="18" max="18" width="5.75" bestFit="1" customWidth="1"/>
  </cols>
  <sheetData>
    <row r="1" spans="1:19" ht="15.6" thickBot="1" x14ac:dyDescent="0.45"/>
    <row r="2" spans="1:19" x14ac:dyDescent="0.4">
      <c r="O2" s="174"/>
      <c r="P2" s="200"/>
      <c r="Q2" s="200"/>
      <c r="R2" s="200"/>
      <c r="S2" s="313" t="s">
        <v>185</v>
      </c>
    </row>
    <row r="3" spans="1:19" x14ac:dyDescent="0.4">
      <c r="A3" t="s">
        <v>176</v>
      </c>
      <c r="B3">
        <v>2022</v>
      </c>
      <c r="C3">
        <v>2023</v>
      </c>
      <c r="D3">
        <v>2024</v>
      </c>
      <c r="E3">
        <v>2025</v>
      </c>
      <c r="F3">
        <v>2026</v>
      </c>
      <c r="G3">
        <v>2027</v>
      </c>
      <c r="H3">
        <v>2028</v>
      </c>
      <c r="I3">
        <v>2029</v>
      </c>
      <c r="O3" s="450" t="s">
        <v>183</v>
      </c>
      <c r="P3" s="451"/>
      <c r="Q3" s="452"/>
      <c r="R3" s="306">
        <f>1-R8</f>
        <v>0.93500000000000005</v>
      </c>
      <c r="S3" s="314">
        <f>R3*S9</f>
        <v>8108.2328750464503</v>
      </c>
    </row>
    <row r="4" spans="1:19" x14ac:dyDescent="0.4">
      <c r="A4" t="s">
        <v>3</v>
      </c>
      <c r="B4" s="4">
        <f>ﾕﾆﾀﾘAC2!J74</f>
        <v>4101.8064678471865</v>
      </c>
      <c r="C4" s="4">
        <f>ﾕﾆﾀﾘAC2!O74</f>
        <v>4236.7317825577629</v>
      </c>
      <c r="D4" s="4">
        <f>ﾕﾆﾀﾘAC2!U74</f>
        <v>3946.9634676494261</v>
      </c>
      <c r="E4" s="4">
        <f>ﾕﾆﾀﾘAC2!Z74</f>
        <v>3766.2387209792505</v>
      </c>
      <c r="F4" s="4">
        <f>ﾕﾆﾀﾘAC2!AE74</f>
        <v>3673.7770826668607</v>
      </c>
      <c r="G4" s="4">
        <f>ﾕﾆﾀﾘAC2!AJ74</f>
        <v>1741.4748929130767</v>
      </c>
      <c r="H4" s="4">
        <f>ﾕﾆﾀﾘAC2!AO74</f>
        <v>1248.1844469262949</v>
      </c>
      <c r="I4" s="4">
        <f>ﾕﾆﾀﾘAC2!AT74</f>
        <v>705.58816439922373</v>
      </c>
      <c r="O4" s="304"/>
      <c r="P4" s="453" t="s">
        <v>181</v>
      </c>
      <c r="Q4" s="454"/>
      <c r="R4" s="310">
        <f>R3-R7</f>
        <v>0.86020000000000008</v>
      </c>
      <c r="S4" s="315">
        <f>R4*S9</f>
        <v>7459.5742450427342</v>
      </c>
    </row>
    <row r="5" spans="1:19" x14ac:dyDescent="0.4">
      <c r="A5" t="s">
        <v>57</v>
      </c>
      <c r="B5" s="4">
        <f>ﾕﾆﾀﾘAC2!K74</f>
        <v>0</v>
      </c>
      <c r="C5" s="4">
        <f>ﾕﾆﾀﾘAC2!P74</f>
        <v>0</v>
      </c>
      <c r="D5" s="4">
        <f>ﾕﾆﾀﾘAC2!V74</f>
        <v>360.94564183447324</v>
      </c>
      <c r="E5" s="4">
        <f>ﾕﾆﾀﾘAC2!AA74</f>
        <v>628.87916916379129</v>
      </c>
      <c r="F5" s="4">
        <f>ﾕﾆﾀﾘAC2!AF74</f>
        <v>1273.3966003412095</v>
      </c>
      <c r="G5" s="4">
        <f>ﾕﾆﾀﾘAC2!AK74</f>
        <v>2579.7759826381875</v>
      </c>
      <c r="H5" s="4">
        <f>ﾕﾆﾀﾘAC2!AP74</f>
        <v>3114.230018565037</v>
      </c>
      <c r="I5" s="4">
        <f>ﾕﾆﾀﾘAC2!AU74</f>
        <v>3678.6616818652546</v>
      </c>
      <c r="O5" s="304"/>
      <c r="P5" s="25"/>
      <c r="Q5" s="309" t="s">
        <v>122</v>
      </c>
      <c r="R5" s="310">
        <f>R4*0.88</f>
        <v>0.75697600000000009</v>
      </c>
      <c r="S5" s="316">
        <f>B13</f>
        <v>6564.4253356376066</v>
      </c>
    </row>
    <row r="6" spans="1:19" x14ac:dyDescent="0.4">
      <c r="O6" s="304"/>
      <c r="P6" s="25"/>
      <c r="Q6" s="311" t="s">
        <v>31</v>
      </c>
      <c r="R6" s="121">
        <f>R4*0.12</f>
        <v>0.10322400000000001</v>
      </c>
      <c r="S6" s="317">
        <f>R6*S9</f>
        <v>895.14890940512817</v>
      </c>
    </row>
    <row r="7" spans="1:19" x14ac:dyDescent="0.4">
      <c r="A7" t="s">
        <v>177</v>
      </c>
      <c r="B7">
        <v>2022</v>
      </c>
      <c r="C7">
        <v>2023</v>
      </c>
      <c r="D7">
        <v>2024</v>
      </c>
      <c r="E7">
        <v>2025</v>
      </c>
      <c r="F7">
        <v>2026</v>
      </c>
      <c r="G7">
        <v>2027</v>
      </c>
      <c r="H7">
        <v>2028</v>
      </c>
      <c r="I7">
        <v>2029</v>
      </c>
      <c r="O7" s="304"/>
      <c r="P7" s="455" t="s">
        <v>182</v>
      </c>
      <c r="Q7" s="456"/>
      <c r="R7" s="312">
        <f>R3*8%</f>
        <v>7.4800000000000005E-2</v>
      </c>
      <c r="S7" s="318">
        <f>R7*S9</f>
        <v>648.65863000371598</v>
      </c>
    </row>
    <row r="8" spans="1:19" ht="15.6" thickBot="1" x14ac:dyDescent="0.45">
      <c r="A8" t="s">
        <v>3</v>
      </c>
      <c r="B8" s="4">
        <f>ﾕﾆﾀﾘHP2!J50</f>
        <v>2462.6188677904197</v>
      </c>
      <c r="C8" s="4">
        <f>ﾕﾆﾀﾘHP2!O50</f>
        <v>2543.4178371662065</v>
      </c>
      <c r="D8" s="4">
        <f>ﾕﾆﾀﾘHP2!T50</f>
        <v>2478.5552887021031</v>
      </c>
      <c r="E8" s="4">
        <f>ﾕﾆﾀﾘHP2!Y50</f>
        <v>3563.7134648236884</v>
      </c>
      <c r="F8" s="4">
        <f>ﾕﾆﾀﾘHP2!AD50</f>
        <v>2269.3649011291009</v>
      </c>
      <c r="G8" s="4">
        <f>ﾕﾆﾀﾘHP2!AI50</f>
        <v>1319.0387491333954</v>
      </c>
      <c r="H8" s="4">
        <f>ﾕﾆﾀﾘHP2!AN50</f>
        <v>989.42674667796871</v>
      </c>
      <c r="I8" s="4">
        <f>ﾕﾆﾀﾘHP2!AS50</f>
        <v>604.28463533308366</v>
      </c>
      <c r="O8" s="443" t="s">
        <v>184</v>
      </c>
      <c r="P8" s="444"/>
      <c r="Q8" s="445"/>
      <c r="R8" s="308">
        <v>6.5000000000000002E-2</v>
      </c>
      <c r="S8" s="319">
        <f>R8*S9</f>
        <v>563.67394318504728</v>
      </c>
    </row>
    <row r="9" spans="1:19" ht="16.2" thickTop="1" thickBot="1" x14ac:dyDescent="0.45">
      <c r="A9" t="s">
        <v>57</v>
      </c>
      <c r="B9" s="4"/>
      <c r="C9" s="4"/>
      <c r="D9" s="4">
        <f>ﾕﾆﾀﾘHP2!U50</f>
        <v>223.99825031240795</v>
      </c>
      <c r="E9" s="4">
        <f>ﾕﾆﾀﾘHP2!Z50</f>
        <v>462.39446079663452</v>
      </c>
      <c r="F9" s="4">
        <f>ﾕﾆﾀﾘHP2!AE50</f>
        <v>966.01485355149453</v>
      </c>
      <c r="G9" s="4">
        <f>ﾕﾆﾀﾘHP2!AJ50</f>
        <v>2013.0795922254513</v>
      </c>
      <c r="H9" s="4">
        <f>ﾕﾆﾀﾘHP2!AO50</f>
        <v>2549.9647015187729</v>
      </c>
      <c r="I9" s="4">
        <f>ﾕﾆﾀﾘHP2!AT50</f>
        <v>3157.4380880186986</v>
      </c>
      <c r="O9" s="178" t="s">
        <v>20</v>
      </c>
      <c r="P9" s="207"/>
      <c r="Q9" s="307"/>
      <c r="R9" s="305">
        <v>1</v>
      </c>
      <c r="S9" s="320">
        <f>S5/R5</f>
        <v>8671.9068182314968</v>
      </c>
    </row>
    <row r="12" spans="1:19" x14ac:dyDescent="0.4">
      <c r="A12" t="s">
        <v>178</v>
      </c>
      <c r="B12">
        <v>2022</v>
      </c>
      <c r="C12">
        <v>2023</v>
      </c>
      <c r="D12">
        <v>2024</v>
      </c>
      <c r="E12">
        <v>2025</v>
      </c>
      <c r="F12">
        <v>2026</v>
      </c>
      <c r="G12">
        <v>2027</v>
      </c>
      <c r="H12">
        <v>2028</v>
      </c>
      <c r="I12">
        <v>2029</v>
      </c>
    </row>
    <row r="13" spans="1:19" x14ac:dyDescent="0.4">
      <c r="A13" t="s">
        <v>3</v>
      </c>
      <c r="B13" s="5">
        <f>B4+B8</f>
        <v>6564.4253356376066</v>
      </c>
      <c r="C13" s="5">
        <f>C4+C8</f>
        <v>6780.1496197239694</v>
      </c>
      <c r="D13" s="5">
        <f>D4+D8</f>
        <v>6425.5187563515292</v>
      </c>
      <c r="E13" s="5">
        <f t="shared" ref="E13:I13" si="0">E4+E8</f>
        <v>7329.9521858029384</v>
      </c>
      <c r="F13" s="5">
        <f t="shared" si="0"/>
        <v>5943.141983795962</v>
      </c>
      <c r="G13" s="5">
        <f t="shared" si="0"/>
        <v>3060.5136420464723</v>
      </c>
      <c r="H13" s="5">
        <f t="shared" si="0"/>
        <v>2237.6111936042635</v>
      </c>
      <c r="I13" s="5">
        <f t="shared" si="0"/>
        <v>1309.8727997323074</v>
      </c>
    </row>
    <row r="14" spans="1:19" x14ac:dyDescent="0.4">
      <c r="A14" t="s">
        <v>57</v>
      </c>
      <c r="B14" s="5">
        <f>B5+B9</f>
        <v>0</v>
      </c>
      <c r="C14" s="5">
        <f t="shared" ref="C14:I14" si="1">C5+C9</f>
        <v>0</v>
      </c>
      <c r="D14" s="5">
        <f>D5+D9</f>
        <v>584.94389214688113</v>
      </c>
      <c r="E14" s="5">
        <f t="shared" si="1"/>
        <v>1091.2736299604258</v>
      </c>
      <c r="F14" s="5">
        <f t="shared" si="1"/>
        <v>2239.4114538927042</v>
      </c>
      <c r="G14" s="5">
        <f t="shared" si="1"/>
        <v>4592.855574863639</v>
      </c>
      <c r="H14" s="5">
        <f t="shared" si="1"/>
        <v>5664.1947200838094</v>
      </c>
      <c r="I14" s="5">
        <f t="shared" si="1"/>
        <v>6836.0997698839528</v>
      </c>
    </row>
    <row r="16" spans="1:19" x14ac:dyDescent="0.4">
      <c r="A16" t="s">
        <v>121</v>
      </c>
      <c r="B16">
        <v>2022</v>
      </c>
      <c r="C16">
        <v>2023</v>
      </c>
      <c r="D16">
        <v>2024</v>
      </c>
      <c r="E16">
        <v>2025</v>
      </c>
      <c r="F16">
        <v>2026</v>
      </c>
      <c r="G16">
        <v>2027</v>
      </c>
      <c r="H16">
        <v>2028</v>
      </c>
      <c r="I16">
        <v>2029</v>
      </c>
    </row>
    <row r="17" spans="1:10" x14ac:dyDescent="0.4">
      <c r="A17" t="s">
        <v>3</v>
      </c>
      <c r="B17" s="4">
        <f t="shared" ref="B17:G17" si="2">B13*2090</f>
        <v>13719648.951482598</v>
      </c>
      <c r="C17" s="4">
        <f t="shared" si="2"/>
        <v>14170512.705223097</v>
      </c>
      <c r="D17" s="4">
        <f t="shared" si="2"/>
        <v>13429334.200774696</v>
      </c>
      <c r="E17" s="4">
        <f t="shared" si="2"/>
        <v>15319600.068328142</v>
      </c>
      <c r="F17" s="4">
        <f t="shared" si="2"/>
        <v>12421166.74613356</v>
      </c>
      <c r="G17" s="4">
        <f t="shared" si="2"/>
        <v>6396473.511877127</v>
      </c>
      <c r="H17" s="4">
        <f t="shared" ref="H17" si="3">H13*2090</f>
        <v>4676607.3946329104</v>
      </c>
      <c r="I17" s="4">
        <f>I13*2090</f>
        <v>2737634.1514405226</v>
      </c>
    </row>
    <row r="18" spans="1:10" x14ac:dyDescent="0.4">
      <c r="A18" t="s">
        <v>57</v>
      </c>
      <c r="B18" s="4">
        <f>B14*675</f>
        <v>0</v>
      </c>
      <c r="C18" s="4">
        <f t="shared" ref="C18:I18" si="4">C14*675</f>
        <v>0</v>
      </c>
      <c r="D18" s="4">
        <f t="shared" si="4"/>
        <v>394837.12719914474</v>
      </c>
      <c r="E18" s="4">
        <f t="shared" si="4"/>
        <v>736609.70022328733</v>
      </c>
      <c r="F18" s="4">
        <f t="shared" si="4"/>
        <v>1511602.7313775753</v>
      </c>
      <c r="G18" s="4">
        <f t="shared" si="4"/>
        <v>3100177.5130329565</v>
      </c>
      <c r="H18" s="4">
        <f t="shared" si="4"/>
        <v>3823331.4360565715</v>
      </c>
      <c r="I18" s="4">
        <f t="shared" si="4"/>
        <v>4614367.3446716685</v>
      </c>
    </row>
    <row r="19" spans="1:10" x14ac:dyDescent="0.4">
      <c r="A19" t="s">
        <v>179</v>
      </c>
      <c r="B19" s="5">
        <f>B17+B18</f>
        <v>13719648.951482598</v>
      </c>
      <c r="C19" s="5">
        <f t="shared" ref="C19:I19" si="5">C17+C18</f>
        <v>14170512.705223097</v>
      </c>
      <c r="D19" s="5">
        <f t="shared" si="5"/>
        <v>13824171.327973841</v>
      </c>
      <c r="E19" s="5">
        <f t="shared" si="5"/>
        <v>16056209.76855143</v>
      </c>
      <c r="F19" s="5">
        <f t="shared" si="5"/>
        <v>13932769.477511136</v>
      </c>
      <c r="G19" s="5">
        <f t="shared" si="5"/>
        <v>9496651.024910083</v>
      </c>
      <c r="H19" s="5">
        <f t="shared" si="5"/>
        <v>8499938.8306894824</v>
      </c>
      <c r="I19" s="5">
        <f t="shared" si="5"/>
        <v>7352001.4961121911</v>
      </c>
    </row>
    <row r="20" spans="1:10" x14ac:dyDescent="0.4">
      <c r="B20" s="18">
        <v>0.9</v>
      </c>
      <c r="C20" s="6">
        <f>C19/$B$22</f>
        <v>0.9295763674275791</v>
      </c>
      <c r="D20" s="6">
        <f t="shared" ref="D20:I20" si="6">D19/$B$22</f>
        <v>0.90685659955110975</v>
      </c>
      <c r="E20" s="6">
        <f t="shared" si="6"/>
        <v>1.0532768617330184</v>
      </c>
      <c r="F20" s="6">
        <f t="shared" si="6"/>
        <v>0.91398056714891074</v>
      </c>
      <c r="G20" s="6">
        <f t="shared" si="6"/>
        <v>0.62297409741635223</v>
      </c>
      <c r="H20" s="6">
        <f t="shared" si="6"/>
        <v>0.55759042922113922</v>
      </c>
      <c r="I20" s="6">
        <f t="shared" si="6"/>
        <v>0.48228649070397211</v>
      </c>
      <c r="J20" s="18"/>
    </row>
    <row r="22" spans="1:10" x14ac:dyDescent="0.4">
      <c r="A22" t="s">
        <v>180</v>
      </c>
      <c r="B22" s="4">
        <f>B19/B20</f>
        <v>15244054.390536219</v>
      </c>
      <c r="I22" s="18">
        <v>0.3</v>
      </c>
      <c r="J22" s="18"/>
    </row>
    <row r="23" spans="1:10" x14ac:dyDescent="0.4">
      <c r="I23" s="18">
        <f>I20-I22</f>
        <v>0.18228649070397213</v>
      </c>
      <c r="J23" s="18"/>
    </row>
    <row r="24" spans="1:10" x14ac:dyDescent="0.4">
      <c r="I24" s="4">
        <f>B22*I23</f>
        <v>2778785.1789513258</v>
      </c>
      <c r="J24" s="4"/>
    </row>
    <row r="25" spans="1:10" x14ac:dyDescent="0.4">
      <c r="I25" s="4">
        <f>I24/675</f>
        <v>4116.7187836315934</v>
      </c>
      <c r="J25" s="4"/>
    </row>
  </sheetData>
  <mergeCells count="4">
    <mergeCell ref="O3:Q3"/>
    <mergeCell ref="O8:Q8"/>
    <mergeCell ref="P7:Q7"/>
    <mergeCell ref="P4:Q4"/>
  </mergeCells>
  <phoneticPr fontId="2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74E81-6A99-44D4-B9D2-B9AD0B36EE1D}">
  <dimension ref="A1:T74"/>
  <sheetViews>
    <sheetView workbookViewId="0">
      <selection activeCell="S7" sqref="S7"/>
    </sheetView>
  </sheetViews>
  <sheetFormatPr defaultRowHeight="15" outlineLevelRow="1" x14ac:dyDescent="0.4"/>
  <cols>
    <col min="1" max="1" width="21.25" bestFit="1" customWidth="1"/>
    <col min="2" max="2" width="12.625" customWidth="1"/>
    <col min="3" max="3" width="6.75" bestFit="1" customWidth="1"/>
    <col min="4" max="4" width="8.875" style="1" bestFit="1" customWidth="1"/>
    <col min="5" max="5" width="7.25" style="1" bestFit="1" customWidth="1"/>
    <col min="6" max="6" width="7.25" style="4" bestFit="1" customWidth="1"/>
    <col min="7" max="7" width="6.75" style="4" bestFit="1" customWidth="1"/>
    <col min="8" max="8" width="9.375" style="4" customWidth="1"/>
    <col min="9" max="9" width="6.75" style="4" bestFit="1" customWidth="1"/>
    <col min="10" max="10" width="8.375" style="4" bestFit="1" customWidth="1"/>
    <col min="11" max="11" width="6.75" style="4" bestFit="1" customWidth="1"/>
    <col min="12" max="12" width="7.625" style="4" bestFit="1" customWidth="1"/>
    <col min="13" max="13" width="6.75" style="4" bestFit="1" customWidth="1"/>
    <col min="14" max="14" width="7.25" style="4" bestFit="1" customWidth="1"/>
    <col min="15" max="15" width="7.75" style="4" bestFit="1" customWidth="1"/>
    <col min="16" max="16" width="7.25" bestFit="1" customWidth="1"/>
    <col min="17" max="17" width="7.875" bestFit="1" customWidth="1"/>
    <col min="18" max="18" width="7.25" bestFit="1" customWidth="1"/>
    <col min="19" max="19" width="6.75" bestFit="1" customWidth="1"/>
  </cols>
  <sheetData>
    <row r="1" spans="2:20" ht="15.6" thickBot="1" x14ac:dyDescent="0.45">
      <c r="B1" t="s">
        <v>167</v>
      </c>
    </row>
    <row r="2" spans="2:20" x14ac:dyDescent="0.4">
      <c r="B2" s="470" t="s">
        <v>153</v>
      </c>
      <c r="C2" s="471"/>
      <c r="D2" s="466">
        <v>22</v>
      </c>
      <c r="E2" s="192"/>
      <c r="F2" s="466">
        <v>23</v>
      </c>
      <c r="G2" s="192"/>
      <c r="H2" s="466">
        <v>24</v>
      </c>
      <c r="I2" s="199"/>
      <c r="J2" s="466">
        <v>25</v>
      </c>
      <c r="K2" s="199"/>
      <c r="L2" s="466">
        <v>26</v>
      </c>
      <c r="M2" s="199"/>
      <c r="N2" s="468">
        <v>27</v>
      </c>
      <c r="O2" s="199"/>
      <c r="P2" s="468">
        <v>28</v>
      </c>
      <c r="Q2" s="199"/>
      <c r="R2" s="466">
        <v>29</v>
      </c>
      <c r="S2" s="201"/>
    </row>
    <row r="3" spans="2:20" ht="15.6" thickBot="1" x14ac:dyDescent="0.45">
      <c r="B3" s="472"/>
      <c r="C3" s="473"/>
      <c r="D3" s="467"/>
      <c r="E3" s="193" t="s">
        <v>149</v>
      </c>
      <c r="F3" s="467"/>
      <c r="G3" s="193" t="s">
        <v>149</v>
      </c>
      <c r="H3" s="467"/>
      <c r="I3" s="193" t="s">
        <v>149</v>
      </c>
      <c r="J3" s="467"/>
      <c r="K3" s="193" t="s">
        <v>149</v>
      </c>
      <c r="L3" s="467"/>
      <c r="M3" s="193" t="s">
        <v>149</v>
      </c>
      <c r="N3" s="469"/>
      <c r="O3" s="193" t="s">
        <v>149</v>
      </c>
      <c r="P3" s="469"/>
      <c r="Q3" s="193" t="s">
        <v>149</v>
      </c>
      <c r="R3" s="467"/>
      <c r="S3" s="202" t="s">
        <v>149</v>
      </c>
    </row>
    <row r="4" spans="2:20" x14ac:dyDescent="0.4">
      <c r="B4" s="216" t="s">
        <v>144</v>
      </c>
      <c r="C4" s="220"/>
      <c r="D4" s="208">
        <f>D10-D7</f>
        <v>2031.058</v>
      </c>
      <c r="E4" s="209">
        <f t="shared" ref="E4:E10" si="0">D4/$D$10</f>
        <v>0.98784080993824108</v>
      </c>
      <c r="F4" s="208">
        <f>F10-F7</f>
        <v>2122.9773597152011</v>
      </c>
      <c r="G4" s="209">
        <f t="shared" ref="G4:G10" si="1">F4/$F$10</f>
        <v>0.98378110880430225</v>
      </c>
      <c r="H4" s="208">
        <f>H10-H7</f>
        <v>2214.9488900816</v>
      </c>
      <c r="I4" s="209">
        <f>H4/$H$10</f>
        <v>0.97792444667561629</v>
      </c>
      <c r="J4" s="208">
        <f>J10-J7</f>
        <v>2307.2230285858486</v>
      </c>
      <c r="K4" s="209">
        <f>J4/J$10</f>
        <v>0.97055387771435087</v>
      </c>
      <c r="L4" s="208">
        <f>L10-L7</f>
        <v>2405.0626269696008</v>
      </c>
      <c r="M4" s="209">
        <f>L4/L10</f>
        <v>0.96392876113522241</v>
      </c>
      <c r="N4" s="208">
        <f>N10-N7</f>
        <v>2498.7435666075244</v>
      </c>
      <c r="O4" s="209">
        <f>N4/N10</f>
        <v>0.95417649840551011</v>
      </c>
      <c r="P4" s="208">
        <f>P10-P7</f>
        <v>2598.5554043897955</v>
      </c>
      <c r="Q4" s="209">
        <f>P4/P10</f>
        <v>0.94542587725885718</v>
      </c>
      <c r="R4" s="208">
        <f>R10-R7</f>
        <v>2684.8020506211587</v>
      </c>
      <c r="S4" s="212">
        <f>R4/R10</f>
        <v>0.93067115299750436</v>
      </c>
    </row>
    <row r="5" spans="2:20" x14ac:dyDescent="0.4">
      <c r="B5" s="217"/>
      <c r="C5" s="219" t="s">
        <v>147</v>
      </c>
      <c r="D5" s="213">
        <f>D4</f>
        <v>2031.058</v>
      </c>
      <c r="E5" s="214">
        <f t="shared" si="0"/>
        <v>0.98784080993824108</v>
      </c>
      <c r="F5" s="213">
        <f>F4</f>
        <v>2122.9773597152011</v>
      </c>
      <c r="G5" s="214">
        <f t="shared" si="1"/>
        <v>0.98378110880430225</v>
      </c>
      <c r="H5" s="213">
        <f>H4-H6</f>
        <v>2011.103489974256</v>
      </c>
      <c r="I5" s="214">
        <f>H5/H10</f>
        <v>0.88792444667561632</v>
      </c>
      <c r="J5" s="213">
        <f>J4-J6</f>
        <v>1950.6395742979714</v>
      </c>
      <c r="K5" s="214">
        <f>J5/J10</f>
        <v>0.82055387771435095</v>
      </c>
      <c r="L5" s="213">
        <f>L4-L6</f>
        <v>1656.5438388787206</v>
      </c>
      <c r="M5" s="214">
        <f>L5/L10</f>
        <v>0.66392876113522237</v>
      </c>
      <c r="N5" s="215">
        <f>N4-N6</f>
        <v>927.4974266430097</v>
      </c>
      <c r="O5" s="214">
        <f>N5/N10</f>
        <v>0.35417649840551013</v>
      </c>
      <c r="P5" s="215">
        <f>P4-P6</f>
        <v>674.56662131693884</v>
      </c>
      <c r="Q5" s="214">
        <f>P5/P10</f>
        <v>0.24542587725885728</v>
      </c>
      <c r="R5" s="373">
        <f>R4-R6</f>
        <v>376.96041012423166</v>
      </c>
      <c r="S5" s="374">
        <f>S4-S6</f>
        <v>0.13067115299750431</v>
      </c>
    </row>
    <row r="6" spans="2:20" x14ac:dyDescent="0.4">
      <c r="B6" s="217"/>
      <c r="C6" s="222" t="s">
        <v>148</v>
      </c>
      <c r="D6" s="331"/>
      <c r="E6" s="332"/>
      <c r="F6" s="331"/>
      <c r="G6" s="332"/>
      <c r="H6" s="188">
        <f>H10*I6</f>
        <v>203.84540010734398</v>
      </c>
      <c r="I6" s="198">
        <v>0.09</v>
      </c>
      <c r="J6" s="188">
        <f>J10*K6</f>
        <v>356.58345428787726</v>
      </c>
      <c r="K6" s="198">
        <v>0.15</v>
      </c>
      <c r="L6" s="188">
        <f>L10*M6</f>
        <v>748.51878809088021</v>
      </c>
      <c r="M6" s="198">
        <v>0.3</v>
      </c>
      <c r="N6" s="186">
        <f>N10*O6</f>
        <v>1571.2461399645147</v>
      </c>
      <c r="O6" s="198">
        <v>0.6</v>
      </c>
      <c r="P6" s="186">
        <f>P10*Q6</f>
        <v>1923.9887830728567</v>
      </c>
      <c r="Q6" s="198">
        <v>0.7</v>
      </c>
      <c r="R6" s="187">
        <f>S6*R10</f>
        <v>2307.8416404969271</v>
      </c>
      <c r="S6" s="204">
        <v>0.8</v>
      </c>
    </row>
    <row r="7" spans="2:20" x14ac:dyDescent="0.4">
      <c r="B7" s="224" t="s">
        <v>150</v>
      </c>
      <c r="C7" s="225"/>
      <c r="D7" s="189">
        <v>25</v>
      </c>
      <c r="E7" s="195">
        <f t="shared" si="0"/>
        <v>1.2159190061758958E-2</v>
      </c>
      <c r="F7" s="189">
        <v>35</v>
      </c>
      <c r="G7" s="195">
        <f t="shared" si="1"/>
        <v>1.6218891195697773E-2</v>
      </c>
      <c r="H7" s="189">
        <v>50</v>
      </c>
      <c r="I7" s="194">
        <f>H7/$H$10</f>
        <v>2.2075553324383684E-2</v>
      </c>
      <c r="J7" s="189">
        <v>70</v>
      </c>
      <c r="K7" s="194">
        <f>J7/J10</f>
        <v>2.9446122285649096E-2</v>
      </c>
      <c r="L7" s="189">
        <v>90</v>
      </c>
      <c r="M7" s="194">
        <f>L7/L10</f>
        <v>3.6071238864777616E-2</v>
      </c>
      <c r="N7" s="180">
        <v>120</v>
      </c>
      <c r="O7" s="194">
        <f>N7/N10</f>
        <v>4.5823501594489877E-2</v>
      </c>
      <c r="P7" s="180">
        <v>150</v>
      </c>
      <c r="Q7" s="194">
        <f>P7/P10</f>
        <v>5.4574122741142768E-2</v>
      </c>
      <c r="R7" s="181">
        <v>200</v>
      </c>
      <c r="S7" s="203">
        <f>R7/R10</f>
        <v>6.9328847002495642E-2</v>
      </c>
    </row>
    <row r="8" spans="2:20" x14ac:dyDescent="0.4">
      <c r="B8" s="217"/>
      <c r="C8" s="219" t="s">
        <v>147</v>
      </c>
      <c r="D8" s="213">
        <f>D7</f>
        <v>25</v>
      </c>
      <c r="E8" s="214">
        <f t="shared" si="0"/>
        <v>1.2159190061758958E-2</v>
      </c>
      <c r="F8" s="213">
        <f>F7</f>
        <v>35</v>
      </c>
      <c r="G8" s="214">
        <f t="shared" si="1"/>
        <v>1.6218891195697773E-2</v>
      </c>
      <c r="H8" s="213">
        <f>H7-H9</f>
        <v>27.350511099184001</v>
      </c>
      <c r="I8" s="214">
        <f>H8/H10</f>
        <v>1.2075553324383684E-2</v>
      </c>
      <c r="J8" s="213">
        <f>J7-J9</f>
        <v>22.455539428283025</v>
      </c>
      <c r="K8" s="214">
        <f>J8/J10</f>
        <v>9.4461222856490976E-3</v>
      </c>
      <c r="L8" s="213">
        <f>L7-L9</f>
        <v>15.148121190911979</v>
      </c>
      <c r="M8" s="214">
        <f>L8/L10</f>
        <v>6.0712388647776172E-3</v>
      </c>
      <c r="N8" s="215">
        <f>N7-N9</f>
        <v>15.250257335699018</v>
      </c>
      <c r="O8" s="214">
        <f>N8/N10</f>
        <v>5.823501594489874E-3</v>
      </c>
      <c r="P8" s="215">
        <f>P7-P9</f>
        <v>12.572229780510213</v>
      </c>
      <c r="Q8" s="375">
        <f>P8/P10</f>
        <v>4.5741227411427651E-3</v>
      </c>
      <c r="R8" s="373">
        <f>R7-R9</f>
        <v>26.911876962730474</v>
      </c>
      <c r="S8" s="374">
        <f>R8/R10</f>
        <v>9.3288470024956403E-3</v>
      </c>
    </row>
    <row r="9" spans="2:20" ht="15.6" thickBot="1" x14ac:dyDescent="0.45">
      <c r="B9" s="226"/>
      <c r="C9" s="227" t="s">
        <v>148</v>
      </c>
      <c r="D9" s="331"/>
      <c r="E9" s="332"/>
      <c r="F9" s="331"/>
      <c r="G9" s="332"/>
      <c r="H9" s="188">
        <f>H10*I9</f>
        <v>22.649488900815999</v>
      </c>
      <c r="I9" s="194">
        <v>0.01</v>
      </c>
      <c r="J9" s="188">
        <f>J10*K9</f>
        <v>47.544460571716975</v>
      </c>
      <c r="K9" s="194">
        <v>0.02</v>
      </c>
      <c r="L9" s="188">
        <f>L10*M9</f>
        <v>74.851878809088021</v>
      </c>
      <c r="M9" s="194">
        <v>0.03</v>
      </c>
      <c r="N9" s="186">
        <f>N10*O9</f>
        <v>104.74974266430098</v>
      </c>
      <c r="O9" s="194">
        <v>0.04</v>
      </c>
      <c r="P9" s="186">
        <f>P10*Q9</f>
        <v>137.42777021948979</v>
      </c>
      <c r="Q9" s="194">
        <v>0.05</v>
      </c>
      <c r="R9" s="187">
        <f>R10*S9</f>
        <v>173.08812303726953</v>
      </c>
      <c r="S9" s="203">
        <v>0.06</v>
      </c>
    </row>
    <row r="10" spans="2:20" ht="15.6" thickTop="1" x14ac:dyDescent="0.4">
      <c r="B10" s="217" t="s">
        <v>145</v>
      </c>
      <c r="C10" s="221"/>
      <c r="D10" s="190">
        <v>2056.058</v>
      </c>
      <c r="E10" s="196">
        <f t="shared" si="0"/>
        <v>1</v>
      </c>
      <c r="F10" s="190">
        <v>2157.9773597152011</v>
      </c>
      <c r="G10" s="196">
        <f t="shared" si="1"/>
        <v>1</v>
      </c>
      <c r="H10" s="190">
        <v>2264.9488900816</v>
      </c>
      <c r="I10" s="196">
        <f>H10/H10</f>
        <v>1</v>
      </c>
      <c r="J10" s="190">
        <v>2377.2230285858486</v>
      </c>
      <c r="K10" s="196">
        <f>J10/J10</f>
        <v>1</v>
      </c>
      <c r="L10" s="190">
        <v>2495.0626269696008</v>
      </c>
      <c r="M10" s="196">
        <f>L10/L10</f>
        <v>1</v>
      </c>
      <c r="N10" s="182">
        <v>2618.7435666075244</v>
      </c>
      <c r="O10" s="196">
        <f>N10/N10</f>
        <v>1</v>
      </c>
      <c r="P10" s="182">
        <v>2748.5554043897955</v>
      </c>
      <c r="Q10" s="196">
        <f>P10/P10</f>
        <v>1</v>
      </c>
      <c r="R10" s="183">
        <v>2884.8020506211587</v>
      </c>
      <c r="S10" s="205">
        <f>R10/R10</f>
        <v>1</v>
      </c>
    </row>
    <row r="11" spans="2:20" ht="15.6" thickBot="1" x14ac:dyDescent="0.45">
      <c r="B11" s="218" t="s">
        <v>203</v>
      </c>
      <c r="C11" s="223"/>
      <c r="D11" s="376">
        <v>1.2</v>
      </c>
      <c r="E11" s="197"/>
      <c r="F11" s="191">
        <v>1.2543827475311427</v>
      </c>
      <c r="G11" s="197"/>
      <c r="H11" s="191">
        <v>1.3165628448173907</v>
      </c>
      <c r="I11" s="197"/>
      <c r="J11" s="191">
        <v>1.3818252266026383</v>
      </c>
      <c r="K11" s="197"/>
      <c r="L11" s="191">
        <v>1.4503226825759881</v>
      </c>
      <c r="M11" s="197"/>
      <c r="N11" s="184">
        <v>1.5222155762533929</v>
      </c>
      <c r="O11" s="197"/>
      <c r="P11" s="184">
        <v>1.5976722204143319</v>
      </c>
      <c r="Q11" s="197"/>
      <c r="R11" s="185">
        <v>1.6768692711489865</v>
      </c>
      <c r="S11" s="206"/>
    </row>
    <row r="12" spans="2:20" x14ac:dyDescent="0.4">
      <c r="B12" s="217" t="s">
        <v>186</v>
      </c>
      <c r="D12" s="6">
        <f>D10/$D$10</f>
        <v>1</v>
      </c>
      <c r="F12" s="6">
        <f>F10/$D$10</f>
        <v>1.0495702746299964</v>
      </c>
      <c r="H12" s="6">
        <f>H10/$D$10</f>
        <v>1.101597761386887</v>
      </c>
      <c r="J12" s="6">
        <f>J10/$D$10</f>
        <v>1.1562042649506232</v>
      </c>
      <c r="L12" s="6">
        <f>L10/$D$10</f>
        <v>1.2135176278925988</v>
      </c>
      <c r="N12" s="6">
        <f>N10/$D$10</f>
        <v>1.2736720299755768</v>
      </c>
      <c r="P12" s="6">
        <f>P10/$D$10</f>
        <v>1.336808302290011</v>
      </c>
      <c r="R12" s="6">
        <f>R10/$D$10</f>
        <v>1.4030742569621864</v>
      </c>
    </row>
    <row r="13" spans="2:20" x14ac:dyDescent="0.4">
      <c r="B13" s="217" t="s">
        <v>187</v>
      </c>
      <c r="D13" s="6">
        <v>1.1200000000000001</v>
      </c>
      <c r="F13" s="6">
        <f>F10/D10</f>
        <v>1.0495702746299964</v>
      </c>
      <c r="H13" s="6">
        <f>H10/F10</f>
        <v>1.0495702746299973</v>
      </c>
      <c r="J13" s="6">
        <f>J10/H10</f>
        <v>1.0495702746299955</v>
      </c>
      <c r="L13" s="6">
        <f>L10/J10</f>
        <v>1.0495702746299964</v>
      </c>
      <c r="N13" s="6">
        <f>N10/L10</f>
        <v>1.0495702746299964</v>
      </c>
      <c r="P13" s="6">
        <f>P10/N10</f>
        <v>1.0495702746299964</v>
      </c>
      <c r="R13" s="6">
        <f>R10/P10</f>
        <v>1.0495702746299964</v>
      </c>
    </row>
    <row r="14" spans="2:20" ht="15.6" thickBot="1" x14ac:dyDescent="0.45">
      <c r="B14" s="348"/>
      <c r="L14" s="6"/>
      <c r="N14" s="6"/>
    </row>
    <row r="15" spans="2:20" x14ac:dyDescent="0.4">
      <c r="B15" s="502" t="s">
        <v>9</v>
      </c>
      <c r="C15" s="503"/>
      <c r="D15" s="466">
        <v>22</v>
      </c>
      <c r="E15" s="228"/>
      <c r="F15" s="466">
        <v>23</v>
      </c>
      <c r="G15" s="192"/>
      <c r="H15" s="466">
        <v>24</v>
      </c>
      <c r="I15" s="199"/>
      <c r="J15" s="466">
        <v>25</v>
      </c>
      <c r="K15" s="199"/>
      <c r="L15" s="466">
        <v>26</v>
      </c>
      <c r="M15" s="199"/>
      <c r="N15" s="468">
        <v>27</v>
      </c>
      <c r="O15" s="199"/>
      <c r="P15" s="468">
        <v>28</v>
      </c>
      <c r="Q15" s="199"/>
      <c r="R15" s="466">
        <v>29</v>
      </c>
      <c r="S15" s="201"/>
    </row>
    <row r="16" spans="2:20" ht="15.6" thickBot="1" x14ac:dyDescent="0.45">
      <c r="B16" s="504"/>
      <c r="C16" s="505"/>
      <c r="D16" s="467"/>
      <c r="E16" s="193" t="s">
        <v>152</v>
      </c>
      <c r="F16" s="467"/>
      <c r="G16" s="193" t="s">
        <v>152</v>
      </c>
      <c r="H16" s="467"/>
      <c r="I16" s="193" t="s">
        <v>152</v>
      </c>
      <c r="J16" s="467"/>
      <c r="K16" s="193" t="s">
        <v>152</v>
      </c>
      <c r="L16" s="467"/>
      <c r="M16" s="193" t="s">
        <v>152</v>
      </c>
      <c r="N16" s="469"/>
      <c r="O16" s="193" t="s">
        <v>152</v>
      </c>
      <c r="P16" s="469"/>
      <c r="Q16" s="193" t="s">
        <v>152</v>
      </c>
      <c r="R16" s="467"/>
      <c r="S16" s="202" t="s">
        <v>152</v>
      </c>
      <c r="T16" s="281"/>
    </row>
    <row r="17" spans="1:20" x14ac:dyDescent="0.4">
      <c r="A17" s="18">
        <v>0.01</v>
      </c>
      <c r="B17" s="216" t="s">
        <v>144</v>
      </c>
      <c r="C17" s="229"/>
      <c r="D17" s="208">
        <f>E17*D4</f>
        <v>1421.7405999999999</v>
      </c>
      <c r="E17" s="209">
        <v>0.7</v>
      </c>
      <c r="F17" s="208">
        <f>F4*G17</f>
        <v>1464.8543782034887</v>
      </c>
      <c r="G17" s="209">
        <f>E17-$A$17</f>
        <v>0.69</v>
      </c>
      <c r="H17" s="208">
        <f>H4*I17</f>
        <v>1506.1652452554879</v>
      </c>
      <c r="I17" s="209">
        <f>G17-$A$17</f>
        <v>0.67999999999999994</v>
      </c>
      <c r="J17" s="208">
        <f t="shared" ref="J17:J22" si="2">J4*K17</f>
        <v>1545.8394291525185</v>
      </c>
      <c r="K17" s="209">
        <f>I17-$A$17</f>
        <v>0.66999999999999993</v>
      </c>
      <c r="L17" s="208">
        <f t="shared" ref="L17:L22" si="3">L4*M17</f>
        <v>1587.3413337999364</v>
      </c>
      <c r="M17" s="209">
        <f>K17-$A$17</f>
        <v>0.65999999999999992</v>
      </c>
      <c r="N17" s="210">
        <f t="shared" ref="N17:N22" si="4">N4*O17</f>
        <v>1624.1833182948906</v>
      </c>
      <c r="O17" s="209">
        <f>M17-$A$17</f>
        <v>0.64999999999999991</v>
      </c>
      <c r="P17" s="210">
        <f t="shared" ref="P17:P22" si="5">P4*Q17</f>
        <v>1663.075458809469</v>
      </c>
      <c r="Q17" s="209">
        <f>O17-$A$17</f>
        <v>0.6399999999999999</v>
      </c>
      <c r="R17" s="208">
        <f>R4*S17</f>
        <v>1691.4252918913298</v>
      </c>
      <c r="S17" s="212">
        <f>Q17-$A$17</f>
        <v>0.62999999999999989</v>
      </c>
      <c r="T17" s="280"/>
    </row>
    <row r="18" spans="1:20" x14ac:dyDescent="0.4">
      <c r="B18" s="217"/>
      <c r="C18" s="219" t="s">
        <v>147</v>
      </c>
      <c r="D18" s="213">
        <f>E18*D5</f>
        <v>1421.7405999999999</v>
      </c>
      <c r="E18" s="214">
        <v>0.7</v>
      </c>
      <c r="F18" s="213">
        <f>F17</f>
        <v>1464.8543782034887</v>
      </c>
      <c r="G18" s="214">
        <f>G17</f>
        <v>0.69</v>
      </c>
      <c r="H18" s="213">
        <f>H5*I18</f>
        <v>1367.550373182494</v>
      </c>
      <c r="I18" s="214">
        <f>I17</f>
        <v>0.67999999999999994</v>
      </c>
      <c r="J18" s="213">
        <f t="shared" si="2"/>
        <v>1306.9285147796406</v>
      </c>
      <c r="K18" s="214">
        <f>K17</f>
        <v>0.66999999999999993</v>
      </c>
      <c r="L18" s="213">
        <f t="shared" si="3"/>
        <v>1093.3189336599555</v>
      </c>
      <c r="M18" s="214">
        <f>M17</f>
        <v>0.65999999999999992</v>
      </c>
      <c r="N18" s="215">
        <f t="shared" si="4"/>
        <v>602.87332731795618</v>
      </c>
      <c r="O18" s="214">
        <f>O17</f>
        <v>0.64999999999999991</v>
      </c>
      <c r="P18" s="215">
        <f t="shared" si="5"/>
        <v>431.72263764284077</v>
      </c>
      <c r="Q18" s="214">
        <f>Q17</f>
        <v>0.6399999999999999</v>
      </c>
      <c r="R18" s="213">
        <f>R5*S18</f>
        <v>237.4850583782659</v>
      </c>
      <c r="S18" s="374">
        <f>S17</f>
        <v>0.62999999999999989</v>
      </c>
      <c r="T18" s="280"/>
    </row>
    <row r="19" spans="1:20" x14ac:dyDescent="0.4">
      <c r="B19" s="217"/>
      <c r="C19" s="222" t="s">
        <v>148</v>
      </c>
      <c r="D19" s="331"/>
      <c r="E19" s="332"/>
      <c r="F19" s="331"/>
      <c r="G19" s="332"/>
      <c r="H19" s="188">
        <f>H6*I19</f>
        <v>138.6148720729939</v>
      </c>
      <c r="I19" s="198">
        <f>I17</f>
        <v>0.67999999999999994</v>
      </c>
      <c r="J19" s="188">
        <f t="shared" si="2"/>
        <v>238.91091437287773</v>
      </c>
      <c r="K19" s="198">
        <f>K17</f>
        <v>0.66999999999999993</v>
      </c>
      <c r="L19" s="188">
        <f t="shared" si="3"/>
        <v>494.0224001399809</v>
      </c>
      <c r="M19" s="198">
        <f>M17</f>
        <v>0.65999999999999992</v>
      </c>
      <c r="N19" s="186">
        <f t="shared" si="4"/>
        <v>1021.3099909769344</v>
      </c>
      <c r="O19" s="198">
        <f>O17</f>
        <v>0.64999999999999991</v>
      </c>
      <c r="P19" s="186">
        <f t="shared" si="5"/>
        <v>1231.352821166628</v>
      </c>
      <c r="Q19" s="198">
        <f>Q17</f>
        <v>0.6399999999999999</v>
      </c>
      <c r="R19" s="188">
        <f>S19*R6</f>
        <v>1453.9402335130637</v>
      </c>
      <c r="S19" s="204">
        <f>S17</f>
        <v>0.62999999999999989</v>
      </c>
    </row>
    <row r="20" spans="1:20" x14ac:dyDescent="0.4">
      <c r="A20" s="18">
        <v>0.02</v>
      </c>
      <c r="B20" s="224" t="s">
        <v>150</v>
      </c>
      <c r="C20" s="230"/>
      <c r="D20" s="189">
        <f>D7*E20</f>
        <v>12.5</v>
      </c>
      <c r="E20" s="195">
        <v>0.5</v>
      </c>
      <c r="F20" s="189">
        <f>F7*G20</f>
        <v>16.8</v>
      </c>
      <c r="G20" s="195">
        <f>E20-$A$20</f>
        <v>0.48</v>
      </c>
      <c r="H20" s="189">
        <f>H7*I20</f>
        <v>23</v>
      </c>
      <c r="I20" s="194">
        <f>G20-$A$20</f>
        <v>0.45999999999999996</v>
      </c>
      <c r="J20" s="189">
        <f t="shared" si="2"/>
        <v>30.799999999999997</v>
      </c>
      <c r="K20" s="194">
        <f>I20-$A$20</f>
        <v>0.43999999999999995</v>
      </c>
      <c r="L20" s="189">
        <f t="shared" si="3"/>
        <v>37.799999999999997</v>
      </c>
      <c r="M20" s="194">
        <f>K20-$A$20</f>
        <v>0.41999999999999993</v>
      </c>
      <c r="N20" s="180">
        <f t="shared" si="4"/>
        <v>47.999999999999986</v>
      </c>
      <c r="O20" s="194">
        <f>M20-$A$20</f>
        <v>0.39999999999999991</v>
      </c>
      <c r="P20" s="180">
        <f t="shared" si="5"/>
        <v>56.999999999999986</v>
      </c>
      <c r="Q20" s="194">
        <f>O20-$A$20</f>
        <v>0.37999999999999989</v>
      </c>
      <c r="R20" s="189">
        <f>R7*S20</f>
        <v>71.999999999999972</v>
      </c>
      <c r="S20" s="203">
        <f>Q20-$A$20</f>
        <v>0.35999999999999988</v>
      </c>
    </row>
    <row r="21" spans="1:20" x14ac:dyDescent="0.4">
      <c r="B21" s="217"/>
      <c r="C21" s="219" t="s">
        <v>147</v>
      </c>
      <c r="D21" s="213">
        <f>D20</f>
        <v>12.5</v>
      </c>
      <c r="E21" s="214">
        <f>E20</f>
        <v>0.5</v>
      </c>
      <c r="F21" s="213">
        <f>F20</f>
        <v>16.8</v>
      </c>
      <c r="G21" s="214">
        <f>F21/F8</f>
        <v>0.48000000000000004</v>
      </c>
      <c r="H21" s="213">
        <f>H8*I21</f>
        <v>12.581235105624639</v>
      </c>
      <c r="I21" s="214">
        <f>I20</f>
        <v>0.45999999999999996</v>
      </c>
      <c r="J21" s="213">
        <f t="shared" si="2"/>
        <v>9.8804373484445289</v>
      </c>
      <c r="K21" s="214">
        <f>K20</f>
        <v>0.43999999999999995</v>
      </c>
      <c r="L21" s="213">
        <f t="shared" si="3"/>
        <v>6.3622109001830305</v>
      </c>
      <c r="M21" s="214">
        <f>M20</f>
        <v>0.41999999999999993</v>
      </c>
      <c r="N21" s="213">
        <f t="shared" si="4"/>
        <v>6.1001029342796063</v>
      </c>
      <c r="O21" s="214">
        <f>O20</f>
        <v>0.39999999999999991</v>
      </c>
      <c r="P21" s="213">
        <f t="shared" si="5"/>
        <v>4.7774473165938796</v>
      </c>
      <c r="Q21" s="214">
        <f>Q20</f>
        <v>0.37999999999999989</v>
      </c>
      <c r="R21" s="213">
        <f>R8*S21</f>
        <v>9.6882757065829672</v>
      </c>
      <c r="S21" s="374">
        <f>S20</f>
        <v>0.35999999999999988</v>
      </c>
    </row>
    <row r="22" spans="1:20" ht="15.6" thickBot="1" x14ac:dyDescent="0.45">
      <c r="B22" s="226"/>
      <c r="C22" s="227" t="s">
        <v>148</v>
      </c>
      <c r="D22" s="331"/>
      <c r="E22" s="332"/>
      <c r="F22" s="331"/>
      <c r="G22" s="332"/>
      <c r="H22" s="188">
        <f>H20-H21</f>
        <v>10.418764894375361</v>
      </c>
      <c r="I22" s="194">
        <f>H22/H9</f>
        <v>0.46</v>
      </c>
      <c r="J22" s="188">
        <f t="shared" si="2"/>
        <v>20.919562651555466</v>
      </c>
      <c r="K22" s="194">
        <f>K20</f>
        <v>0.43999999999999995</v>
      </c>
      <c r="L22" s="188">
        <f t="shared" si="3"/>
        <v>31.437789099816964</v>
      </c>
      <c r="M22" s="194">
        <f>M20</f>
        <v>0.41999999999999993</v>
      </c>
      <c r="N22" s="186">
        <f t="shared" si="4"/>
        <v>41.899897065720381</v>
      </c>
      <c r="O22" s="194">
        <f>O20</f>
        <v>0.39999999999999991</v>
      </c>
      <c r="P22" s="186">
        <f t="shared" si="5"/>
        <v>52.222552683406107</v>
      </c>
      <c r="Q22" s="194">
        <f>Q20</f>
        <v>0.37999999999999989</v>
      </c>
      <c r="R22" s="188">
        <f>R9*S22</f>
        <v>62.311724293417008</v>
      </c>
      <c r="S22" s="203">
        <f>S20</f>
        <v>0.35999999999999988</v>
      </c>
    </row>
    <row r="23" spans="1:20" ht="16.2" thickTop="1" thickBot="1" x14ac:dyDescent="0.45">
      <c r="B23" s="218" t="s">
        <v>145</v>
      </c>
      <c r="C23" s="223"/>
      <c r="D23" s="231">
        <f>D17+D20</f>
        <v>1434.2405999999999</v>
      </c>
      <c r="E23" s="232">
        <f>D23/$D$10</f>
        <v>0.69756816198764815</v>
      </c>
      <c r="F23" s="231">
        <f>F17+F20</f>
        <v>1481.6543782034887</v>
      </c>
      <c r="G23" s="232">
        <f>F23/$F$10</f>
        <v>0.68659403284890341</v>
      </c>
      <c r="H23" s="231">
        <f>H17+H20</f>
        <v>1529.1652452554879</v>
      </c>
      <c r="I23" s="232">
        <f>H23/H10</f>
        <v>0.67514337826863557</v>
      </c>
      <c r="J23" s="231">
        <f>J17+J20</f>
        <v>1576.6394291525185</v>
      </c>
      <c r="K23" s="232">
        <f>J23/J10</f>
        <v>0.66322739187430069</v>
      </c>
      <c r="L23" s="231">
        <f>L17+L20</f>
        <v>1625.1413337999363</v>
      </c>
      <c r="M23" s="232">
        <f>L23/L10</f>
        <v>0.65134290267245332</v>
      </c>
      <c r="N23" s="233">
        <f>N17+N20</f>
        <v>1672.1833182948906</v>
      </c>
      <c r="O23" s="232">
        <f>N23/N10</f>
        <v>0.63854412460137744</v>
      </c>
      <c r="P23" s="233">
        <f>P17+P20</f>
        <v>1720.075458809469</v>
      </c>
      <c r="Q23" s="232">
        <f>P23/P10</f>
        <v>0.62581072808730287</v>
      </c>
      <c r="R23" s="231">
        <f>R20+R17</f>
        <v>1763.4252918913298</v>
      </c>
      <c r="S23" s="234">
        <f>R23/R10</f>
        <v>0.61128121130932611</v>
      </c>
    </row>
    <row r="25" spans="1:20" ht="15.6" thickBot="1" x14ac:dyDescent="0.45">
      <c r="E25" s="237"/>
      <c r="F25" s="1"/>
      <c r="G25" s="237"/>
      <c r="H25" s="1"/>
      <c r="J25" s="1"/>
      <c r="L25" s="1"/>
      <c r="N25" s="1"/>
      <c r="P25" s="1"/>
    </row>
    <row r="26" spans="1:20" outlineLevel="1" x14ac:dyDescent="0.4">
      <c r="B26" s="174"/>
      <c r="C26" s="200"/>
      <c r="D26" s="466">
        <v>22</v>
      </c>
      <c r="E26" s="228"/>
      <c r="F26" s="466">
        <v>23</v>
      </c>
      <c r="G26" s="192"/>
      <c r="H26" s="466">
        <v>24</v>
      </c>
      <c r="I26" s="192"/>
      <c r="J26" s="466">
        <v>25</v>
      </c>
      <c r="K26" s="192"/>
      <c r="L26" s="466">
        <v>26</v>
      </c>
      <c r="M26" s="192"/>
      <c r="N26" s="468">
        <v>27</v>
      </c>
      <c r="O26" s="192"/>
      <c r="P26" s="468">
        <v>28</v>
      </c>
      <c r="Q26" s="192"/>
      <c r="R26" s="466">
        <v>29</v>
      </c>
      <c r="S26" s="258"/>
    </row>
    <row r="27" spans="1:20" outlineLevel="1" x14ac:dyDescent="0.4">
      <c r="B27" s="176"/>
      <c r="C27" s="166"/>
      <c r="D27" s="481"/>
      <c r="E27" s="259" t="s">
        <v>162</v>
      </c>
      <c r="F27" s="481"/>
      <c r="G27" s="259" t="s">
        <v>162</v>
      </c>
      <c r="H27" s="481"/>
      <c r="I27" s="259" t="s">
        <v>162</v>
      </c>
      <c r="J27" s="481"/>
      <c r="K27" s="259" t="s">
        <v>162</v>
      </c>
      <c r="L27" s="481"/>
      <c r="M27" s="259" t="s">
        <v>162</v>
      </c>
      <c r="N27" s="480"/>
      <c r="O27" s="259" t="s">
        <v>162</v>
      </c>
      <c r="P27" s="480"/>
      <c r="Q27" s="259" t="s">
        <v>162</v>
      </c>
      <c r="R27" s="481"/>
      <c r="S27" s="260" t="s">
        <v>162</v>
      </c>
    </row>
    <row r="28" spans="1:20" outlineLevel="1" x14ac:dyDescent="0.4">
      <c r="B28" s="176"/>
      <c r="C28" s="166" t="s">
        <v>3</v>
      </c>
      <c r="D28" s="239">
        <f>D17</f>
        <v>1421.7405999999999</v>
      </c>
      <c r="E28" s="240"/>
      <c r="F28" s="239">
        <f>F18</f>
        <v>1464.8543782034887</v>
      </c>
      <c r="G28" s="240"/>
      <c r="H28" s="239">
        <f>H18</f>
        <v>1367.550373182494</v>
      </c>
      <c r="I28" s="240"/>
      <c r="J28" s="239">
        <f>J18</f>
        <v>1306.9285147796406</v>
      </c>
      <c r="K28" s="240"/>
      <c r="L28" s="239">
        <f>L18</f>
        <v>1093.3189336599555</v>
      </c>
      <c r="M28" s="240"/>
      <c r="N28" s="168">
        <f>N18</f>
        <v>602.87332731795618</v>
      </c>
      <c r="O28" s="168"/>
      <c r="P28" s="282">
        <f>P18</f>
        <v>431.72263764284077</v>
      </c>
      <c r="Q28" s="166"/>
      <c r="R28" s="387">
        <f>R18</f>
        <v>237.4850583782659</v>
      </c>
      <c r="S28" s="388"/>
    </row>
    <row r="29" spans="1:20" outlineLevel="1" x14ac:dyDescent="0.4">
      <c r="B29" s="478" t="s">
        <v>154</v>
      </c>
      <c r="C29" s="506"/>
      <c r="D29" s="239">
        <f t="shared" ref="D29:D37" si="6">D$17*E29</f>
        <v>298.56552599999998</v>
      </c>
      <c r="E29" s="240">
        <v>0.21</v>
      </c>
      <c r="F29" s="239">
        <f>F$17*G29</f>
        <v>307.61941942273262</v>
      </c>
      <c r="G29" s="240">
        <v>0.21</v>
      </c>
      <c r="H29" s="239">
        <f>H$18*I29</f>
        <v>287.18557836832372</v>
      </c>
      <c r="I29" s="240">
        <v>0.21</v>
      </c>
      <c r="J29" s="239">
        <f>J$28*K29</f>
        <v>274.45498810372453</v>
      </c>
      <c r="K29" s="240">
        <v>0.21</v>
      </c>
      <c r="L29" s="239">
        <f>L$28*M29</f>
        <v>229.59697606859066</v>
      </c>
      <c r="M29" s="240">
        <v>0.21</v>
      </c>
      <c r="N29" s="239">
        <f>N$28*O29</f>
        <v>126.6033987367708</v>
      </c>
      <c r="O29" s="240">
        <v>0.21</v>
      </c>
      <c r="P29" s="239">
        <f>P$28*Q29</f>
        <v>90.661753904996559</v>
      </c>
      <c r="Q29" s="240">
        <v>0.21</v>
      </c>
      <c r="R29" s="239">
        <f>R$28*S29</f>
        <v>49.871862259435837</v>
      </c>
      <c r="S29" s="257">
        <v>0.21</v>
      </c>
    </row>
    <row r="30" spans="1:20" ht="18" customHeight="1" outlineLevel="1" x14ac:dyDescent="0.4">
      <c r="B30" s="268" t="s">
        <v>155</v>
      </c>
      <c r="C30" s="269"/>
      <c r="D30" s="270">
        <f t="shared" si="6"/>
        <v>92.413139000000001</v>
      </c>
      <c r="E30" s="271">
        <v>6.5000000000000002E-2</v>
      </c>
      <c r="F30" s="239">
        <f>F$17*G30</f>
        <v>95.21553458322677</v>
      </c>
      <c r="G30" s="271">
        <v>6.5000000000000002E-2</v>
      </c>
      <c r="H30" s="270">
        <f>H$28*I30</f>
        <v>88.890774256862116</v>
      </c>
      <c r="I30" s="271">
        <v>6.5000000000000002E-2</v>
      </c>
      <c r="J30" s="270">
        <f>J$28*K30</f>
        <v>84.950353460676638</v>
      </c>
      <c r="K30" s="271">
        <v>6.5000000000000002E-2</v>
      </c>
      <c r="L30" s="270">
        <f>L$28*M30</f>
        <v>71.065730687897116</v>
      </c>
      <c r="M30" s="271">
        <v>6.5000000000000002E-2</v>
      </c>
      <c r="N30" s="270">
        <f>N$28*O30</f>
        <v>39.186766275667154</v>
      </c>
      <c r="O30" s="271">
        <v>6.5000000000000002E-2</v>
      </c>
      <c r="P30" s="270">
        <f>P$28*Q30</f>
        <v>28.06197144678465</v>
      </c>
      <c r="Q30" s="271">
        <v>6.5000000000000002E-2</v>
      </c>
      <c r="R30" s="270">
        <f>R$28*S30</f>
        <v>15.436528794587284</v>
      </c>
      <c r="S30" s="377">
        <v>6.5000000000000002E-2</v>
      </c>
    </row>
    <row r="31" spans="1:20" outlineLevel="1" x14ac:dyDescent="0.4">
      <c r="A31" s="6">
        <f>E31/(SUM($E$31:$E$37))</f>
        <v>0.45517241379310341</v>
      </c>
      <c r="B31" s="322" t="s">
        <v>156</v>
      </c>
      <c r="C31" s="241"/>
      <c r="D31" s="239">
        <f t="shared" si="6"/>
        <v>469.174398</v>
      </c>
      <c r="E31" s="240">
        <v>0.33</v>
      </c>
      <c r="F31" s="239">
        <f>F$17*G31</f>
        <v>483.40194480715132</v>
      </c>
      <c r="G31" s="240">
        <v>0.33</v>
      </c>
      <c r="H31" s="239">
        <f>H$28*I31</f>
        <v>451.29162315022302</v>
      </c>
      <c r="I31" s="240">
        <v>0.33</v>
      </c>
      <c r="J31" s="239">
        <f>J$28*K31</f>
        <v>431.28640987728141</v>
      </c>
      <c r="K31" s="240">
        <v>0.33</v>
      </c>
      <c r="L31" s="239">
        <f>L$28*M31</f>
        <v>360.79524810778531</v>
      </c>
      <c r="M31" s="240">
        <v>0.33</v>
      </c>
      <c r="N31" s="239">
        <f>N$28*O31</f>
        <v>198.94819801492554</v>
      </c>
      <c r="O31" s="240">
        <v>0.33</v>
      </c>
      <c r="P31" s="239">
        <f>P$28*Q31</f>
        <v>142.46847042213747</v>
      </c>
      <c r="Q31" s="240">
        <v>0.33</v>
      </c>
      <c r="R31" s="239">
        <f>R$28*S31</f>
        <v>78.370069264827748</v>
      </c>
      <c r="S31" s="257">
        <v>0.33</v>
      </c>
    </row>
    <row r="32" spans="1:20" ht="25.2" outlineLevel="1" x14ac:dyDescent="0.4">
      <c r="A32" s="6">
        <f t="shared" ref="A32:A37" si="7">E32/(SUM($E$31:$E$37))</f>
        <v>0.10206896551724136</v>
      </c>
      <c r="B32" s="322" t="s">
        <v>157</v>
      </c>
      <c r="C32" s="166"/>
      <c r="D32" s="239">
        <f t="shared" si="6"/>
        <v>105.20880439999999</v>
      </c>
      <c r="E32" s="240">
        <v>7.3999999999999996E-2</v>
      </c>
      <c r="F32" s="239">
        <f>F$17*G32</f>
        <v>108.39922398705816</v>
      </c>
      <c r="G32" s="240">
        <v>7.3999999999999996E-2</v>
      </c>
      <c r="H32" s="239">
        <f>H$28*I32</f>
        <v>101.19872761550455</v>
      </c>
      <c r="I32" s="240">
        <v>7.3999999999999996E-2</v>
      </c>
      <c r="J32" s="239">
        <f t="shared" ref="J32:J37" si="8">J$28*K32</f>
        <v>96.712710093693403</v>
      </c>
      <c r="K32" s="240">
        <v>7.3999999999999996E-2</v>
      </c>
      <c r="L32" s="239">
        <f>L28*M32</f>
        <v>80.905601090836711</v>
      </c>
      <c r="M32" s="240">
        <v>7.3999999999999996E-2</v>
      </c>
      <c r="N32" s="239">
        <f>N28*O32</f>
        <v>44.612626221528757</v>
      </c>
      <c r="O32" s="240">
        <v>7.3999999999999996E-2</v>
      </c>
      <c r="P32" s="239">
        <f>P28*Q32</f>
        <v>31.947475185570216</v>
      </c>
      <c r="Q32" s="240">
        <v>7.3999999999999996E-2</v>
      </c>
      <c r="R32" s="239">
        <f>R28*S32</f>
        <v>17.573894319991677</v>
      </c>
      <c r="S32" s="257">
        <v>7.3999999999999996E-2</v>
      </c>
    </row>
    <row r="33" spans="1:19" outlineLevel="1" x14ac:dyDescent="0.4">
      <c r="A33" s="6">
        <f t="shared" si="7"/>
        <v>5.5172413793103441E-2</v>
      </c>
      <c r="B33" s="482" t="s">
        <v>158</v>
      </c>
      <c r="C33" s="501"/>
      <c r="D33" s="239">
        <f t="shared" si="6"/>
        <v>56.869623999999995</v>
      </c>
      <c r="E33" s="240">
        <v>0.04</v>
      </c>
      <c r="F33" s="239">
        <f t="shared" ref="F33:F37" si="9">F$17*G33</f>
        <v>58.594175128139554</v>
      </c>
      <c r="G33" s="240">
        <v>0.04</v>
      </c>
      <c r="H33" s="239">
        <f>H$28*I33</f>
        <v>54.702014927299764</v>
      </c>
      <c r="I33" s="240">
        <v>0.04</v>
      </c>
      <c r="J33" s="239">
        <f t="shared" si="8"/>
        <v>52.277140591185628</v>
      </c>
      <c r="K33" s="240">
        <v>0.04</v>
      </c>
      <c r="L33" s="239">
        <f>L$17*M33</f>
        <v>63.493653351997459</v>
      </c>
      <c r="M33" s="240">
        <v>0.04</v>
      </c>
      <c r="N33" s="239">
        <f>N$28*O33</f>
        <v>24.114933092718246</v>
      </c>
      <c r="O33" s="240">
        <v>0.04</v>
      </c>
      <c r="P33" s="239">
        <f>P$28*Q33</f>
        <v>17.268905505713629</v>
      </c>
      <c r="Q33" s="240">
        <v>0.04</v>
      </c>
      <c r="R33" s="239">
        <f>R$28*S33</f>
        <v>9.499402335130636</v>
      </c>
      <c r="S33" s="257">
        <v>0.04</v>
      </c>
    </row>
    <row r="34" spans="1:19" outlineLevel="1" x14ac:dyDescent="0.4">
      <c r="A34" s="6">
        <f t="shared" si="7"/>
        <v>0.11034482758620688</v>
      </c>
      <c r="B34" s="321" t="s">
        <v>159</v>
      </c>
      <c r="C34" s="166"/>
      <c r="D34" s="239">
        <f t="shared" si="6"/>
        <v>113.73924799999999</v>
      </c>
      <c r="E34" s="240">
        <v>0.08</v>
      </c>
      <c r="F34" s="239">
        <f t="shared" si="9"/>
        <v>117.18835025627911</v>
      </c>
      <c r="G34" s="240">
        <v>0.08</v>
      </c>
      <c r="H34" s="239">
        <f>H$28*I34</f>
        <v>109.40402985459953</v>
      </c>
      <c r="I34" s="240">
        <v>0.08</v>
      </c>
      <c r="J34" s="239">
        <f t="shared" si="8"/>
        <v>104.55428118237126</v>
      </c>
      <c r="K34" s="240">
        <v>0.08</v>
      </c>
      <c r="L34" s="239">
        <f>L$17*M34</f>
        <v>126.98730670399492</v>
      </c>
      <c r="M34" s="240">
        <v>0.08</v>
      </c>
      <c r="N34" s="239">
        <f>N$28*O34</f>
        <v>48.229866185436492</v>
      </c>
      <c r="O34" s="240">
        <v>0.08</v>
      </c>
      <c r="P34" s="239">
        <f>P$28*Q34</f>
        <v>34.537811011427259</v>
      </c>
      <c r="Q34" s="240">
        <v>0.08</v>
      </c>
      <c r="R34" s="239">
        <f>R$28*S34</f>
        <v>18.998804670261272</v>
      </c>
      <c r="S34" s="257">
        <v>0.08</v>
      </c>
    </row>
    <row r="35" spans="1:19" outlineLevel="1" x14ac:dyDescent="0.4">
      <c r="A35" s="6">
        <f t="shared" si="7"/>
        <v>0.22620689655172413</v>
      </c>
      <c r="B35" s="321" t="s">
        <v>160</v>
      </c>
      <c r="C35" s="166"/>
      <c r="D35" s="239">
        <f t="shared" si="6"/>
        <v>233.16545839999998</v>
      </c>
      <c r="E35" s="240">
        <v>0.16400000000000001</v>
      </c>
      <c r="F35" s="239">
        <f t="shared" si="9"/>
        <v>240.23611802537218</v>
      </c>
      <c r="G35" s="240">
        <v>0.16400000000000001</v>
      </c>
      <c r="H35" s="239">
        <f>H$18*I35</f>
        <v>224.27826120192904</v>
      </c>
      <c r="I35" s="240">
        <v>0.16400000000000001</v>
      </c>
      <c r="J35" s="239">
        <f t="shared" si="8"/>
        <v>214.33627642386108</v>
      </c>
      <c r="K35" s="240">
        <v>0.16400000000000001</v>
      </c>
      <c r="L35" s="239">
        <f>L$17*M35</f>
        <v>260.32397874318957</v>
      </c>
      <c r="M35" s="240">
        <v>0.16400000000000001</v>
      </c>
      <c r="N35" s="239">
        <f>N$28*O35</f>
        <v>98.871225680144818</v>
      </c>
      <c r="O35" s="240">
        <v>0.16400000000000001</v>
      </c>
      <c r="P35" s="239">
        <f>P$28*Q35</f>
        <v>70.802512573425886</v>
      </c>
      <c r="Q35" s="240">
        <v>0.16400000000000001</v>
      </c>
      <c r="R35" s="239">
        <f>R$28*S35</f>
        <v>38.947549574035612</v>
      </c>
      <c r="S35" s="257">
        <v>0.16400000000000001</v>
      </c>
    </row>
    <row r="36" spans="1:19" outlineLevel="1" x14ac:dyDescent="0.4">
      <c r="A36" s="6">
        <f t="shared" si="7"/>
        <v>4.6896551724137932E-2</v>
      </c>
      <c r="B36" s="321" t="s">
        <v>161</v>
      </c>
      <c r="C36" s="166"/>
      <c r="D36" s="239">
        <f t="shared" si="6"/>
        <v>48.339180399999996</v>
      </c>
      <c r="E36" s="240">
        <v>3.4000000000000002E-2</v>
      </c>
      <c r="F36" s="239">
        <f t="shared" si="9"/>
        <v>49.805048858918624</v>
      </c>
      <c r="G36" s="240">
        <v>3.4000000000000002E-2</v>
      </c>
      <c r="H36" s="239">
        <f>H$28*I36</f>
        <v>46.496712688204802</v>
      </c>
      <c r="I36" s="240">
        <v>3.4000000000000002E-2</v>
      </c>
      <c r="J36" s="239">
        <f t="shared" si="8"/>
        <v>44.435569502507782</v>
      </c>
      <c r="K36" s="240">
        <v>3.4000000000000002E-2</v>
      </c>
      <c r="L36" s="239">
        <f>L$17*M36</f>
        <v>53.969605349197842</v>
      </c>
      <c r="M36" s="240">
        <v>3.4000000000000002E-2</v>
      </c>
      <c r="N36" s="239">
        <f>N$28*O36</f>
        <v>20.497693128810511</v>
      </c>
      <c r="O36" s="240">
        <v>3.4000000000000002E-2</v>
      </c>
      <c r="P36" s="239">
        <f>P$28*Q36</f>
        <v>14.678569679856587</v>
      </c>
      <c r="Q36" s="240">
        <v>3.4000000000000002E-2</v>
      </c>
      <c r="R36" s="239">
        <f>R$28*S36</f>
        <v>8.0744919848610408</v>
      </c>
      <c r="S36" s="257">
        <v>3.4000000000000002E-2</v>
      </c>
    </row>
    <row r="37" spans="1:19" outlineLevel="1" x14ac:dyDescent="0.4">
      <c r="A37" s="6">
        <f t="shared" si="7"/>
        <v>4.1379310344827579E-3</v>
      </c>
      <c r="B37" s="321" t="s">
        <v>16</v>
      </c>
      <c r="C37" s="166"/>
      <c r="D37" s="239">
        <f t="shared" si="6"/>
        <v>4.2652218</v>
      </c>
      <c r="E37" s="240">
        <v>3.0000000000000001E-3</v>
      </c>
      <c r="F37" s="239">
        <f t="shared" si="9"/>
        <v>4.3945631346104665</v>
      </c>
      <c r="G37" s="240">
        <v>3.0000000000000001E-3</v>
      </c>
      <c r="H37" s="239">
        <f>H$28*I37</f>
        <v>4.102651119547482</v>
      </c>
      <c r="I37" s="240">
        <v>3.0000000000000001E-3</v>
      </c>
      <c r="J37" s="239">
        <f t="shared" si="8"/>
        <v>3.9207855443389219</v>
      </c>
      <c r="K37" s="240">
        <v>3.0000000000000001E-3</v>
      </c>
      <c r="L37" s="239">
        <f>L$17*M37</f>
        <v>4.7620240013998094</v>
      </c>
      <c r="M37" s="240">
        <v>3.0000000000000001E-3</v>
      </c>
      <c r="N37" s="239">
        <f>N$28*O37</f>
        <v>1.8086199819538686</v>
      </c>
      <c r="O37" s="240">
        <v>3.0000000000000001E-3</v>
      </c>
      <c r="P37" s="239">
        <f>P$28*Q37</f>
        <v>1.2951679129285223</v>
      </c>
      <c r="Q37" s="240">
        <v>3.0000000000000001E-3</v>
      </c>
      <c r="R37" s="239">
        <f>R$28*S37</f>
        <v>0.71245517513479772</v>
      </c>
      <c r="S37" s="257">
        <v>3.0000000000000001E-3</v>
      </c>
    </row>
    <row r="38" spans="1:19" outlineLevel="1" x14ac:dyDescent="0.4">
      <c r="B38" s="176"/>
      <c r="C38" s="166" t="s">
        <v>57</v>
      </c>
      <c r="D38" s="242"/>
      <c r="E38" s="242"/>
      <c r="F38" s="168"/>
      <c r="G38" s="168"/>
      <c r="H38" s="168">
        <f>H19</f>
        <v>138.6148720729939</v>
      </c>
      <c r="I38" s="122"/>
      <c r="J38" s="168">
        <f>J19</f>
        <v>238.91091437287773</v>
      </c>
      <c r="K38" s="168"/>
      <c r="L38" s="168">
        <f>L19</f>
        <v>494.0224001399809</v>
      </c>
      <c r="M38" s="168"/>
      <c r="N38" s="239">
        <f>N19</f>
        <v>1021.3099909769344</v>
      </c>
      <c r="O38" s="168"/>
      <c r="P38" s="282">
        <f>P19</f>
        <v>1231.352821166628</v>
      </c>
      <c r="Q38" s="166"/>
      <c r="R38" s="282">
        <f>R19</f>
        <v>1453.9402335130637</v>
      </c>
      <c r="S38" s="238"/>
    </row>
    <row r="39" spans="1:19" outlineLevel="1" x14ac:dyDescent="0.4">
      <c r="B39" s="478" t="s">
        <v>154</v>
      </c>
      <c r="C39" s="506"/>
      <c r="D39" s="251"/>
      <c r="E39" s="251"/>
      <c r="F39" s="252"/>
      <c r="G39" s="252"/>
      <c r="H39" s="378">
        <f t="shared" ref="H39:H44" si="10">H$38*I39</f>
        <v>29.109123135328719</v>
      </c>
      <c r="I39" s="379">
        <v>0.21</v>
      </c>
      <c r="J39" s="378">
        <f t="shared" ref="J39:J44" si="11">J$38*K39</f>
        <v>50.171292018304321</v>
      </c>
      <c r="K39" s="380">
        <v>0.21</v>
      </c>
      <c r="L39" s="378">
        <f t="shared" ref="L39:L44" si="12">L$38*M39</f>
        <v>103.74470402939599</v>
      </c>
      <c r="M39" s="380">
        <v>0.21</v>
      </c>
      <c r="N39" s="239">
        <f t="shared" ref="N39:N48" si="13">N$38*O39</f>
        <v>214.47509810515621</v>
      </c>
      <c r="O39" s="263">
        <v>0.21</v>
      </c>
      <c r="P39" s="239">
        <f>P$38*Q39</f>
        <v>258.58409244499188</v>
      </c>
      <c r="Q39" s="240">
        <v>0.21</v>
      </c>
      <c r="R39" s="239">
        <f>R$38*S39</f>
        <v>305.32744903774335</v>
      </c>
      <c r="S39" s="257">
        <v>0.21</v>
      </c>
    </row>
    <row r="40" spans="1:19" outlineLevel="1" x14ac:dyDescent="0.4">
      <c r="B40" s="478" t="s">
        <v>155</v>
      </c>
      <c r="C40" s="506"/>
      <c r="D40" s="251"/>
      <c r="E40" s="251"/>
      <c r="F40" s="252"/>
      <c r="G40" s="252"/>
      <c r="H40" s="378">
        <f t="shared" si="10"/>
        <v>9.0099666847446045</v>
      </c>
      <c r="I40" s="381">
        <v>6.5000000000000002E-2</v>
      </c>
      <c r="J40" s="378">
        <f t="shared" si="11"/>
        <v>15.529209434237053</v>
      </c>
      <c r="K40" s="380">
        <v>6.5000000000000002E-2</v>
      </c>
      <c r="L40" s="378">
        <f t="shared" si="12"/>
        <v>32.11145600909876</v>
      </c>
      <c r="M40" s="380">
        <v>6.5000000000000002E-2</v>
      </c>
      <c r="N40" s="303">
        <f t="shared" si="13"/>
        <v>66.385149413500741</v>
      </c>
      <c r="O40" s="263">
        <v>6.5000000000000002E-2</v>
      </c>
      <c r="P40" s="239">
        <f t="shared" ref="P40:R40" si="14">P$38*Q40</f>
        <v>80.037933375830818</v>
      </c>
      <c r="Q40" s="240">
        <v>6.5000000000000002E-2</v>
      </c>
      <c r="R40" s="239">
        <f t="shared" si="14"/>
        <v>94.506115178349148</v>
      </c>
      <c r="S40" s="257">
        <v>6.5000000000000002E-2</v>
      </c>
    </row>
    <row r="41" spans="1:19" outlineLevel="1" x14ac:dyDescent="0.4">
      <c r="B41" s="322" t="s">
        <v>156</v>
      </c>
      <c r="C41" s="241"/>
      <c r="D41" s="251"/>
      <c r="E41" s="251"/>
      <c r="F41" s="252"/>
      <c r="G41" s="252"/>
      <c r="H41" s="378">
        <f t="shared" si="10"/>
        <v>45.74290778408799</v>
      </c>
      <c r="I41" s="379">
        <v>0.33</v>
      </c>
      <c r="J41" s="378">
        <f t="shared" si="11"/>
        <v>78.84060174304966</v>
      </c>
      <c r="K41" s="380">
        <v>0.33</v>
      </c>
      <c r="L41" s="382">
        <f t="shared" si="12"/>
        <v>163.02739204619371</v>
      </c>
      <c r="M41" s="380">
        <v>0.33</v>
      </c>
      <c r="N41" s="239">
        <f t="shared" si="13"/>
        <v>337.03229702238838</v>
      </c>
      <c r="O41" s="263">
        <v>0.33</v>
      </c>
      <c r="P41" s="239">
        <f t="shared" ref="P41:R41" si="15">P$38*Q41</f>
        <v>406.34643098498725</v>
      </c>
      <c r="Q41" s="240">
        <v>0.33</v>
      </c>
      <c r="R41" s="239">
        <f t="shared" si="15"/>
        <v>479.80027705931104</v>
      </c>
      <c r="S41" s="257">
        <v>0.33</v>
      </c>
    </row>
    <row r="42" spans="1:19" ht="25.2" outlineLevel="1" x14ac:dyDescent="0.4">
      <c r="B42" s="322" t="s">
        <v>157</v>
      </c>
      <c r="C42" s="166"/>
      <c r="D42" s="251"/>
      <c r="E42" s="251"/>
      <c r="F42" s="252"/>
      <c r="G42" s="252"/>
      <c r="H42" s="378">
        <f t="shared" si="10"/>
        <v>10.257500533401549</v>
      </c>
      <c r="I42" s="379">
        <v>7.3999999999999996E-2</v>
      </c>
      <c r="J42" s="378">
        <f t="shared" si="11"/>
        <v>17.679407663592951</v>
      </c>
      <c r="K42" s="380">
        <v>7.3999999999999996E-2</v>
      </c>
      <c r="L42" s="382">
        <f t="shared" si="12"/>
        <v>36.557657610358582</v>
      </c>
      <c r="M42" s="380">
        <v>7.3999999999999996E-2</v>
      </c>
      <c r="N42" s="239">
        <f t="shared" si="13"/>
        <v>75.576939332293136</v>
      </c>
      <c r="O42" s="240">
        <v>7.3999999999999996E-2</v>
      </c>
      <c r="P42" s="239">
        <f t="shared" ref="P42:R42" si="16">P$38*Q42</f>
        <v>91.120108766330475</v>
      </c>
      <c r="Q42" s="240">
        <v>7.3999999999999996E-2</v>
      </c>
      <c r="R42" s="239">
        <f t="shared" si="16"/>
        <v>107.59157727996671</v>
      </c>
      <c r="S42" s="257">
        <v>7.3999999999999996E-2</v>
      </c>
    </row>
    <row r="43" spans="1:19" outlineLevel="1" x14ac:dyDescent="0.4">
      <c r="B43" s="482" t="s">
        <v>158</v>
      </c>
      <c r="C43" s="501"/>
      <c r="D43" s="251"/>
      <c r="E43" s="251"/>
      <c r="F43" s="252"/>
      <c r="G43" s="252"/>
      <c r="H43" s="378">
        <f t="shared" si="10"/>
        <v>5.544594882919756</v>
      </c>
      <c r="I43" s="379">
        <v>0.04</v>
      </c>
      <c r="J43" s="378">
        <f t="shared" si="11"/>
        <v>9.556436574915109</v>
      </c>
      <c r="K43" s="380">
        <v>0.04</v>
      </c>
      <c r="L43" s="382">
        <f t="shared" si="12"/>
        <v>19.760896005599236</v>
      </c>
      <c r="M43" s="380">
        <v>0.04</v>
      </c>
      <c r="N43" s="239">
        <f t="shared" si="13"/>
        <v>40.852399639077376</v>
      </c>
      <c r="O43" s="240">
        <v>0.04</v>
      </c>
      <c r="P43" s="239">
        <f t="shared" ref="P43:R43" si="17">P$38*Q43</f>
        <v>49.254112846665123</v>
      </c>
      <c r="Q43" s="240">
        <v>0.04</v>
      </c>
      <c r="R43" s="239">
        <f t="shared" si="17"/>
        <v>58.157609340522548</v>
      </c>
      <c r="S43" s="257">
        <v>0.04</v>
      </c>
    </row>
    <row r="44" spans="1:19" outlineLevel="1" x14ac:dyDescent="0.4">
      <c r="B44" s="321" t="s">
        <v>159</v>
      </c>
      <c r="C44" s="166"/>
      <c r="D44" s="251"/>
      <c r="E44" s="251"/>
      <c r="F44" s="252"/>
      <c r="G44" s="252"/>
      <c r="H44" s="378">
        <f t="shared" si="10"/>
        <v>11.089189765839512</v>
      </c>
      <c r="I44" s="379">
        <v>0.08</v>
      </c>
      <c r="J44" s="378">
        <f t="shared" si="11"/>
        <v>19.112873149830218</v>
      </c>
      <c r="K44" s="380">
        <v>0.08</v>
      </c>
      <c r="L44" s="382">
        <f t="shared" si="12"/>
        <v>39.521792011198471</v>
      </c>
      <c r="M44" s="380">
        <v>0.08</v>
      </c>
      <c r="N44" s="239">
        <f t="shared" si="13"/>
        <v>81.704799278154752</v>
      </c>
      <c r="O44" s="240">
        <v>0.08</v>
      </c>
      <c r="P44" s="239">
        <f t="shared" ref="P44:R44" si="18">P$38*Q44</f>
        <v>98.508225693330246</v>
      </c>
      <c r="Q44" s="240">
        <v>0.08</v>
      </c>
      <c r="R44" s="239">
        <f t="shared" si="18"/>
        <v>116.3152186810451</v>
      </c>
      <c r="S44" s="257">
        <v>0.08</v>
      </c>
    </row>
    <row r="45" spans="1:19" outlineLevel="1" x14ac:dyDescent="0.4">
      <c r="B45" s="321" t="s">
        <v>160</v>
      </c>
      <c r="C45" s="166"/>
      <c r="D45" s="251"/>
      <c r="E45" s="251"/>
      <c r="F45" s="252"/>
      <c r="G45" s="252"/>
      <c r="H45" s="378">
        <f t="shared" ref="H45:J47" si="19">H$38*I45</f>
        <v>22.732839019971003</v>
      </c>
      <c r="I45" s="379">
        <v>0.16400000000000001</v>
      </c>
      <c r="J45" s="378">
        <f t="shared" si="19"/>
        <v>39.18138995715195</v>
      </c>
      <c r="K45" s="380">
        <v>0.16400000000000001</v>
      </c>
      <c r="L45" s="382">
        <f t="shared" ref="L45" si="20">L$38*M45</f>
        <v>81.019673622956873</v>
      </c>
      <c r="M45" s="380">
        <v>0.16400000000000001</v>
      </c>
      <c r="N45" s="239">
        <f t="shared" si="13"/>
        <v>167.49483852021726</v>
      </c>
      <c r="O45" s="240">
        <v>0.16400000000000001</v>
      </c>
      <c r="P45" s="239">
        <f t="shared" ref="P45:R45" si="21">P$38*Q45</f>
        <v>201.94186267132702</v>
      </c>
      <c r="Q45" s="240">
        <v>0.16400000000000001</v>
      </c>
      <c r="R45" s="239">
        <f t="shared" si="21"/>
        <v>238.44619829614246</v>
      </c>
      <c r="S45" s="257">
        <v>0.16400000000000001</v>
      </c>
    </row>
    <row r="46" spans="1:19" outlineLevel="1" x14ac:dyDescent="0.4">
      <c r="B46" s="321" t="s">
        <v>161</v>
      </c>
      <c r="C46" s="166"/>
      <c r="D46" s="251"/>
      <c r="E46" s="251"/>
      <c r="F46" s="252"/>
      <c r="G46" s="252"/>
      <c r="H46" s="378">
        <f t="shared" si="19"/>
        <v>4.712905650481793</v>
      </c>
      <c r="I46" s="379">
        <v>3.4000000000000002E-2</v>
      </c>
      <c r="J46" s="378">
        <f t="shared" si="19"/>
        <v>8.1229710886778435</v>
      </c>
      <c r="K46" s="380">
        <v>3.4000000000000002E-2</v>
      </c>
      <c r="L46" s="382">
        <f t="shared" ref="L46" si="22">L$38*M46</f>
        <v>16.79676160475935</v>
      </c>
      <c r="M46" s="380">
        <v>3.4000000000000002E-2</v>
      </c>
      <c r="N46" s="239">
        <f t="shared" si="13"/>
        <v>34.724539693215775</v>
      </c>
      <c r="O46" s="240">
        <v>3.4000000000000002E-2</v>
      </c>
      <c r="P46" s="239">
        <f t="shared" ref="P46:R46" si="23">P$38*Q46</f>
        <v>41.865995919665359</v>
      </c>
      <c r="Q46" s="240">
        <v>3.4000000000000002E-2</v>
      </c>
      <c r="R46" s="239">
        <f t="shared" si="23"/>
        <v>49.433967939444173</v>
      </c>
      <c r="S46" s="257">
        <v>3.4000000000000002E-2</v>
      </c>
    </row>
    <row r="47" spans="1:19" ht="15.6" outlineLevel="1" thickBot="1" x14ac:dyDescent="0.45">
      <c r="B47" s="244" t="s">
        <v>16</v>
      </c>
      <c r="C47" s="207"/>
      <c r="D47" s="253"/>
      <c r="E47" s="253"/>
      <c r="F47" s="254"/>
      <c r="G47" s="254"/>
      <c r="H47" s="383">
        <f t="shared" si="19"/>
        <v>0.41584461621898172</v>
      </c>
      <c r="I47" s="386">
        <v>3.0000000000000001E-3</v>
      </c>
      <c r="J47" s="383">
        <f t="shared" si="19"/>
        <v>0.71673274311863322</v>
      </c>
      <c r="K47" s="384">
        <v>3.0000000000000001E-3</v>
      </c>
      <c r="L47" s="385">
        <f t="shared" ref="L47" si="24">L$38*M47</f>
        <v>1.4820672004199427</v>
      </c>
      <c r="M47" s="384">
        <v>3.0000000000000001E-3</v>
      </c>
      <c r="N47" s="265">
        <f t="shared" si="13"/>
        <v>3.0639299729308034</v>
      </c>
      <c r="O47" s="264">
        <v>3.0000000000000001E-3</v>
      </c>
      <c r="P47" s="265">
        <f t="shared" ref="P47:R47" si="25">P$38*Q47</f>
        <v>3.6940584634998843</v>
      </c>
      <c r="Q47" s="264">
        <v>3.0000000000000001E-3</v>
      </c>
      <c r="R47" s="265">
        <f t="shared" si="25"/>
        <v>4.3618207005391909</v>
      </c>
      <c r="S47" s="266">
        <v>3.0000000000000001E-3</v>
      </c>
    </row>
    <row r="48" spans="1:19" x14ac:dyDescent="0.4">
      <c r="B48" s="256"/>
      <c r="N48" s="4">
        <f t="shared" si="13"/>
        <v>1021.3099909769344</v>
      </c>
      <c r="O48" s="6">
        <f>SUM(O39:O47)</f>
        <v>1</v>
      </c>
      <c r="R48" s="4">
        <f>R$38*S48</f>
        <v>1453.9402335130637</v>
      </c>
      <c r="S48" s="6">
        <f>SUM(S39:S47)</f>
        <v>1</v>
      </c>
    </row>
    <row r="49" spans="2:20" ht="15.6" thickBot="1" x14ac:dyDescent="0.45">
      <c r="B49" s="236"/>
      <c r="P49" s="4"/>
      <c r="R49" s="4"/>
    </row>
    <row r="50" spans="2:20" x14ac:dyDescent="0.4">
      <c r="B50" s="502" t="s">
        <v>29</v>
      </c>
      <c r="C50" s="503"/>
      <c r="D50" s="466">
        <v>22</v>
      </c>
      <c r="E50" s="228"/>
      <c r="F50" s="466">
        <v>23</v>
      </c>
      <c r="G50" s="192"/>
      <c r="H50" s="466">
        <v>24</v>
      </c>
      <c r="I50" s="199"/>
      <c r="J50" s="466">
        <v>25</v>
      </c>
      <c r="K50" s="199"/>
      <c r="L50" s="466">
        <v>26</v>
      </c>
      <c r="M50" s="199"/>
      <c r="N50" s="466">
        <v>27</v>
      </c>
      <c r="O50" s="199"/>
      <c r="P50" s="466">
        <v>28</v>
      </c>
      <c r="Q50" s="199"/>
      <c r="R50" s="466">
        <v>29</v>
      </c>
      <c r="S50" s="201"/>
    </row>
    <row r="51" spans="2:20" ht="15.6" thickBot="1" x14ac:dyDescent="0.45">
      <c r="B51" s="504"/>
      <c r="C51" s="505"/>
      <c r="D51" s="467"/>
      <c r="E51" s="193" t="s">
        <v>151</v>
      </c>
      <c r="F51" s="467"/>
      <c r="G51" s="193" t="s">
        <v>151</v>
      </c>
      <c r="H51" s="467"/>
      <c r="I51" s="193" t="s">
        <v>151</v>
      </c>
      <c r="J51" s="467"/>
      <c r="K51" s="193" t="s">
        <v>151</v>
      </c>
      <c r="L51" s="467"/>
      <c r="M51" s="193" t="s">
        <v>151</v>
      </c>
      <c r="N51" s="469"/>
      <c r="O51" s="193" t="s">
        <v>151</v>
      </c>
      <c r="P51" s="469"/>
      <c r="Q51" s="193" t="s">
        <v>151</v>
      </c>
      <c r="R51" s="467"/>
      <c r="S51" s="235" t="s">
        <v>151</v>
      </c>
    </row>
    <row r="52" spans="2:20" x14ac:dyDescent="0.4">
      <c r="B52" s="216" t="s">
        <v>144</v>
      </c>
      <c r="C52" s="229"/>
      <c r="D52" s="208">
        <f>D4-D17</f>
        <v>609.31740000000013</v>
      </c>
      <c r="E52" s="209">
        <v>0.3</v>
      </c>
      <c r="F52" s="208">
        <f>F4-F17</f>
        <v>658.1229815117124</v>
      </c>
      <c r="G52" s="209">
        <f>1-G17</f>
        <v>0.31000000000000005</v>
      </c>
      <c r="H52" s="208">
        <f t="shared" ref="H52:H58" si="26">H4-H17</f>
        <v>708.78364482611209</v>
      </c>
      <c r="I52" s="209">
        <f t="shared" ref="I52:I58" si="27">1-I17</f>
        <v>0.32000000000000006</v>
      </c>
      <c r="J52" s="208">
        <f>J4-J17</f>
        <v>761.38359943333012</v>
      </c>
      <c r="K52" s="209">
        <f t="shared" ref="K52:K58" si="28">1-K17</f>
        <v>0.33000000000000007</v>
      </c>
      <c r="L52" s="208">
        <f>L4-L17</f>
        <v>817.72129316966448</v>
      </c>
      <c r="M52" s="209">
        <f t="shared" ref="M52:M58" si="29">1-M17</f>
        <v>0.34000000000000008</v>
      </c>
      <c r="N52" s="210">
        <f>N4-N17</f>
        <v>874.5602483126338</v>
      </c>
      <c r="O52" s="209">
        <f t="shared" ref="O52:O58" si="30">1-O17</f>
        <v>0.35000000000000009</v>
      </c>
      <c r="P52" s="210">
        <f>P4-P17</f>
        <v>935.47994558032656</v>
      </c>
      <c r="Q52" s="209">
        <f t="shared" ref="Q52:Q58" si="31">1-Q17</f>
        <v>0.3600000000000001</v>
      </c>
      <c r="R52" s="208">
        <f>R4-R17</f>
        <v>993.37675872982891</v>
      </c>
      <c r="S52" s="212">
        <f>1-S17</f>
        <v>0.37000000000000011</v>
      </c>
    </row>
    <row r="53" spans="2:20" x14ac:dyDescent="0.4">
      <c r="B53" s="217"/>
      <c r="C53" s="219" t="s">
        <v>147</v>
      </c>
      <c r="D53" s="213">
        <f>D52</f>
        <v>609.31740000000013</v>
      </c>
      <c r="E53" s="214">
        <v>0.3</v>
      </c>
      <c r="F53" s="213">
        <f>F52</f>
        <v>658.1229815117124</v>
      </c>
      <c r="G53" s="214">
        <f>G52</f>
        <v>0.31000000000000005</v>
      </c>
      <c r="H53" s="213">
        <f>H5-H18</f>
        <v>643.55311679176202</v>
      </c>
      <c r="I53" s="214">
        <f t="shared" si="27"/>
        <v>0.32000000000000006</v>
      </c>
      <c r="J53" s="213">
        <f>J5-J18</f>
        <v>643.71105951833079</v>
      </c>
      <c r="K53" s="214">
        <f t="shared" si="28"/>
        <v>0.33000000000000007</v>
      </c>
      <c r="L53" s="213">
        <f>L5*M53</f>
        <v>563.22490521876512</v>
      </c>
      <c r="M53" s="214">
        <f t="shared" si="29"/>
        <v>0.34000000000000008</v>
      </c>
      <c r="N53" s="215">
        <f>N5-N18</f>
        <v>324.62409932505352</v>
      </c>
      <c r="O53" s="214">
        <f t="shared" si="30"/>
        <v>0.35000000000000009</v>
      </c>
      <c r="P53" s="215">
        <f>P5-P18</f>
        <v>242.84398367409807</v>
      </c>
      <c r="Q53" s="214">
        <f t="shared" si="31"/>
        <v>0.3600000000000001</v>
      </c>
      <c r="R53" s="213">
        <f>R5*S53</f>
        <v>139.47535174596575</v>
      </c>
      <c r="S53" s="374">
        <f>S52</f>
        <v>0.37000000000000011</v>
      </c>
      <c r="T53" s="280"/>
    </row>
    <row r="54" spans="2:20" x14ac:dyDescent="0.4">
      <c r="B54" s="217"/>
      <c r="C54" s="222" t="s">
        <v>148</v>
      </c>
      <c r="D54" s="331"/>
      <c r="E54" s="332"/>
      <c r="F54" s="331"/>
      <c r="G54" s="332"/>
      <c r="H54" s="188">
        <f>H6-H19</f>
        <v>65.230528034350073</v>
      </c>
      <c r="I54" s="198">
        <f t="shared" si="27"/>
        <v>0.32000000000000006</v>
      </c>
      <c r="J54" s="188">
        <f>J6-J19</f>
        <v>117.67253991499953</v>
      </c>
      <c r="K54" s="198">
        <f t="shared" si="28"/>
        <v>0.33000000000000007</v>
      </c>
      <c r="L54" s="188">
        <f>L52-L53</f>
        <v>254.49638795089936</v>
      </c>
      <c r="M54" s="198">
        <f t="shared" si="29"/>
        <v>0.34000000000000008</v>
      </c>
      <c r="N54" s="186">
        <f>N6-N19</f>
        <v>549.93614898758028</v>
      </c>
      <c r="O54" s="198">
        <f t="shared" si="30"/>
        <v>0.35000000000000009</v>
      </c>
      <c r="P54" s="186">
        <f>P6-P19</f>
        <v>692.63596190622866</v>
      </c>
      <c r="Q54" s="198">
        <f t="shared" si="31"/>
        <v>0.3600000000000001</v>
      </c>
      <c r="R54" s="188">
        <f>R6-R19</f>
        <v>853.90140698386335</v>
      </c>
      <c r="S54" s="204">
        <f>1-S19</f>
        <v>0.37000000000000011</v>
      </c>
    </row>
    <row r="55" spans="2:20" x14ac:dyDescent="0.4">
      <c r="B55" s="224" t="s">
        <v>150</v>
      </c>
      <c r="C55" s="230"/>
      <c r="D55" s="189">
        <f>D7-D20</f>
        <v>12.5</v>
      </c>
      <c r="E55" s="195">
        <f>1-E20</f>
        <v>0.5</v>
      </c>
      <c r="F55" s="189">
        <f>F7-F20</f>
        <v>18.2</v>
      </c>
      <c r="G55" s="195">
        <f>1-G20</f>
        <v>0.52</v>
      </c>
      <c r="H55" s="189">
        <f t="shared" si="26"/>
        <v>27</v>
      </c>
      <c r="I55" s="194">
        <f t="shared" si="27"/>
        <v>0.54</v>
      </c>
      <c r="J55" s="189">
        <f>J56+J57</f>
        <v>39.200000000000003</v>
      </c>
      <c r="K55" s="194">
        <f>J55/J7</f>
        <v>0.56000000000000005</v>
      </c>
      <c r="L55" s="189">
        <f>L7-L20</f>
        <v>52.2</v>
      </c>
      <c r="M55" s="194">
        <f t="shared" si="29"/>
        <v>0.58000000000000007</v>
      </c>
      <c r="N55" s="180">
        <f>N7-N20</f>
        <v>72.000000000000014</v>
      </c>
      <c r="O55" s="194">
        <f t="shared" si="30"/>
        <v>0.60000000000000009</v>
      </c>
      <c r="P55" s="180">
        <f>P7-P20</f>
        <v>93.000000000000014</v>
      </c>
      <c r="Q55" s="194">
        <f t="shared" si="31"/>
        <v>0.62000000000000011</v>
      </c>
      <c r="R55" s="189">
        <f>R7-R20</f>
        <v>128.00000000000003</v>
      </c>
      <c r="S55" s="203">
        <f>1-S20</f>
        <v>0.64000000000000012</v>
      </c>
    </row>
    <row r="56" spans="2:20" x14ac:dyDescent="0.4">
      <c r="B56" s="217"/>
      <c r="C56" s="219" t="s">
        <v>147</v>
      </c>
      <c r="D56" s="213">
        <f>D55</f>
        <v>12.5</v>
      </c>
      <c r="E56" s="214">
        <f>E55</f>
        <v>0.5</v>
      </c>
      <c r="F56" s="213">
        <f>F55</f>
        <v>18.2</v>
      </c>
      <c r="G56" s="214">
        <f>G55</f>
        <v>0.52</v>
      </c>
      <c r="H56" s="213">
        <f t="shared" si="26"/>
        <v>14.769275993559361</v>
      </c>
      <c r="I56" s="214">
        <f t="shared" si="27"/>
        <v>0.54</v>
      </c>
      <c r="J56" s="213">
        <f>J8*K56</f>
        <v>12.575102079838496</v>
      </c>
      <c r="K56" s="214">
        <f t="shared" si="28"/>
        <v>0.56000000000000005</v>
      </c>
      <c r="L56" s="213">
        <f>L8*M56</f>
        <v>9.0888727145471879</v>
      </c>
      <c r="M56" s="214">
        <v>0.6</v>
      </c>
      <c r="N56" s="215">
        <f>N55-N57</f>
        <v>9.1501544014194138</v>
      </c>
      <c r="O56" s="214">
        <f>N56/N8</f>
        <v>0.6000000000000002</v>
      </c>
      <c r="P56" s="215">
        <f>P8*Q56</f>
        <v>7.7947824639163334</v>
      </c>
      <c r="Q56" s="214">
        <f>Q55</f>
        <v>0.62000000000000011</v>
      </c>
      <c r="R56" s="213">
        <f>R8*S56</f>
        <v>17.223601256147507</v>
      </c>
      <c r="S56" s="374">
        <f>S55</f>
        <v>0.64000000000000012</v>
      </c>
    </row>
    <row r="57" spans="2:20" ht="15.6" thickBot="1" x14ac:dyDescent="0.45">
      <c r="B57" s="226"/>
      <c r="C57" s="227" t="s">
        <v>148</v>
      </c>
      <c r="D57" s="331"/>
      <c r="E57" s="332"/>
      <c r="F57" s="331"/>
      <c r="G57" s="332"/>
      <c r="H57" s="188">
        <f t="shared" si="26"/>
        <v>12.230724006440639</v>
      </c>
      <c r="I57" s="194">
        <f t="shared" si="27"/>
        <v>0.54</v>
      </c>
      <c r="J57" s="188">
        <f>J9*K57</f>
        <v>26.624897920161509</v>
      </c>
      <c r="K57" s="194">
        <f>1-K22</f>
        <v>0.56000000000000005</v>
      </c>
      <c r="L57" s="188">
        <f>L9-L22</f>
        <v>43.414089709271053</v>
      </c>
      <c r="M57" s="194">
        <f t="shared" si="29"/>
        <v>0.58000000000000007</v>
      </c>
      <c r="N57" s="186">
        <f>N9-N22</f>
        <v>62.8498455985806</v>
      </c>
      <c r="O57" s="194">
        <f t="shared" si="30"/>
        <v>0.60000000000000009</v>
      </c>
      <c r="P57" s="186">
        <f>P9-P22</f>
        <v>85.20521753608368</v>
      </c>
      <c r="Q57" s="194">
        <f t="shared" si="31"/>
        <v>0.62000000000000011</v>
      </c>
      <c r="R57" s="188">
        <f>R9-R22</f>
        <v>110.77639874385252</v>
      </c>
      <c r="S57" s="203">
        <f>1-S22</f>
        <v>0.64000000000000012</v>
      </c>
    </row>
    <row r="58" spans="2:20" ht="16.2" thickTop="1" thickBot="1" x14ac:dyDescent="0.45">
      <c r="B58" s="218" t="s">
        <v>145</v>
      </c>
      <c r="C58" s="223"/>
      <c r="D58" s="231">
        <f>D52+D55</f>
        <v>621.81740000000013</v>
      </c>
      <c r="E58" s="232">
        <f>D58/$D$10</f>
        <v>0.30243183801235185</v>
      </c>
      <c r="F58" s="231">
        <f>F52+F55</f>
        <v>676.32298151171244</v>
      </c>
      <c r="G58" s="232">
        <f>F58/F10</f>
        <v>0.31340596715109659</v>
      </c>
      <c r="H58" s="231">
        <f t="shared" si="26"/>
        <v>735.78364482611209</v>
      </c>
      <c r="I58" s="232">
        <f t="shared" si="27"/>
        <v>0.32485662173136443</v>
      </c>
      <c r="J58" s="231">
        <f>J10-J23</f>
        <v>800.58359943333016</v>
      </c>
      <c r="K58" s="232">
        <f t="shared" si="28"/>
        <v>0.33677260812569931</v>
      </c>
      <c r="L58" s="231">
        <f>L10-L23</f>
        <v>869.92129316966452</v>
      </c>
      <c r="M58" s="232">
        <f t="shared" si="29"/>
        <v>0.34865709732754668</v>
      </c>
      <c r="N58" s="233">
        <f>N10-N23</f>
        <v>946.5602483126338</v>
      </c>
      <c r="O58" s="232">
        <f t="shared" si="30"/>
        <v>0.36145587539862256</v>
      </c>
      <c r="P58" s="233">
        <f>P10-P23</f>
        <v>1028.4799455803266</v>
      </c>
      <c r="Q58" s="232">
        <f t="shared" si="31"/>
        <v>0.37418927191269713</v>
      </c>
      <c r="R58" s="231">
        <f>R10-R23</f>
        <v>1121.3767587298289</v>
      </c>
      <c r="S58" s="234">
        <f>1-S23</f>
        <v>0.38871878869067389</v>
      </c>
    </row>
    <row r="60" spans="2:20" x14ac:dyDescent="0.4">
      <c r="D60" s="4"/>
      <c r="P60" s="4"/>
    </row>
    <row r="61" spans="2:20" x14ac:dyDescent="0.4">
      <c r="B61" s="29"/>
      <c r="C61" s="335" t="s">
        <v>147</v>
      </c>
      <c r="D61" s="293">
        <f>D52*E61</f>
        <v>609.31740000000013</v>
      </c>
      <c r="E61" s="294">
        <v>1</v>
      </c>
      <c r="F61" s="293">
        <f>F52*G61</f>
        <v>658.1229815117124</v>
      </c>
      <c r="G61" s="294">
        <v>1</v>
      </c>
      <c r="H61" s="293">
        <f>H52-H68</f>
        <v>643.55311679176202</v>
      </c>
      <c r="I61" s="294"/>
      <c r="J61" s="293">
        <f>J53</f>
        <v>643.71105951833079</v>
      </c>
      <c r="K61" s="294">
        <v>1</v>
      </c>
      <c r="L61" s="293">
        <f>L53</f>
        <v>563.22490521876512</v>
      </c>
      <c r="M61" s="294">
        <v>1</v>
      </c>
      <c r="N61" s="293">
        <f>N53</f>
        <v>324.62409932505352</v>
      </c>
      <c r="O61" s="294">
        <v>1</v>
      </c>
      <c r="P61" s="293">
        <f>P53</f>
        <v>242.84398367409807</v>
      </c>
      <c r="Q61" s="294">
        <v>1</v>
      </c>
      <c r="R61" s="389">
        <f>R53</f>
        <v>139.47535174596575</v>
      </c>
      <c r="S61" s="390">
        <f>R61/R61</f>
        <v>1</v>
      </c>
    </row>
    <row r="62" spans="2:20" x14ac:dyDescent="0.4">
      <c r="B62" s="33" t="s">
        <v>163</v>
      </c>
      <c r="C62" s="343"/>
      <c r="D62" s="168">
        <f>E62*$D$52</f>
        <v>357.32467767552151</v>
      </c>
      <c r="E62" s="122">
        <v>0.58643438981969243</v>
      </c>
      <c r="F62" s="168">
        <f>G62*F$52</f>
        <v>385.9459490891378</v>
      </c>
      <c r="G62" s="122">
        <v>0.58643438981969243</v>
      </c>
      <c r="H62" s="168">
        <f>H61*I$62</f>
        <v>377.40167936233792</v>
      </c>
      <c r="I62" s="122">
        <v>0.58643438981969198</v>
      </c>
      <c r="J62" s="168">
        <f>J61*K$62</f>
        <v>377.49430240882003</v>
      </c>
      <c r="K62" s="122">
        <v>0.58643438981969243</v>
      </c>
      <c r="L62" s="168">
        <f>L61*M$62</f>
        <v>330.29445362322065</v>
      </c>
      <c r="M62" s="122">
        <v>0.58643438981969243</v>
      </c>
      <c r="N62" s="168">
        <f>N61*O$62</f>
        <v>190.37073560845499</v>
      </c>
      <c r="O62" s="122">
        <v>0.58643438981969243</v>
      </c>
      <c r="P62" s="168">
        <f>P61*Q$62</f>
        <v>142.41206338730305</v>
      </c>
      <c r="Q62" s="122">
        <v>0.58643438981969243</v>
      </c>
      <c r="R62" s="378">
        <f>R61*S$62</f>
        <v>81.793142796032399</v>
      </c>
      <c r="S62" s="391">
        <v>0.58643438981969243</v>
      </c>
    </row>
    <row r="63" spans="2:20" x14ac:dyDescent="0.4">
      <c r="B63" s="33" t="s">
        <v>164</v>
      </c>
      <c r="C63" s="343"/>
      <c r="D63" s="168">
        <f t="shared" ref="D63:D67" si="32">E63*$D$52</f>
        <v>31.488845289292914</v>
      </c>
      <c r="E63" s="122">
        <v>5.1678887373465633E-2</v>
      </c>
      <c r="F63" s="168">
        <f t="shared" ref="F63:F67" si="33">G63*F$52</f>
        <v>34.011063439433187</v>
      </c>
      <c r="G63" s="122">
        <v>5.1678887373465633E-2</v>
      </c>
      <c r="H63" s="168">
        <f>H$61*I63</f>
        <v>33.258109041524243</v>
      </c>
      <c r="I63" s="122">
        <v>5.1678887373465633E-2</v>
      </c>
      <c r="J63" s="168">
        <f>J$61*K63</f>
        <v>33.266271345902048</v>
      </c>
      <c r="K63" s="122">
        <v>5.1678887373465633E-2</v>
      </c>
      <c r="L63" s="168">
        <f>L$61*M63</f>
        <v>29.106836442731417</v>
      </c>
      <c r="M63" s="122">
        <v>5.1678887373465633E-2</v>
      </c>
      <c r="N63" s="168">
        <f>N$61*O63</f>
        <v>16.776212267732163</v>
      </c>
      <c r="O63" s="122">
        <v>5.1678887373465633E-2</v>
      </c>
      <c r="P63" s="168">
        <f>P$61*Q63</f>
        <v>12.54990688161744</v>
      </c>
      <c r="Q63" s="122">
        <v>5.1678887373465633E-2</v>
      </c>
      <c r="R63" s="378">
        <f>R$61*S63</f>
        <v>7.2079309942542675</v>
      </c>
      <c r="S63" s="391">
        <v>5.1678887373465633E-2</v>
      </c>
    </row>
    <row r="64" spans="2:20" x14ac:dyDescent="0.4">
      <c r="B64" s="33" t="s">
        <v>165</v>
      </c>
      <c r="C64" s="343"/>
      <c r="D64" s="168">
        <f t="shared" si="32"/>
        <v>101.95539353814489</v>
      </c>
      <c r="E64" s="122">
        <v>0.16732723132171323</v>
      </c>
      <c r="F64" s="168">
        <f t="shared" si="33"/>
        <v>110.12189636554591</v>
      </c>
      <c r="G64" s="122">
        <v>0.16732723132171323</v>
      </c>
      <c r="H64" s="168">
        <f>H$61*I64</f>
        <v>107.68396124122469</v>
      </c>
      <c r="I64" s="122">
        <v>0.16732723132171323</v>
      </c>
      <c r="J64" s="168">
        <f>J$61*K64</f>
        <v>107.71038936036885</v>
      </c>
      <c r="K64" s="122">
        <v>0.16732723132171323</v>
      </c>
      <c r="L64" s="168">
        <f>L$61*M64</f>
        <v>94.242864001690322</v>
      </c>
      <c r="M64" s="122">
        <v>0.16732723132171323</v>
      </c>
      <c r="N64" s="168">
        <f>N$61*O64</f>
        <v>54.318451760366045</v>
      </c>
      <c r="O64" s="122">
        <v>0.16732723132171323</v>
      </c>
      <c r="P64" s="168">
        <f>P$61*Q64</f>
        <v>40.634411431322157</v>
      </c>
      <c r="Q64" s="122">
        <v>0.16732723132171323</v>
      </c>
      <c r="R64" s="378">
        <f>R$61*S64</f>
        <v>23.338024445274531</v>
      </c>
      <c r="S64" s="391">
        <v>0.16732723132171323</v>
      </c>
    </row>
    <row r="65" spans="2:19" x14ac:dyDescent="0.4">
      <c r="B65" s="33" t="s">
        <v>166</v>
      </c>
      <c r="C65" s="343"/>
      <c r="D65" s="168">
        <f t="shared" si="32"/>
        <v>78.052614303232048</v>
      </c>
      <c r="E65" s="122">
        <v>0.12809844968030132</v>
      </c>
      <c r="F65" s="168">
        <f t="shared" si="33"/>
        <v>84.304533630627972</v>
      </c>
      <c r="G65" s="122">
        <v>0.12809844968030132</v>
      </c>
      <c r="H65" s="168">
        <f>H$61*I65</f>
        <v>82.438156547950598</v>
      </c>
      <c r="I65" s="122">
        <v>0.12809844968030132</v>
      </c>
      <c r="J65" s="168">
        <f>J$61*K65</f>
        <v>82.458388766362347</v>
      </c>
      <c r="K65" s="122">
        <v>0.12809844968030132</v>
      </c>
      <c r="L65" s="168">
        <f>L$61*M65</f>
        <v>72.148237179858469</v>
      </c>
      <c r="M65" s="122">
        <v>0.12809844968030132</v>
      </c>
      <c r="N65" s="168">
        <f>N$61*O65</f>
        <v>41.583843852403504</v>
      </c>
      <c r="O65" s="122">
        <v>0.12809844968030132</v>
      </c>
      <c r="P65" s="168">
        <f>P$61*Q65</f>
        <v>31.107937822840366</v>
      </c>
      <c r="Q65" s="122">
        <v>0.12809844968030132</v>
      </c>
      <c r="R65" s="378">
        <f>R$61*S65</f>
        <v>17.86657632727292</v>
      </c>
      <c r="S65" s="391">
        <v>0.12809844968030132</v>
      </c>
    </row>
    <row r="66" spans="2:19" x14ac:dyDescent="0.4">
      <c r="B66" s="33" t="s">
        <v>161</v>
      </c>
      <c r="C66" s="343"/>
      <c r="D66" s="168">
        <f t="shared" si="32"/>
        <v>32.500956112126033</v>
      </c>
      <c r="E66" s="122">
        <v>5.3339944193495914E-2</v>
      </c>
      <c r="F66" s="168">
        <f t="shared" si="33"/>
        <v>35.104243106291882</v>
      </c>
      <c r="G66" s="122">
        <v>5.3339944193495914E-2</v>
      </c>
      <c r="H66" s="168">
        <f>H$61*I66</f>
        <v>34.327087335222942</v>
      </c>
      <c r="I66" s="122">
        <v>5.3339944193495914E-2</v>
      </c>
      <c r="J66" s="168">
        <f>J$61*K66</f>
        <v>34.335511991443887</v>
      </c>
      <c r="K66" s="122">
        <v>5.3339944193495914E-2</v>
      </c>
      <c r="L66" s="168">
        <f>L$61*M66</f>
        <v>30.042385012755958</v>
      </c>
      <c r="M66" s="122">
        <v>5.3339944193495914E-2</v>
      </c>
      <c r="N66" s="168">
        <f>N$61*O66</f>
        <v>17.315431341862229</v>
      </c>
      <c r="O66" s="122">
        <v>5.3339944193495914E-2</v>
      </c>
      <c r="P66" s="168">
        <f>P$61*Q66</f>
        <v>12.953284536902624</v>
      </c>
      <c r="Q66" s="122">
        <v>5.3339944193495914E-2</v>
      </c>
      <c r="R66" s="378">
        <f>R$61*S66</f>
        <v>7.4396074784980257</v>
      </c>
      <c r="S66" s="391">
        <v>5.3339944193495914E-2</v>
      </c>
    </row>
    <row r="67" spans="2:19" ht="15.6" thickBot="1" x14ac:dyDescent="0.45">
      <c r="B67" s="33" t="s">
        <v>16</v>
      </c>
      <c r="C67" s="343"/>
      <c r="D67" s="168">
        <f t="shared" si="32"/>
        <v>7.9949130816827054</v>
      </c>
      <c r="E67" s="122">
        <v>1.3121097611331473E-2</v>
      </c>
      <c r="F67" s="168">
        <f t="shared" si="33"/>
        <v>8.6352958806756774</v>
      </c>
      <c r="G67" s="122">
        <v>1.3121097611331473E-2</v>
      </c>
      <c r="H67" s="168">
        <f>H$61*I67</f>
        <v>8.4441232635013126</v>
      </c>
      <c r="I67" s="122">
        <v>1.3121097611331473E-2</v>
      </c>
      <c r="J67" s="168">
        <f>J$61*K67</f>
        <v>8.4461956454336224</v>
      </c>
      <c r="K67" s="122">
        <v>1.3121097611331473E-2</v>
      </c>
      <c r="L67" s="168">
        <f>L$61*M67</f>
        <v>7.3901289585083347</v>
      </c>
      <c r="M67" s="122">
        <v>1.3121097611331473E-2</v>
      </c>
      <c r="N67" s="168">
        <f>N$61*O67</f>
        <v>4.2594244942345902</v>
      </c>
      <c r="O67" s="122">
        <v>1.3121097611331473E-2</v>
      </c>
      <c r="P67" s="168">
        <f>P$61*Q67</f>
        <v>3.1863796141124276</v>
      </c>
      <c r="Q67" s="122">
        <v>1.3121097611331473E-2</v>
      </c>
      <c r="R67" s="378">
        <f>R$61*S67</f>
        <v>1.8300697046336083</v>
      </c>
      <c r="S67" s="391">
        <v>1.3121097611331473E-2</v>
      </c>
    </row>
    <row r="68" spans="2:19" x14ac:dyDescent="0.4">
      <c r="B68" s="339"/>
      <c r="C68" s="246" t="s">
        <v>148</v>
      </c>
      <c r="D68" s="249"/>
      <c r="E68" s="249"/>
      <c r="F68" s="250"/>
      <c r="G68" s="250"/>
      <c r="H68" s="248">
        <f>H54</f>
        <v>65.230528034350073</v>
      </c>
      <c r="I68" s="247">
        <v>1</v>
      </c>
      <c r="J68" s="248">
        <f>J54</f>
        <v>117.67253991499953</v>
      </c>
      <c r="K68" s="247">
        <v>1</v>
      </c>
      <c r="L68" s="248">
        <f>L54</f>
        <v>254.49638795089936</v>
      </c>
      <c r="M68" s="247">
        <v>1</v>
      </c>
      <c r="N68" s="248">
        <f>N54</f>
        <v>549.93614898758028</v>
      </c>
      <c r="O68" s="247">
        <v>1</v>
      </c>
      <c r="P68" s="248">
        <f>P54</f>
        <v>692.63596190622866</v>
      </c>
      <c r="Q68" s="247">
        <v>1</v>
      </c>
      <c r="R68" s="248">
        <f>R54</f>
        <v>853.90140698386335</v>
      </c>
      <c r="S68" s="340">
        <v>1</v>
      </c>
    </row>
    <row r="69" spans="2:19" x14ac:dyDescent="0.4">
      <c r="B69" s="33" t="s">
        <v>163</v>
      </c>
      <c r="C69" s="343"/>
      <c r="D69" s="251"/>
      <c r="E69" s="251"/>
      <c r="F69" s="252"/>
      <c r="G69" s="252"/>
      <c r="H69" s="168">
        <f>H$68*I69</f>
        <v>38.253424905440426</v>
      </c>
      <c r="I69" s="122">
        <v>0.58643438981969243</v>
      </c>
      <c r="J69" s="168">
        <f t="shared" ref="J69:J74" si="34">J$68*K69</f>
        <v>69.007224143586157</v>
      </c>
      <c r="K69" s="122">
        <v>0.58643438981969243</v>
      </c>
      <c r="L69" s="168">
        <f t="shared" ref="L69:L74" si="35">L$68*M69</f>
        <v>149.2454339793014</v>
      </c>
      <c r="M69" s="122">
        <v>0.58643438981969243</v>
      </c>
      <c r="N69" s="168">
        <f t="shared" ref="N69:N74" si="36">N$68*O69</f>
        <v>322.5014699713231</v>
      </c>
      <c r="O69" s="122">
        <v>0.58643438981969243</v>
      </c>
      <c r="P69" s="168">
        <f t="shared" ref="P69:P74" si="37">P$68*Q69</f>
        <v>406.18554768765495</v>
      </c>
      <c r="Q69" s="122">
        <v>0.58643438981969243</v>
      </c>
      <c r="R69" s="168">
        <f t="shared" ref="R69:R74" si="38">R$68*S69</f>
        <v>500.75715057075877</v>
      </c>
      <c r="S69" s="68">
        <v>0.58643438981969243</v>
      </c>
    </row>
    <row r="70" spans="2:19" x14ac:dyDescent="0.4">
      <c r="B70" s="33" t="s">
        <v>164</v>
      </c>
      <c r="C70" s="343"/>
      <c r="D70" s="251"/>
      <c r="E70" s="251"/>
      <c r="F70" s="252"/>
      <c r="G70" s="252"/>
      <c r="H70" s="168">
        <f>H$68*I70</f>
        <v>3.3710411115988701</v>
      </c>
      <c r="I70" s="122">
        <v>5.1678887373465633E-2</v>
      </c>
      <c r="J70" s="168">
        <f t="shared" si="34"/>
        <v>6.0811859372169002</v>
      </c>
      <c r="K70" s="122">
        <v>5.1678887373465633E-2</v>
      </c>
      <c r="L70" s="168">
        <f t="shared" si="35"/>
        <v>13.152090169868345</v>
      </c>
      <c r="M70" s="122">
        <v>5.1678887373465633E-2</v>
      </c>
      <c r="N70" s="168">
        <f t="shared" si="36"/>
        <v>28.420088306126576</v>
      </c>
      <c r="O70" s="122">
        <v>5.1678887373465633E-2</v>
      </c>
      <c r="P70" s="168">
        <f t="shared" si="37"/>
        <v>35.794655866164021</v>
      </c>
      <c r="Q70" s="122">
        <v>5.1678887373465633E-2</v>
      </c>
      <c r="R70" s="168">
        <f t="shared" si="38"/>
        <v>44.128674639562917</v>
      </c>
      <c r="S70" s="68">
        <v>5.1678887373465633E-2</v>
      </c>
    </row>
    <row r="71" spans="2:19" x14ac:dyDescent="0.4">
      <c r="B71" s="33" t="s">
        <v>165</v>
      </c>
      <c r="C71" s="343"/>
      <c r="D71" s="251"/>
      <c r="E71" s="251"/>
      <c r="F71" s="252"/>
      <c r="G71" s="252"/>
      <c r="H71" s="168">
        <f>H$68*I71</f>
        <v>10.914843653641194</v>
      </c>
      <c r="I71" s="122">
        <v>0.16732723132171323</v>
      </c>
      <c r="J71" s="168">
        <f t="shared" si="34"/>
        <v>19.68982030657066</v>
      </c>
      <c r="K71" s="122">
        <v>0.16732723132171323</v>
      </c>
      <c r="L71" s="168">
        <f t="shared" si="35"/>
        <v>42.584175977200609</v>
      </c>
      <c r="M71" s="122">
        <v>0.16732723132171323</v>
      </c>
      <c r="N71" s="168">
        <f t="shared" si="36"/>
        <v>92.019293213816994</v>
      </c>
      <c r="O71" s="122">
        <v>0.16732723132171323</v>
      </c>
      <c r="P71" s="168">
        <f t="shared" si="37"/>
        <v>115.89685781962088</v>
      </c>
      <c r="Q71" s="122">
        <v>0.16732723132171323</v>
      </c>
      <c r="R71" s="168">
        <f t="shared" si="38"/>
        <v>142.88095825232529</v>
      </c>
      <c r="S71" s="68">
        <v>0.16732723132171323</v>
      </c>
    </row>
    <row r="72" spans="2:19" x14ac:dyDescent="0.4">
      <c r="B72" s="33" t="s">
        <v>166</v>
      </c>
      <c r="C72" s="343"/>
      <c r="D72" s="251"/>
      <c r="E72" s="251"/>
      <c r="F72" s="252"/>
      <c r="G72" s="252"/>
      <c r="H72" s="168">
        <f>H$68*I72</f>
        <v>8.3559295130276769</v>
      </c>
      <c r="I72" s="122">
        <v>0.12809844968030132</v>
      </c>
      <c r="J72" s="168">
        <f t="shared" si="34"/>
        <v>15.073669933054816</v>
      </c>
      <c r="K72" s="122">
        <v>0.12809844968030132</v>
      </c>
      <c r="L72" s="168">
        <f t="shared" si="35"/>
        <v>32.600592745746724</v>
      </c>
      <c r="M72" s="122">
        <v>0.12809844968030132</v>
      </c>
      <c r="N72" s="168">
        <f t="shared" si="36"/>
        <v>70.445968108464243</v>
      </c>
      <c r="O72" s="122">
        <v>0.12809844968030132</v>
      </c>
      <c r="P72" s="168">
        <f t="shared" si="37"/>
        <v>88.725592913012136</v>
      </c>
      <c r="Q72" s="122">
        <v>0.12809844968030132</v>
      </c>
      <c r="R72" s="168">
        <f t="shared" si="38"/>
        <v>109.38344641446092</v>
      </c>
      <c r="S72" s="68">
        <v>0.12809844968030132</v>
      </c>
    </row>
    <row r="73" spans="2:19" x14ac:dyDescent="0.4">
      <c r="B73" s="33" t="s">
        <v>161</v>
      </c>
      <c r="C73" s="343"/>
      <c r="D73" s="251"/>
      <c r="E73" s="251"/>
      <c r="F73" s="252"/>
      <c r="G73" s="252"/>
      <c r="H73" s="168">
        <f t="shared" ref="H73:H74" si="39">H$68*I73</f>
        <v>3.4793927250645038</v>
      </c>
      <c r="I73" s="122">
        <v>5.3339944193495914E-2</v>
      </c>
      <c r="J73" s="168">
        <f t="shared" si="34"/>
        <v>6.2766467121729956</v>
      </c>
      <c r="K73" s="122">
        <v>5.3339944193495914E-2</v>
      </c>
      <c r="L73" s="168">
        <f t="shared" si="35"/>
        <v>13.574823130747259</v>
      </c>
      <c r="M73" s="122">
        <v>5.3339944193495914E-2</v>
      </c>
      <c r="N73" s="168">
        <f t="shared" si="36"/>
        <v>29.333563496983587</v>
      </c>
      <c r="O73" s="122">
        <v>5.3339944193495914E-2</v>
      </c>
      <c r="P73" s="168">
        <f t="shared" si="37"/>
        <v>36.945163554486598</v>
      </c>
      <c r="Q73" s="122">
        <v>5.3339944193495914E-2</v>
      </c>
      <c r="R73" s="168">
        <f t="shared" si="38"/>
        <v>45.547053395266914</v>
      </c>
      <c r="S73" s="68">
        <v>5.3339944193495914E-2</v>
      </c>
    </row>
    <row r="74" spans="2:19" x14ac:dyDescent="0.4">
      <c r="B74" s="35" t="s">
        <v>16</v>
      </c>
      <c r="C74" s="344"/>
      <c r="D74" s="341"/>
      <c r="E74" s="341"/>
      <c r="F74" s="342"/>
      <c r="G74" s="342"/>
      <c r="H74" s="114">
        <f t="shared" si="39"/>
        <v>0.85589612557740147</v>
      </c>
      <c r="I74" s="289">
        <v>1.3121097611331473E-2</v>
      </c>
      <c r="J74" s="114">
        <f t="shared" si="34"/>
        <v>1.5439928823980078</v>
      </c>
      <c r="K74" s="289">
        <v>1.3121097611331473E-2</v>
      </c>
      <c r="L74" s="114">
        <f t="shared" si="35"/>
        <v>3.3392719480350337</v>
      </c>
      <c r="M74" s="289">
        <v>1.3121097611331473E-2</v>
      </c>
      <c r="N74" s="114">
        <f t="shared" si="36"/>
        <v>7.2157658908657689</v>
      </c>
      <c r="O74" s="289">
        <v>1.3121097611331473E-2</v>
      </c>
      <c r="P74" s="114">
        <f t="shared" si="37"/>
        <v>9.0881440652900949</v>
      </c>
      <c r="Q74" s="289">
        <v>1.3121097611331473E-2</v>
      </c>
      <c r="R74" s="114">
        <f t="shared" si="38"/>
        <v>11.204123711488554</v>
      </c>
      <c r="S74" s="117">
        <v>1.3121097611331473E-2</v>
      </c>
    </row>
  </sheetData>
  <mergeCells count="40">
    <mergeCell ref="N2:N3"/>
    <mergeCell ref="D2:D3"/>
    <mergeCell ref="F2:F3"/>
    <mergeCell ref="H2:H3"/>
    <mergeCell ref="J2:J3"/>
    <mergeCell ref="L2:L3"/>
    <mergeCell ref="J15:J16"/>
    <mergeCell ref="L15:L16"/>
    <mergeCell ref="N15:N16"/>
    <mergeCell ref="P15:P16"/>
    <mergeCell ref="R15:R16"/>
    <mergeCell ref="L50:L51"/>
    <mergeCell ref="N50:N51"/>
    <mergeCell ref="P50:P51"/>
    <mergeCell ref="R50:R51"/>
    <mergeCell ref="B2:C3"/>
    <mergeCell ref="B15:C16"/>
    <mergeCell ref="D50:D51"/>
    <mergeCell ref="F50:F51"/>
    <mergeCell ref="H50:H51"/>
    <mergeCell ref="J50:J51"/>
    <mergeCell ref="B29:C29"/>
    <mergeCell ref="P2:P3"/>
    <mergeCell ref="R2:R3"/>
    <mergeCell ref="D15:D16"/>
    <mergeCell ref="F15:F16"/>
    <mergeCell ref="H15:H16"/>
    <mergeCell ref="N26:N27"/>
    <mergeCell ref="P26:P27"/>
    <mergeCell ref="R26:R27"/>
    <mergeCell ref="D26:D27"/>
    <mergeCell ref="F26:F27"/>
    <mergeCell ref="H26:H27"/>
    <mergeCell ref="J26:J27"/>
    <mergeCell ref="L26:L27"/>
    <mergeCell ref="B43:C43"/>
    <mergeCell ref="B50:C51"/>
    <mergeCell ref="B39:C39"/>
    <mergeCell ref="B33:C33"/>
    <mergeCell ref="B40:C40"/>
  </mergeCells>
  <phoneticPr fontId="2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E1D0B-EE4D-4C98-B1A7-09AC5D267A81}">
  <dimension ref="A1:AU76"/>
  <sheetViews>
    <sheetView topLeftCell="A61" workbookViewId="0"/>
  </sheetViews>
  <sheetFormatPr defaultRowHeight="15" x14ac:dyDescent="0.4"/>
  <cols>
    <col min="1" max="1" width="15.5" bestFit="1" customWidth="1"/>
    <col min="2" max="2" width="12.625" customWidth="1"/>
    <col min="3" max="3" width="17.125" style="1" bestFit="1" customWidth="1"/>
    <col min="4" max="4" width="17.125" style="1" customWidth="1"/>
    <col min="5" max="5" width="9.375" style="4" customWidth="1"/>
    <col min="6" max="6" width="8.75" style="4"/>
    <col min="7" max="7" width="7.25" style="4" customWidth="1"/>
    <col min="8" max="8" width="10.375" style="4" bestFit="1" customWidth="1"/>
    <col min="9" max="9" width="8.25" style="4" bestFit="1" customWidth="1"/>
    <col min="10" max="10" width="12.375" style="4" bestFit="1" customWidth="1"/>
    <col min="11" max="11" width="8.75" style="4"/>
    <col min="12" max="12" width="8.75" style="272"/>
    <col min="13" max="16" width="8.75" style="4"/>
    <col min="17" max="17" width="8.75" style="4" hidden="1" customWidth="1"/>
    <col min="18" max="19" width="8.75" style="4"/>
    <col min="20" max="20" width="9.375" style="4" customWidth="1"/>
  </cols>
  <sheetData>
    <row r="1" spans="1:47" x14ac:dyDescent="0.4">
      <c r="G1" s="4" t="s">
        <v>42</v>
      </c>
      <c r="L1" s="272" t="s">
        <v>64</v>
      </c>
      <c r="R1" s="272" t="s">
        <v>19</v>
      </c>
      <c r="U1" s="4"/>
      <c r="V1" s="4"/>
      <c r="W1" s="272" t="s">
        <v>32</v>
      </c>
      <c r="X1" s="4"/>
      <c r="Y1" s="4"/>
      <c r="Z1" s="4"/>
      <c r="AA1" s="4"/>
      <c r="AB1" s="272" t="s">
        <v>172</v>
      </c>
      <c r="AC1" s="4"/>
      <c r="AD1" s="4"/>
      <c r="AE1" s="4"/>
      <c r="AF1" s="4"/>
      <c r="AG1" s="272" t="s">
        <v>173</v>
      </c>
      <c r="AH1" s="4"/>
      <c r="AI1" s="4"/>
      <c r="AJ1" s="4"/>
      <c r="AK1" s="4"/>
      <c r="AL1" s="272" t="s">
        <v>174</v>
      </c>
      <c r="AM1" s="4"/>
      <c r="AN1" s="4"/>
      <c r="AO1" s="4"/>
      <c r="AP1" s="4"/>
      <c r="AQ1" s="272" t="s">
        <v>43</v>
      </c>
      <c r="AR1" s="4"/>
      <c r="AS1" s="4"/>
      <c r="AT1" s="4"/>
      <c r="AU1" s="4"/>
    </row>
    <row r="2" spans="1:47" ht="18" customHeight="1" x14ac:dyDescent="0.4">
      <c r="C2" s="2" t="s">
        <v>4</v>
      </c>
      <c r="D2" s="2" t="s">
        <v>168</v>
      </c>
      <c r="G2" s="4">
        <f>機器台数2!D29</f>
        <v>298.56552599999998</v>
      </c>
      <c r="H2" s="4" t="s">
        <v>169</v>
      </c>
      <c r="I2" s="4" t="s">
        <v>170</v>
      </c>
      <c r="J2" s="4" t="s">
        <v>171</v>
      </c>
      <c r="K2" s="4" t="s">
        <v>84</v>
      </c>
      <c r="L2" s="272">
        <f>機器台数2!F29</f>
        <v>307.61941942273262</v>
      </c>
      <c r="M2" s="4" t="s">
        <v>169</v>
      </c>
      <c r="N2" s="4" t="s">
        <v>170</v>
      </c>
      <c r="O2" s="4" t="s">
        <v>171</v>
      </c>
      <c r="P2" s="4" t="s">
        <v>84</v>
      </c>
      <c r="R2" s="272">
        <f>機器台数2!H29</f>
        <v>287.18557836832372</v>
      </c>
      <c r="S2" s="4" t="s">
        <v>169</v>
      </c>
      <c r="T2" s="4" t="s">
        <v>170</v>
      </c>
      <c r="U2" s="4" t="s">
        <v>171</v>
      </c>
      <c r="V2" s="4" t="s">
        <v>84</v>
      </c>
      <c r="W2" s="272">
        <f>機器台数2!J29</f>
        <v>274.45498810372453</v>
      </c>
      <c r="X2" s="4" t="s">
        <v>169</v>
      </c>
      <c r="Y2" s="4" t="s">
        <v>170</v>
      </c>
      <c r="Z2" s="4" t="s">
        <v>171</v>
      </c>
      <c r="AA2" s="4" t="s">
        <v>84</v>
      </c>
      <c r="AB2" s="272">
        <f>機器台数2!L29</f>
        <v>229.59697606859066</v>
      </c>
      <c r="AC2" s="4" t="s">
        <v>169</v>
      </c>
      <c r="AD2" s="4" t="s">
        <v>170</v>
      </c>
      <c r="AE2" s="4" t="s">
        <v>171</v>
      </c>
      <c r="AF2" s="4" t="s">
        <v>84</v>
      </c>
      <c r="AG2" s="272">
        <f>機器台数2!N29</f>
        <v>126.6033987367708</v>
      </c>
      <c r="AH2" s="4" t="s">
        <v>169</v>
      </c>
      <c r="AI2" s="4" t="s">
        <v>170</v>
      </c>
      <c r="AJ2" s="4" t="s">
        <v>171</v>
      </c>
      <c r="AK2" s="4" t="s">
        <v>84</v>
      </c>
      <c r="AL2" s="272">
        <f>機器台数2!S29</f>
        <v>0.21</v>
      </c>
      <c r="AM2" s="4" t="s">
        <v>169</v>
      </c>
      <c r="AN2" s="4" t="s">
        <v>170</v>
      </c>
      <c r="AO2" s="4" t="s">
        <v>171</v>
      </c>
      <c r="AP2" s="4" t="s">
        <v>84</v>
      </c>
      <c r="AQ2" s="272">
        <f>機器台数2!X29</f>
        <v>0</v>
      </c>
      <c r="AR2" s="4" t="s">
        <v>169</v>
      </c>
      <c r="AS2" s="4" t="s">
        <v>170</v>
      </c>
      <c r="AT2" s="4" t="s">
        <v>171</v>
      </c>
      <c r="AU2" s="4" t="s">
        <v>84</v>
      </c>
    </row>
    <row r="3" spans="1:47" x14ac:dyDescent="0.4">
      <c r="B3" t="s">
        <v>2</v>
      </c>
      <c r="C3" s="3" t="s">
        <v>8</v>
      </c>
      <c r="D3" s="3" t="s">
        <v>8</v>
      </c>
      <c r="F3" s="4" t="s">
        <v>21</v>
      </c>
      <c r="G3" s="4">
        <v>0</v>
      </c>
      <c r="H3" s="4">
        <f>G2*(1-G$3)</f>
        <v>298.56552599999998</v>
      </c>
      <c r="I3" s="4">
        <f>G2*G$3</f>
        <v>0</v>
      </c>
      <c r="J3" s="4">
        <f>SUM(J4:J10)</f>
        <v>735.07861521362065</v>
      </c>
      <c r="K3" s="4">
        <f>SUM(K4:K10)</f>
        <v>0</v>
      </c>
      <c r="L3" s="272">
        <v>0</v>
      </c>
      <c r="M3" s="4">
        <f>L2*(1-L$3)</f>
        <v>307.61941942273262</v>
      </c>
      <c r="N3" s="4">
        <f>L2*L$3</f>
        <v>0</v>
      </c>
      <c r="O3" s="4">
        <f>SUM(O4:O10)</f>
        <v>757.36961286709413</v>
      </c>
      <c r="P3" s="4">
        <f>SUM(P4:P10)</f>
        <v>0</v>
      </c>
      <c r="Q3" s="4" t="s">
        <v>21</v>
      </c>
      <c r="R3" s="272"/>
      <c r="S3" s="4">
        <f>R2*(1-R$3)</f>
        <v>287.18557836832372</v>
      </c>
      <c r="T3" s="4">
        <f>機器台数2!H39</f>
        <v>29.109123135328719</v>
      </c>
      <c r="U3" s="4">
        <f>SUM(U4:U10)</f>
        <v>707.06079192917321</v>
      </c>
      <c r="V3" s="4">
        <f>SUM(V4:V10)</f>
        <v>60.917514756007606</v>
      </c>
      <c r="W3" s="272">
        <v>0</v>
      </c>
      <c r="X3" s="4">
        <f>W2*(1-W$3)</f>
        <v>274.45498810372453</v>
      </c>
      <c r="Y3" s="4">
        <f>機器台数2!J39</f>
        <v>50.171292018304321</v>
      </c>
      <c r="Z3" s="4">
        <f>SUM(Z4:Z10)</f>
        <v>675.7176399319344</v>
      </c>
      <c r="AA3" s="4">
        <f>SUM(AA4:AA10)</f>
        <v>104.99493260735443</v>
      </c>
      <c r="AB3" s="6">
        <f>機器台数2!L13</f>
        <v>1.0495702746299964</v>
      </c>
      <c r="AC3" s="4">
        <f>機器台数2!L29</f>
        <v>229.59697606859066</v>
      </c>
      <c r="AD3" s="4">
        <f>機器台数2!L39</f>
        <v>103.74470402939599</v>
      </c>
      <c r="AE3" s="4">
        <f>SUM(AE4:AE10)</f>
        <v>565.27566824890039</v>
      </c>
      <c r="AF3" s="4">
        <f>SUM(AF4:AF10)</f>
        <v>217.10958139093404</v>
      </c>
      <c r="AG3" s="6">
        <f>機器台数2!N13</f>
        <v>1.0495702746299964</v>
      </c>
      <c r="AH3" s="4">
        <f>機器台数2!N29</f>
        <v>126.6033987367708</v>
      </c>
      <c r="AI3" s="4">
        <f>機器台数2!N39</f>
        <v>214.47509810515621</v>
      </c>
      <c r="AJ3" s="4">
        <f>SUM(AJ4:AJ10)</f>
        <v>311.70193113575795</v>
      </c>
      <c r="AK3" s="4">
        <f>SUM(AK4:AK10)</f>
        <v>448.83832099223042</v>
      </c>
      <c r="AL3" s="6">
        <f>機器台数2!S13</f>
        <v>0</v>
      </c>
      <c r="AM3" s="4">
        <f>機器台数2!P29</f>
        <v>90.661753904996559</v>
      </c>
      <c r="AN3" s="4">
        <f>機器台数2!P39</f>
        <v>258.58409244499188</v>
      </c>
      <c r="AO3" s="4">
        <f>SUM(AO4:AO10)</f>
        <v>223.21236281419493</v>
      </c>
      <c r="AP3" s="4">
        <f>SUM(AP4:AP10)</f>
        <v>541.14650564889791</v>
      </c>
      <c r="AQ3" s="6">
        <f>機器台数2!X13</f>
        <v>0</v>
      </c>
      <c r="AR3" s="4">
        <f>機器台数2!R29</f>
        <v>49.871862259435837</v>
      </c>
      <c r="AS3" s="4">
        <f>機器台数2!R39</f>
        <v>305.32744903774335</v>
      </c>
      <c r="AT3" s="4">
        <f>SUM(AT4:AT10)</f>
        <v>122.78624373997729</v>
      </c>
      <c r="AU3" s="4">
        <f>SUM(AU4:AU10)</f>
        <v>638.96769736759893</v>
      </c>
    </row>
    <row r="4" spans="1:47" x14ac:dyDescent="0.4">
      <c r="A4" t="s">
        <v>0</v>
      </c>
      <c r="B4">
        <v>1.5</v>
      </c>
      <c r="C4" s="1">
        <v>2.1</v>
      </c>
      <c r="D4" s="1">
        <f>C4*0.85</f>
        <v>1.7849999999999999</v>
      </c>
      <c r="E4" s="4">
        <v>39305</v>
      </c>
      <c r="F4" s="6">
        <v>0.12088750280650926</v>
      </c>
      <c r="H4" s="4">
        <f>F4*H$3</f>
        <v>36.092840862251911</v>
      </c>
      <c r="I4" s="4">
        <f>$F4*I$3</f>
        <v>0</v>
      </c>
      <c r="J4" s="267">
        <f>C4*H4</f>
        <v>75.794965810729011</v>
      </c>
      <c r="K4" s="267">
        <f>D4*I4</f>
        <v>0</v>
      </c>
      <c r="L4" s="273"/>
      <c r="M4" s="4">
        <f>F$4*M$3</f>
        <v>37.187343428802336</v>
      </c>
      <c r="N4" s="4">
        <f>$F4*N$3</f>
        <v>0</v>
      </c>
      <c r="O4" s="4">
        <f>C$4*M$4</f>
        <v>78.093421200484912</v>
      </c>
      <c r="P4" s="267">
        <f>D$4*N$4</f>
        <v>0</v>
      </c>
      <c r="Q4" s="6">
        <f t="shared" ref="Q4:Q10" si="0">E4/$A$6</f>
        <v>0.12088750280650926</v>
      </c>
      <c r="R4" s="273">
        <f>SUM(S4:S10)</f>
        <v>287.18557836832372</v>
      </c>
      <c r="S4" s="4">
        <f>$F4*S$3</f>
        <v>34.717147410989718</v>
      </c>
      <c r="T4" s="4">
        <f>$F4*T$3</f>
        <v>3.5189292047170739</v>
      </c>
      <c r="U4" s="4">
        <f>$C4*S4</f>
        <v>72.906009563078413</v>
      </c>
      <c r="V4" s="4">
        <f>$D4*T4</f>
        <v>6.2812886304199766</v>
      </c>
      <c r="W4" s="273">
        <f>SUM(X4:X10)</f>
        <v>274.45498810372453</v>
      </c>
      <c r="X4" s="4">
        <f>$F4*X$3</f>
        <v>33.178178144649465</v>
      </c>
      <c r="Y4" s="4">
        <f>$F4*Y$3</f>
        <v>6.0650822046689594</v>
      </c>
      <c r="Z4" s="4">
        <f>$C4*X4</f>
        <v>69.674174103763875</v>
      </c>
      <c r="AA4" s="4">
        <f>$D4*Y4</f>
        <v>10.826171735334093</v>
      </c>
      <c r="AB4" s="273">
        <f>SUM(AC4:AC10)</f>
        <v>229.59697606859064</v>
      </c>
      <c r="AC4" s="4">
        <f>$F4*AC$3</f>
        <v>27.755405088857792</v>
      </c>
      <c r="AD4" s="4">
        <f>$F4*AD$3</f>
        <v>12.541438199514079</v>
      </c>
      <c r="AE4" s="4">
        <f>$C4*AC4</f>
        <v>58.286350686601367</v>
      </c>
      <c r="AF4" s="4">
        <f>$D4*AD4</f>
        <v>22.386467186132631</v>
      </c>
      <c r="AG4" s="273">
        <f>SUM(AH4:AH10)</f>
        <v>126.60339873677079</v>
      </c>
      <c r="AH4" s="4">
        <f>$F4*AH$3</f>
        <v>15.30476872010499</v>
      </c>
      <c r="AI4" s="4">
        <f>$F4*AI$3</f>
        <v>25.927359024113418</v>
      </c>
      <c r="AJ4" s="4">
        <f>$C4*AH4</f>
        <v>32.14001431222048</v>
      </c>
      <c r="AK4" s="4">
        <f>$D4*AI4</f>
        <v>46.280335858042449</v>
      </c>
      <c r="AL4" s="273">
        <f>SUM(AM4:AM10)</f>
        <v>90.661753904996559</v>
      </c>
      <c r="AM4" s="4">
        <f>$F4*AM$3</f>
        <v>10.959873029633323</v>
      </c>
      <c r="AN4" s="4">
        <f>$F4*AN$3</f>
        <v>31.259585201162604</v>
      </c>
      <c r="AO4" s="4">
        <f>$C4*AM4</f>
        <v>23.01573336222998</v>
      </c>
      <c r="AP4" s="4">
        <f>$D4*AN4</f>
        <v>55.798359584075243</v>
      </c>
      <c r="AQ4" s="273">
        <f>SUM(AR4:AR10)</f>
        <v>49.871862259435837</v>
      </c>
      <c r="AR4" s="4">
        <f>$F4*AR$3</f>
        <v>6.0288848888533924</v>
      </c>
      <c r="AS4" s="4">
        <f>$F4*AS$3</f>
        <v>36.910272852454511</v>
      </c>
      <c r="AT4" s="4">
        <f>$C4*AR4</f>
        <v>12.660658266592124</v>
      </c>
      <c r="AU4" s="4">
        <f>$D4*AS4</f>
        <v>65.8848370416313</v>
      </c>
    </row>
    <row r="5" spans="1:47" x14ac:dyDescent="0.4">
      <c r="A5" t="s">
        <v>1</v>
      </c>
      <c r="B5">
        <v>2</v>
      </c>
      <c r="C5" s="1">
        <v>2.1</v>
      </c>
      <c r="D5" s="1">
        <f t="shared" ref="D5:D75" si="1">C5*0.85</f>
        <v>1.7849999999999999</v>
      </c>
      <c r="E5" s="4">
        <v>92478</v>
      </c>
      <c r="F5" s="6">
        <v>0.28442779505254706</v>
      </c>
      <c r="H5" s="4">
        <f t="shared" ref="H5:H10" si="2">F5*H$3</f>
        <v>84.92033423888391</v>
      </c>
      <c r="I5" s="4">
        <f>$F5*I$3</f>
        <v>0</v>
      </c>
      <c r="J5" s="267">
        <f t="shared" ref="J5:J10" si="3">C5*H5</f>
        <v>178.33270190165621</v>
      </c>
      <c r="K5" s="267">
        <f t="shared" ref="K5:K68" si="4">D5*I5</f>
        <v>0</v>
      </c>
      <c r="L5" s="273"/>
      <c r="M5" s="4">
        <f>$F5*M$3</f>
        <v>87.495513181752514</v>
      </c>
      <c r="N5" s="4">
        <f>$F5*N$3</f>
        <v>0</v>
      </c>
      <c r="O5" s="4">
        <f>$C5*$M5</f>
        <v>183.74057768168029</v>
      </c>
      <c r="P5" s="267">
        <f>$D5*$N5</f>
        <v>0</v>
      </c>
      <c r="Q5" s="6">
        <f t="shared" si="0"/>
        <v>0.28442779505254706</v>
      </c>
      <c r="R5" s="273">
        <f>SUM(S4:S10)</f>
        <v>287.18557836832372</v>
      </c>
      <c r="S5" s="4">
        <f>$F5*S$3</f>
        <v>81.683560826192775</v>
      </c>
      <c r="T5" s="4">
        <f>$F5*T$3</f>
        <v>8.2794437092946325</v>
      </c>
      <c r="U5" s="4">
        <f t="shared" ref="U5:U10" si="5">$C5*S5</f>
        <v>171.53547773500483</v>
      </c>
      <c r="V5" s="267">
        <f t="shared" ref="V5:V10" si="6">$D5*T5</f>
        <v>14.778807021090918</v>
      </c>
      <c r="W5" s="273">
        <f>SUM(X4:X10)</f>
        <v>274.45498810372453</v>
      </c>
      <c r="X5" s="4">
        <f>$F5*X$3</f>
        <v>78.062627107515397</v>
      </c>
      <c r="Y5" s="4">
        <f>$F5*Y$3</f>
        <v>14.270109963703751</v>
      </c>
      <c r="Z5" s="4">
        <f t="shared" ref="Z5:Z10" si="7">$C5*X5</f>
        <v>163.93151692578235</v>
      </c>
      <c r="AA5" s="267">
        <f>$D5*Y5</f>
        <v>25.472146285211196</v>
      </c>
      <c r="AB5" s="273">
        <f>SUM(AC4:AC10)</f>
        <v>229.59697606859064</v>
      </c>
      <c r="AC5" s="4">
        <f>$F5*AC$3</f>
        <v>65.303761653921654</v>
      </c>
      <c r="AD5" s="4">
        <f>$F5*AD$3</f>
        <v>29.507877415460197</v>
      </c>
      <c r="AE5" s="4">
        <f t="shared" ref="AE5:AE10" si="8">$C5*AC5</f>
        <v>137.13789947323548</v>
      </c>
      <c r="AF5" s="267">
        <f>$D5*AD5</f>
        <v>52.671561186596449</v>
      </c>
      <c r="AG5" s="273">
        <f>SUM(AH4:AH10)</f>
        <v>126.60339873677079</v>
      </c>
      <c r="AH5" s="4">
        <f>$F5*AH$3</f>
        <v>36.009525548858143</v>
      </c>
      <c r="AI5" s="4">
        <f>$F5*AI$3</f>
        <v>61.002679247728295</v>
      </c>
      <c r="AJ5" s="4">
        <f t="shared" ref="AJ5:AJ10" si="9">$C5*AH5</f>
        <v>75.620003652602108</v>
      </c>
      <c r="AK5" s="267">
        <f>$D5*AI5</f>
        <v>108.889782457195</v>
      </c>
      <c r="AL5" s="273">
        <f>SUM(AM4:AM10)</f>
        <v>90.661753904996559</v>
      </c>
      <c r="AM5" s="4">
        <f>$F5*AM$3</f>
        <v>25.78672275879482</v>
      </c>
      <c r="AN5" s="4">
        <f>$F5*AN$3</f>
        <v>73.548503249793029</v>
      </c>
      <c r="AO5" s="4">
        <f t="shared" ref="AO5:AO10" si="10">$C5*AM5</f>
        <v>54.152117793469124</v>
      </c>
      <c r="AP5" s="267">
        <f>$D5*AN5</f>
        <v>131.28407830088054</v>
      </c>
      <c r="AQ5" s="273">
        <f>SUM(AR4:AR10)</f>
        <v>49.871862259435837</v>
      </c>
      <c r="AR5" s="4">
        <f>$F5*AR$3</f>
        <v>14.184943817615673</v>
      </c>
      <c r="AS5" s="4">
        <f>$F5*AS$3</f>
        <v>86.843613098824278</v>
      </c>
      <c r="AT5" s="4">
        <f t="shared" ref="AT5:AT10" si="11">$C5*AR5</f>
        <v>29.788382016992916</v>
      </c>
      <c r="AU5" s="267">
        <f>$D5*AS5</f>
        <v>155.01584938140132</v>
      </c>
    </row>
    <row r="6" spans="1:47" x14ac:dyDescent="0.4">
      <c r="A6" s="5">
        <f>SUM(E4:E10)</f>
        <v>325137</v>
      </c>
      <c r="B6">
        <v>2.5</v>
      </c>
      <c r="C6" s="1">
        <v>2.2999999999999998</v>
      </c>
      <c r="D6" s="1">
        <f t="shared" si="1"/>
        <v>1.9549999999999998</v>
      </c>
      <c r="E6" s="4">
        <v>79805</v>
      </c>
      <c r="F6" s="6">
        <v>0.24545037937853889</v>
      </c>
      <c r="H6" s="4">
        <f t="shared" si="2"/>
        <v>73.283021626053014</v>
      </c>
      <c r="I6" s="4">
        <f t="shared" ref="I6:I10" si="12">$F6*I$3</f>
        <v>0</v>
      </c>
      <c r="J6" s="267">
        <f t="shared" si="3"/>
        <v>168.55094973992192</v>
      </c>
      <c r="K6" s="267">
        <f t="shared" si="4"/>
        <v>0</v>
      </c>
      <c r="L6" s="273"/>
      <c r="M6" s="4">
        <f t="shared" ref="M6:N10" si="13">$F6*M$3</f>
        <v>75.505303201515602</v>
      </c>
      <c r="N6" s="4">
        <f t="shared" si="13"/>
        <v>0</v>
      </c>
      <c r="O6" s="4">
        <f t="shared" ref="O6:O10" si="14">$C6*$M6</f>
        <v>173.66219736348586</v>
      </c>
      <c r="P6" s="267">
        <f t="shared" ref="P6:P10" si="15">$D6*$N6</f>
        <v>0</v>
      </c>
      <c r="Q6" s="6">
        <f t="shared" si="0"/>
        <v>0.24545037937853889</v>
      </c>
      <c r="R6" s="273"/>
      <c r="S6" s="4">
        <f t="shared" ref="S6:S10" si="16">$F6*S$3</f>
        <v>70.489809162550173</v>
      </c>
      <c r="T6" s="4">
        <f t="shared" ref="T6:T10" si="17">$F6*T$3</f>
        <v>7.1448453169430373</v>
      </c>
      <c r="U6" s="4">
        <f t="shared" si="5"/>
        <v>162.12656107386539</v>
      </c>
      <c r="V6" s="267">
        <f t="shared" si="6"/>
        <v>13.968172594623637</v>
      </c>
      <c r="W6" s="273"/>
      <c r="X6" s="4">
        <f t="shared" ref="X6:Y10" si="18">$F6*X$3</f>
        <v>67.365080952391565</v>
      </c>
      <c r="Y6" s="4">
        <f t="shared" si="18"/>
        <v>12.314562659804256</v>
      </c>
      <c r="Z6" s="4">
        <f t="shared" si="7"/>
        <v>154.93968619050059</v>
      </c>
      <c r="AA6" s="267">
        <f t="shared" ref="AA6:AA10" si="19">$D6*Y6</f>
        <v>24.074969999917318</v>
      </c>
      <c r="AB6" s="273"/>
      <c r="AC6" s="4">
        <f t="shared" ref="AC6:AD10" si="20">$F6*AC$3</f>
        <v>56.354664880200893</v>
      </c>
      <c r="AD6" s="4">
        <f t="shared" si="20"/>
        <v>25.464176962529478</v>
      </c>
      <c r="AE6" s="4">
        <f t="shared" si="8"/>
        <v>129.61572922446206</v>
      </c>
      <c r="AF6" s="267">
        <f t="shared" ref="AF6:AF10" si="21">$D6*AD6</f>
        <v>49.782465961745125</v>
      </c>
      <c r="AG6" s="273"/>
      <c r="AH6" s="4">
        <f t="shared" ref="AH6:AH10" si="22">$F6*AH$3</f>
        <v>31.074852250552823</v>
      </c>
      <c r="AI6" s="4">
        <f>$F6*AI$3</f>
        <v>52.642994197159936</v>
      </c>
      <c r="AJ6" s="4">
        <f t="shared" si="9"/>
        <v>71.472160176271487</v>
      </c>
      <c r="AK6" s="267">
        <f t="shared" ref="AK6:AK10" si="23">$D6*AI6</f>
        <v>102.91705365544767</v>
      </c>
      <c r="AL6" s="273"/>
      <c r="AM6" s="4">
        <f t="shared" ref="AM6:AM10" si="24">$F6*AM$3</f>
        <v>22.252961891105134</v>
      </c>
      <c r="AN6" s="4">
        <f>$F6*AN$3</f>
        <v>63.469563591878426</v>
      </c>
      <c r="AO6" s="4">
        <f t="shared" si="10"/>
        <v>51.181812349541801</v>
      </c>
      <c r="AP6" s="267">
        <f t="shared" ref="AP6:AP10" si="25">$D6*AN6</f>
        <v>124.08299682212231</v>
      </c>
      <c r="AQ6" s="273"/>
      <c r="AR6" s="4">
        <f t="shared" ref="AR6:AR10" si="26">$F6*AR$3</f>
        <v>12.241067511892762</v>
      </c>
      <c r="AS6" s="4">
        <f>$F6*AS$3</f>
        <v>74.942738200995606</v>
      </c>
      <c r="AT6" s="4">
        <f t="shared" si="11"/>
        <v>28.15445527735335</v>
      </c>
      <c r="AU6" s="267">
        <f t="shared" ref="AU6:AU10" si="27">$D6*AS6</f>
        <v>146.51305318294641</v>
      </c>
    </row>
    <row r="7" spans="1:47" x14ac:dyDescent="0.4">
      <c r="A7" s="237">
        <f>A6/$E$75</f>
        <v>0.2149519735184976</v>
      </c>
      <c r="B7">
        <v>3</v>
      </c>
      <c r="C7" s="1">
        <v>2.2000000000000002</v>
      </c>
      <c r="D7" s="1">
        <f t="shared" si="1"/>
        <v>1.87</v>
      </c>
      <c r="E7" s="4">
        <v>64156</v>
      </c>
      <c r="F7" s="6">
        <v>0.19731989899642305</v>
      </c>
      <c r="H7" s="4">
        <f t="shared" si="2"/>
        <v>58.912919434133919</v>
      </c>
      <c r="I7" s="4">
        <f t="shared" si="12"/>
        <v>0</v>
      </c>
      <c r="J7" s="267">
        <f t="shared" si="3"/>
        <v>129.60842275509464</v>
      </c>
      <c r="K7" s="267">
        <f t="shared" si="4"/>
        <v>0</v>
      </c>
      <c r="L7" s="273"/>
      <c r="M7" s="4">
        <f t="shared" si="13"/>
        <v>60.699432769831901</v>
      </c>
      <c r="N7" s="4">
        <f t="shared" si="13"/>
        <v>0</v>
      </c>
      <c r="O7" s="4">
        <f t="shared" si="14"/>
        <v>133.53875209363019</v>
      </c>
      <c r="P7" s="267">
        <f t="shared" si="15"/>
        <v>0</v>
      </c>
      <c r="Q7" s="6">
        <f t="shared" si="0"/>
        <v>0.19731989899642305</v>
      </c>
      <c r="R7" s="273"/>
      <c r="S7" s="4">
        <f t="shared" si="16"/>
        <v>56.667429316866972</v>
      </c>
      <c r="T7" s="4">
        <f t="shared" si="17"/>
        <v>5.743809236937504</v>
      </c>
      <c r="U7" s="4">
        <f t="shared" si="5"/>
        <v>124.66834449710736</v>
      </c>
      <c r="V7" s="267">
        <f t="shared" si="6"/>
        <v>10.740923273073133</v>
      </c>
      <c r="W7" s="273"/>
      <c r="X7" s="4">
        <f t="shared" si="18"/>
        <v>54.155430531691415</v>
      </c>
      <c r="Y7" s="4">
        <f t="shared" si="18"/>
        <v>9.8997942735718549</v>
      </c>
      <c r="Z7" s="4">
        <f t="shared" si="7"/>
        <v>119.14194716972112</v>
      </c>
      <c r="AA7" s="267">
        <f t="shared" si="19"/>
        <v>18.512615291579369</v>
      </c>
      <c r="AB7" s="273"/>
      <c r="AC7" s="4">
        <f t="shared" si="20"/>
        <v>45.304052127738473</v>
      </c>
      <c r="AD7" s="4">
        <f t="shared" si="20"/>
        <v>20.47089452049422</v>
      </c>
      <c r="AE7" s="4">
        <f t="shared" si="8"/>
        <v>99.668914681024646</v>
      </c>
      <c r="AF7" s="267">
        <f t="shared" si="21"/>
        <v>38.280572753324194</v>
      </c>
      <c r="AG7" s="273"/>
      <c r="AH7" s="4">
        <f t="shared" si="22"/>
        <v>24.981369851343487</v>
      </c>
      <c r="AI7" s="4">
        <f>$F7*AI$3</f>
        <v>42.320204695357347</v>
      </c>
      <c r="AJ7" s="4">
        <f t="shared" si="9"/>
        <v>54.959013672955678</v>
      </c>
      <c r="AK7" s="267">
        <f t="shared" si="23"/>
        <v>79.138782780318238</v>
      </c>
      <c r="AL7" s="273"/>
      <c r="AM7" s="4">
        <f t="shared" si="24"/>
        <v>17.889368123372485</v>
      </c>
      <c r="AN7" s="4">
        <f>$F7*AN$3</f>
        <v>51.02378700332752</v>
      </c>
      <c r="AO7" s="4">
        <f t="shared" si="10"/>
        <v>39.356609871419472</v>
      </c>
      <c r="AP7" s="267">
        <f t="shared" si="25"/>
        <v>95.414481696222467</v>
      </c>
      <c r="AQ7" s="273"/>
      <c r="AR7" s="4">
        <f t="shared" si="26"/>
        <v>9.8407108237954013</v>
      </c>
      <c r="AS7" s="4">
        <f>$F7*AS$3</f>
        <v>60.247181404963023</v>
      </c>
      <c r="AT7" s="4">
        <f t="shared" si="11"/>
        <v>21.649563812349886</v>
      </c>
      <c r="AU7" s="267">
        <f t="shared" si="27"/>
        <v>112.66222922728086</v>
      </c>
    </row>
    <row r="8" spans="1:47" x14ac:dyDescent="0.4">
      <c r="A8" s="18">
        <f>SUM(F4:F10)</f>
        <v>1</v>
      </c>
      <c r="B8">
        <v>3.5</v>
      </c>
      <c r="C8" s="1">
        <v>2.5</v>
      </c>
      <c r="D8" s="1">
        <f t="shared" si="1"/>
        <v>2.125</v>
      </c>
      <c r="E8" s="4">
        <v>16575</v>
      </c>
      <c r="F8" s="6">
        <v>5.097851059707139E-2</v>
      </c>
      <c r="H8" s="4">
        <f t="shared" si="2"/>
        <v>15.220425831111193</v>
      </c>
      <c r="I8" s="4">
        <f t="shared" si="12"/>
        <v>0</v>
      </c>
      <c r="J8" s="267">
        <f t="shared" si="3"/>
        <v>38.051064577777979</v>
      </c>
      <c r="K8" s="267">
        <f t="shared" si="4"/>
        <v>0</v>
      </c>
      <c r="L8" s="273"/>
      <c r="M8" s="4">
        <f t="shared" si="13"/>
        <v>15.681979832906723</v>
      </c>
      <c r="N8" s="4">
        <f t="shared" si="13"/>
        <v>0</v>
      </c>
      <c r="O8" s="4">
        <f t="shared" si="14"/>
        <v>39.204949582266806</v>
      </c>
      <c r="P8" s="267">
        <f t="shared" si="15"/>
        <v>0</v>
      </c>
      <c r="Q8" s="6">
        <f t="shared" si="0"/>
        <v>5.097851059707139E-2</v>
      </c>
      <c r="R8" s="273"/>
      <c r="S8" s="4">
        <f t="shared" si="16"/>
        <v>14.640293050175666</v>
      </c>
      <c r="T8" s="4">
        <f t="shared" si="17"/>
        <v>1.4839397422258112</v>
      </c>
      <c r="U8" s="4">
        <f t="shared" si="5"/>
        <v>36.600732625439164</v>
      </c>
      <c r="V8" s="267">
        <f t="shared" si="6"/>
        <v>3.1533719522298487</v>
      </c>
      <c r="W8" s="273"/>
      <c r="X8" s="4">
        <f t="shared" si="18"/>
        <v>13.991306519464823</v>
      </c>
      <c r="Y8" s="4">
        <f t="shared" si="18"/>
        <v>2.5576577418238902</v>
      </c>
      <c r="Z8" s="4">
        <f t="shared" si="7"/>
        <v>34.978266298662056</v>
      </c>
      <c r="AA8" s="267">
        <f t="shared" si="19"/>
        <v>5.4350227013757664</v>
      </c>
      <c r="AB8" s="273"/>
      <c r="AC8" s="4">
        <f t="shared" si="20"/>
        <v>11.704511877568196</v>
      </c>
      <c r="AD8" s="4">
        <f t="shared" si="20"/>
        <v>5.2887504937525982</v>
      </c>
      <c r="AE8" s="4">
        <f t="shared" si="8"/>
        <v>29.261279693920489</v>
      </c>
      <c r="AF8" s="267">
        <f t="shared" si="21"/>
        <v>11.238594799224272</v>
      </c>
      <c r="AG8" s="273"/>
      <c r="AH8" s="4">
        <f t="shared" si="22"/>
        <v>6.4540527041277249</v>
      </c>
      <c r="AI8" s="4">
        <f>$F8*AI$3</f>
        <v>10.933621061561631</v>
      </c>
      <c r="AJ8" s="4">
        <f t="shared" si="9"/>
        <v>16.135131760319311</v>
      </c>
      <c r="AK8" s="267">
        <f t="shared" si="23"/>
        <v>23.233944755818467</v>
      </c>
      <c r="AL8" s="273"/>
      <c r="AM8" s="4">
        <f t="shared" si="24"/>
        <v>4.6218011821949458</v>
      </c>
      <c r="AN8" s="4">
        <f>$F8*AN$3</f>
        <v>13.182231896941106</v>
      </c>
      <c r="AO8" s="4">
        <f t="shared" si="10"/>
        <v>11.554502955487365</v>
      </c>
      <c r="AP8" s="267">
        <f t="shared" si="25"/>
        <v>28.012242780999852</v>
      </c>
      <c r="AQ8" s="273"/>
      <c r="AR8" s="4">
        <f t="shared" si="26"/>
        <v>2.5423932586883344</v>
      </c>
      <c r="AS8" s="4">
        <f>$F8*AS$3</f>
        <v>15.565138596347374</v>
      </c>
      <c r="AT8" s="4">
        <f t="shared" si="11"/>
        <v>6.3559831467208365</v>
      </c>
      <c r="AU8" s="267">
        <f t="shared" si="27"/>
        <v>33.075919517238169</v>
      </c>
    </row>
    <row r="9" spans="1:47" x14ac:dyDescent="0.4">
      <c r="B9">
        <v>4</v>
      </c>
      <c r="C9" s="1">
        <v>3.4</v>
      </c>
      <c r="D9" s="1">
        <f t="shared" si="1"/>
        <v>2.8899999999999997</v>
      </c>
      <c r="E9" s="4">
        <v>15110</v>
      </c>
      <c r="F9" s="6">
        <v>4.6472717654404146E-2</v>
      </c>
      <c r="H9" s="4">
        <f t="shared" si="2"/>
        <v>13.87515139113666</v>
      </c>
      <c r="I9" s="4">
        <f t="shared" si="12"/>
        <v>0</v>
      </c>
      <c r="J9" s="267">
        <f t="shared" si="3"/>
        <v>47.175514729864645</v>
      </c>
      <c r="K9" s="267">
        <f t="shared" si="4"/>
        <v>0</v>
      </c>
      <c r="L9" s="273"/>
      <c r="M9" s="4">
        <f t="shared" si="13"/>
        <v>14.295910423844379</v>
      </c>
      <c r="N9" s="4">
        <f t="shared" si="13"/>
        <v>0</v>
      </c>
      <c r="O9" s="4">
        <f t="shared" si="14"/>
        <v>48.606095441070892</v>
      </c>
      <c r="P9" s="267">
        <f t="shared" si="15"/>
        <v>0</v>
      </c>
      <c r="Q9" s="6">
        <f t="shared" si="0"/>
        <v>4.6472717654404146E-2</v>
      </c>
      <c r="R9" s="273"/>
      <c r="S9" s="4">
        <f t="shared" si="16"/>
        <v>13.346294297927862</v>
      </c>
      <c r="T9" s="4">
        <f t="shared" si="17"/>
        <v>1.3527800606354152</v>
      </c>
      <c r="U9" s="4">
        <f t="shared" si="5"/>
        <v>45.37740061295473</v>
      </c>
      <c r="V9" s="267">
        <f t="shared" si="6"/>
        <v>3.9095343752363494</v>
      </c>
      <c r="W9" s="273"/>
      <c r="X9" s="4">
        <f t="shared" si="18"/>
        <v>12.754669170987238</v>
      </c>
      <c r="Y9" s="4">
        <f t="shared" si="18"/>
        <v>2.331596288323317</v>
      </c>
      <c r="Z9" s="4">
        <f t="shared" si="7"/>
        <v>43.365875181356607</v>
      </c>
      <c r="AA9" s="267">
        <f t="shared" si="19"/>
        <v>6.7383132732543851</v>
      </c>
      <c r="AB9" s="273"/>
      <c r="AC9" s="4">
        <f t="shared" si="20"/>
        <v>10.6699954431406</v>
      </c>
      <c r="AD9" s="4">
        <f t="shared" si="20"/>
        <v>4.8212983384978436</v>
      </c>
      <c r="AE9" s="4">
        <f t="shared" si="8"/>
        <v>36.277984506678038</v>
      </c>
      <c r="AF9" s="267">
        <f t="shared" si="21"/>
        <v>13.933552198258766</v>
      </c>
      <c r="AG9" s="273"/>
      <c r="AH9" s="4">
        <f t="shared" si="22"/>
        <v>5.8836040035818957</v>
      </c>
      <c r="AI9" s="4">
        <f>$F9*AI$3</f>
        <v>9.9672406781415539</v>
      </c>
      <c r="AJ9" s="4">
        <f t="shared" si="9"/>
        <v>20.004253612178445</v>
      </c>
      <c r="AK9" s="267">
        <f t="shared" si="23"/>
        <v>28.805325559829086</v>
      </c>
      <c r="AL9" s="273"/>
      <c r="AM9" s="4">
        <f t="shared" si="24"/>
        <v>4.2132980912799773</v>
      </c>
      <c r="AN9" s="4">
        <f>$F9*AN$3</f>
        <v>12.017105518116448</v>
      </c>
      <c r="AO9" s="4">
        <f t="shared" si="10"/>
        <v>14.325213510351922</v>
      </c>
      <c r="AP9" s="267">
        <f t="shared" si="25"/>
        <v>34.72943494735653</v>
      </c>
      <c r="AQ9" s="273"/>
      <c r="AR9" s="4">
        <f t="shared" si="26"/>
        <v>2.3176809736820956</v>
      </c>
      <c r="AS9" s="4">
        <f>$F9*AS$3</f>
        <v>14.189396331270517</v>
      </c>
      <c r="AT9" s="4">
        <f t="shared" si="11"/>
        <v>7.8801153105191251</v>
      </c>
      <c r="AU9" s="267">
        <f t="shared" si="27"/>
        <v>41.007355397371789</v>
      </c>
    </row>
    <row r="10" spans="1:47" x14ac:dyDescent="0.4">
      <c r="B10">
        <v>5</v>
      </c>
      <c r="C10" s="1">
        <v>6</v>
      </c>
      <c r="D10" s="1">
        <f t="shared" si="1"/>
        <v>5.0999999999999996</v>
      </c>
      <c r="E10" s="4">
        <v>17708</v>
      </c>
      <c r="F10" s="6">
        <v>5.4463195514506194E-2</v>
      </c>
      <c r="H10" s="4">
        <f t="shared" si="2"/>
        <v>16.260832616429383</v>
      </c>
      <c r="I10" s="4">
        <f t="shared" si="12"/>
        <v>0</v>
      </c>
      <c r="J10" s="267">
        <f t="shared" si="3"/>
        <v>97.564995698576297</v>
      </c>
      <c r="K10" s="267">
        <f t="shared" si="4"/>
        <v>0</v>
      </c>
      <c r="L10" s="273"/>
      <c r="M10" s="4">
        <f t="shared" si="13"/>
        <v>16.75393658407917</v>
      </c>
      <c r="N10" s="4">
        <f t="shared" si="13"/>
        <v>0</v>
      </c>
      <c r="O10" s="4">
        <f t="shared" si="14"/>
        <v>100.52361950447502</v>
      </c>
      <c r="P10" s="267">
        <f t="shared" si="15"/>
        <v>0</v>
      </c>
      <c r="Q10" s="6">
        <f t="shared" si="0"/>
        <v>5.4463195514506194E-2</v>
      </c>
      <c r="R10" s="273"/>
      <c r="S10" s="4">
        <f t="shared" si="16"/>
        <v>15.641044303620555</v>
      </c>
      <c r="T10" s="4">
        <f t="shared" si="17"/>
        <v>1.5853758645752436</v>
      </c>
      <c r="U10" s="4">
        <f t="shared" si="5"/>
        <v>93.846265821723335</v>
      </c>
      <c r="V10" s="267">
        <f t="shared" si="6"/>
        <v>8.0854169093337411</v>
      </c>
      <c r="W10" s="273"/>
      <c r="X10" s="4">
        <f t="shared" si="18"/>
        <v>14.947695677024621</v>
      </c>
      <c r="Y10" s="4">
        <f t="shared" si="18"/>
        <v>2.7324888864082921</v>
      </c>
      <c r="Z10" s="4">
        <f t="shared" si="7"/>
        <v>89.686174062147728</v>
      </c>
      <c r="AA10" s="267">
        <f t="shared" si="19"/>
        <v>13.935693320682288</v>
      </c>
      <c r="AB10" s="273"/>
      <c r="AC10" s="4">
        <f t="shared" si="20"/>
        <v>12.504584997163052</v>
      </c>
      <c r="AD10" s="4">
        <f t="shared" si="20"/>
        <v>5.6502680991475724</v>
      </c>
      <c r="AE10" s="4">
        <f t="shared" si="8"/>
        <v>75.027509982978316</v>
      </c>
      <c r="AF10" s="267">
        <f t="shared" si="21"/>
        <v>28.816367305652616</v>
      </c>
      <c r="AG10" s="273"/>
      <c r="AH10" s="4">
        <f t="shared" si="22"/>
        <v>6.8952256582017348</v>
      </c>
      <c r="AI10" s="4">
        <f>$F10*AI$3</f>
        <v>11.68099920109402</v>
      </c>
      <c r="AJ10" s="4">
        <f t="shared" si="9"/>
        <v>41.371353949210409</v>
      </c>
      <c r="AK10" s="267">
        <f t="shared" si="23"/>
        <v>59.573095925579494</v>
      </c>
      <c r="AL10" s="273"/>
      <c r="AM10" s="4">
        <f t="shared" si="24"/>
        <v>4.9377288286158727</v>
      </c>
      <c r="AN10" s="4">
        <f>$F10*AN$3</f>
        <v>14.083315983772737</v>
      </c>
      <c r="AO10" s="4">
        <f t="shared" si="10"/>
        <v>29.626372971695236</v>
      </c>
      <c r="AP10" s="267">
        <f t="shared" si="25"/>
        <v>71.824911517240949</v>
      </c>
      <c r="AQ10" s="273"/>
      <c r="AR10" s="4">
        <f t="shared" si="26"/>
        <v>2.7161809849081764</v>
      </c>
      <c r="AS10" s="4">
        <f>$F10*AS$3</f>
        <v>16.629108552888042</v>
      </c>
      <c r="AT10" s="4">
        <f t="shared" si="11"/>
        <v>16.297085909449059</v>
      </c>
      <c r="AU10" s="267">
        <f t="shared" si="27"/>
        <v>84.808453619729008</v>
      </c>
    </row>
    <row r="11" spans="1:47" x14ac:dyDescent="0.4">
      <c r="F11" s="6"/>
      <c r="G11" s="4" cm="1">
        <f t="array" ref="G11">機器台数2!D30:D30</f>
        <v>92.413139000000001</v>
      </c>
      <c r="H11" s="4">
        <f>G11*(1-G$3)</f>
        <v>92.413139000000001</v>
      </c>
      <c r="I11" s="4">
        <f>G11*$G$3</f>
        <v>0</v>
      </c>
      <c r="J11" s="4">
        <f>SUM(J12:J18)</f>
        <v>211.36828297858736</v>
      </c>
      <c r="K11" s="267">
        <f t="shared" si="4"/>
        <v>0</v>
      </c>
      <c r="L11" s="273">
        <f>機器台数2!F30</f>
        <v>95.21553458322677</v>
      </c>
      <c r="M11" s="4">
        <f>L11*(1-L$3)</f>
        <v>95.21553458322677</v>
      </c>
      <c r="N11" s="4">
        <f>L11*$G$3</f>
        <v>0</v>
      </c>
      <c r="O11" s="4">
        <f>SUM(O12:O18)</f>
        <v>217.77795100916279</v>
      </c>
      <c r="P11" s="267">
        <f>SUM(P12:P18)</f>
        <v>0</v>
      </c>
      <c r="Q11" s="6"/>
      <c r="R11" s="273">
        <f>機器台数2!H30</f>
        <v>88.890774256862116</v>
      </c>
      <c r="S11" s="4">
        <f>R11*(1-R$3)</f>
        <v>88.890774256862116</v>
      </c>
      <c r="T11" s="4">
        <f>機器台数2!H40</f>
        <v>9.0099666847446045</v>
      </c>
      <c r="U11" s="4">
        <f>SUM(U12:U18)</f>
        <v>203.31189407287812</v>
      </c>
      <c r="V11" s="267">
        <f>SUM(V12:V18)</f>
        <v>17.516535280458669</v>
      </c>
      <c r="W11" s="273">
        <f>機器台数2!J30</f>
        <v>84.950353460676638</v>
      </c>
      <c r="X11" s="4">
        <f>W11*(1-W$3)</f>
        <v>84.950353460676638</v>
      </c>
      <c r="Y11" s="4">
        <f>機器台数2!J40</f>
        <v>15.529209434237053</v>
      </c>
      <c r="Z11" s="4">
        <f>SUM(Z12:Z18)</f>
        <v>194.29932305845946</v>
      </c>
      <c r="AA11" s="267">
        <f>SUM(AA12:AA18)</f>
        <v>30.190782546734297</v>
      </c>
      <c r="AB11" s="273">
        <f>機器台数2!L30</f>
        <v>71.065730687897116</v>
      </c>
      <c r="AC11" s="4">
        <f>AB11</f>
        <v>71.065730687897116</v>
      </c>
      <c r="AD11" s="4">
        <f>機器台数2!L40</f>
        <v>32.11145600909876</v>
      </c>
      <c r="AE11" s="4">
        <f>SUM(AE12:AE18)</f>
        <v>162.54227090067263</v>
      </c>
      <c r="AF11" s="267">
        <f>SUM(AF12:AF18)</f>
        <v>62.428804874789506</v>
      </c>
      <c r="AG11" s="273">
        <f>機器台数2!N30</f>
        <v>39.186766275667154</v>
      </c>
      <c r="AH11" s="4">
        <f>機器台数2!N30</f>
        <v>39.186766275667154</v>
      </c>
      <c r="AI11" s="4">
        <f>機器台数2!N40</f>
        <v>66.385149413500741</v>
      </c>
      <c r="AJ11" s="4">
        <f>SUM(AJ12:AJ18)</f>
        <v>89.628375280824301</v>
      </c>
      <c r="AK11" s="267">
        <f>SUM(AK12:AK18)</f>
        <v>129.06127763701798</v>
      </c>
      <c r="AL11" s="273">
        <f>機器台数2!S30</f>
        <v>6.5000000000000002E-2</v>
      </c>
      <c r="AM11" s="4">
        <f>機器台数2!P30</f>
        <v>28.06197144678465</v>
      </c>
      <c r="AN11" s="4">
        <f>機器台数2!P40</f>
        <v>80.037933375830818</v>
      </c>
      <c r="AO11" s="4">
        <f>SUM(AO12:AO18)</f>
        <v>64.183630010674321</v>
      </c>
      <c r="AP11" s="267">
        <f>SUM(AP12:AP18)</f>
        <v>155.60404747406471</v>
      </c>
      <c r="AQ11" s="273">
        <f>機器台数2!X30</f>
        <v>0</v>
      </c>
      <c r="AR11" s="4">
        <f>機器台数2!R30</f>
        <v>15.436528794587284</v>
      </c>
      <c r="AS11" s="4">
        <f>機器台数2!R40</f>
        <v>94.506115178349148</v>
      </c>
      <c r="AT11" s="4">
        <f>SUM(AT12:AT18)</f>
        <v>35.306587588821515</v>
      </c>
      <c r="AU11" s="267">
        <f>SUM(AU12:AU18)</f>
        <v>183.73205569600481</v>
      </c>
    </row>
    <row r="12" spans="1:47" x14ac:dyDescent="0.4">
      <c r="A12" t="s">
        <v>0</v>
      </c>
      <c r="B12">
        <v>1.5</v>
      </c>
      <c r="C12" s="1">
        <v>1.8</v>
      </c>
      <c r="D12" s="1">
        <f t="shared" si="1"/>
        <v>1.53</v>
      </c>
      <c r="E12" s="4">
        <v>5564</v>
      </c>
      <c r="F12" s="237">
        <f>E12/$A$15</f>
        <v>7.66665748064045E-2</v>
      </c>
      <c r="H12" s="4">
        <f>F12*H$11</f>
        <v>7.0849988342381574</v>
      </c>
      <c r="I12" s="4">
        <f>$F12*I$11</f>
        <v>0</v>
      </c>
      <c r="J12" s="267">
        <f>C12*H12</f>
        <v>12.752997901628683</v>
      </c>
      <c r="K12" s="267">
        <f t="shared" si="4"/>
        <v>0</v>
      </c>
      <c r="L12" s="273">
        <f>SUM(M12:M18)</f>
        <v>95.21553458322677</v>
      </c>
      <c r="M12" s="4">
        <f>$F12*M$11</f>
        <v>7.2998489048567503</v>
      </c>
      <c r="N12" s="4">
        <f>$F12*N$11</f>
        <v>0</v>
      </c>
      <c r="O12" s="4">
        <f>$C12*$M12</f>
        <v>13.139728028742152</v>
      </c>
      <c r="P12" s="267">
        <f>$D12*$N12</f>
        <v>0</v>
      </c>
      <c r="Q12" s="6">
        <f t="shared" ref="Q12:Q18" si="28">E12/$A$15</f>
        <v>7.66665748064045E-2</v>
      </c>
      <c r="R12" s="273">
        <f>SUM(S12:S18)</f>
        <v>88.890774256862116</v>
      </c>
      <c r="S12" s="4">
        <f>$F12*S$11</f>
        <v>6.8149511941629344</v>
      </c>
      <c r="T12" s="4">
        <f>$F12*T$11</f>
        <v>0.69076328483918459</v>
      </c>
      <c r="U12" s="4">
        <f>$C12*S12</f>
        <v>12.266912149493281</v>
      </c>
      <c r="V12" s="267">
        <f t="shared" ref="V12:V18" si="29">$D12*T12</f>
        <v>1.0568678258039523</v>
      </c>
      <c r="W12" s="273">
        <f>SUM(X12:X18)</f>
        <v>84.950353460676638</v>
      </c>
      <c r="X12" s="4">
        <f>$F12*X$11</f>
        <v>6.5128526284234685</v>
      </c>
      <c r="Y12" s="4">
        <f>$F12*Y$11</f>
        <v>1.1905712967742574</v>
      </c>
      <c r="Z12" s="4">
        <f t="shared" ref="Z12:Z17" si="30">$C12*X12</f>
        <v>11.723134731162244</v>
      </c>
      <c r="AA12" s="267">
        <f t="shared" ref="AA12:AA18" si="31">$D12*Y12</f>
        <v>1.821574084064614</v>
      </c>
      <c r="AB12" s="273">
        <f>SUM(AC12:AC18)</f>
        <v>71.065730687897116</v>
      </c>
      <c r="AC12" s="4">
        <f>$F12*AC$11</f>
        <v>5.4483661579554603</v>
      </c>
      <c r="AD12" s="4">
        <f>$F12*AD$11</f>
        <v>2.4618753442641372</v>
      </c>
      <c r="AE12" s="4">
        <f t="shared" ref="AE12:AE17" si="32">$C12*AC12</f>
        <v>9.8070590843198282</v>
      </c>
      <c r="AF12" s="267">
        <f t="shared" ref="AF12:AF18" si="33">$D12*AD12</f>
        <v>3.7666692767241301</v>
      </c>
      <c r="AG12" s="273">
        <f>SUM(AH12:AH18)</f>
        <v>39.186766275667146</v>
      </c>
      <c r="AH12" s="4">
        <f>$F12*AH$11</f>
        <v>3.0043151480945247</v>
      </c>
      <c r="AI12" s="4">
        <f>$F12*AI$11</f>
        <v>5.089522023544494</v>
      </c>
      <c r="AJ12" s="4">
        <f t="shared" ref="AJ12:AJ17" si="34">$C12*AH12</f>
        <v>5.4077672665701444</v>
      </c>
      <c r="AK12" s="267">
        <f t="shared" ref="AK12:AK18" si="35">$D12*AI12</f>
        <v>7.7869686960230764</v>
      </c>
      <c r="AL12" s="273">
        <f>SUM(AM12:AM18)</f>
        <v>28.06197144678465</v>
      </c>
      <c r="AM12" s="4">
        <f>$F12*AM$11</f>
        <v>2.1514152331401024</v>
      </c>
      <c r="AN12" s="4">
        <f>$F12*AN$11</f>
        <v>6.1362342065081528</v>
      </c>
      <c r="AO12" s="4">
        <f t="shared" ref="AO12:AO17" si="36">$C12*AM12</f>
        <v>3.8725474196521845</v>
      </c>
      <c r="AP12" s="267">
        <f t="shared" ref="AP12:AP18" si="37">$D12*AN12</f>
        <v>9.3884383359574741</v>
      </c>
      <c r="AQ12" s="273">
        <f>SUM(AR12:AR18)</f>
        <v>15.436528794587284</v>
      </c>
      <c r="AR12" s="4">
        <f>$F12*AR$11</f>
        <v>1.1834657895814431</v>
      </c>
      <c r="AS12" s="4">
        <f>$F12*AS$11</f>
        <v>7.245460148983585</v>
      </c>
      <c r="AT12" s="4">
        <f t="shared" ref="AT12:AT17" si="38">$C12*AR12</f>
        <v>2.1302384212465975</v>
      </c>
      <c r="AU12" s="267">
        <f t="shared" ref="AU12:AU18" si="39">$D12*AS12</f>
        <v>11.085554027944886</v>
      </c>
    </row>
    <row r="13" spans="1:47" x14ac:dyDescent="0.4">
      <c r="A13" t="s">
        <v>1</v>
      </c>
      <c r="B13">
        <v>2</v>
      </c>
      <c r="C13" s="1">
        <v>1.9</v>
      </c>
      <c r="D13" s="1">
        <f t="shared" si="1"/>
        <v>1.615</v>
      </c>
      <c r="E13" s="4">
        <v>19551</v>
      </c>
      <c r="F13" s="6">
        <f>E13/$A$15</f>
        <v>0.26939399785046986</v>
      </c>
      <c r="H13" s="4">
        <f t="shared" ref="H13:H18" si="40">F13*H$11</f>
        <v>24.895544969121172</v>
      </c>
      <c r="I13" s="4">
        <f t="shared" ref="I13:I18" si="41">$F13*I$11</f>
        <v>0</v>
      </c>
      <c r="J13" s="267">
        <f t="shared" ref="J13:J18" si="42">C13*H13</f>
        <v>47.301535441330223</v>
      </c>
      <c r="K13" s="267">
        <f t="shared" si="4"/>
        <v>0</v>
      </c>
      <c r="L13" s="273"/>
      <c r="M13" s="4">
        <f t="shared" ref="M13:N18" si="43">$F13*M$11</f>
        <v>25.650493518845131</v>
      </c>
      <c r="N13" s="4">
        <f t="shared" si="43"/>
        <v>0</v>
      </c>
      <c r="O13" s="4">
        <f t="shared" ref="O13:O18" si="44">$C13*$M13</f>
        <v>48.735937685805744</v>
      </c>
      <c r="P13" s="267">
        <f t="shared" ref="P13:P18" si="45">$D13*$N13</f>
        <v>0</v>
      </c>
      <c r="Q13" s="6">
        <f t="shared" si="28"/>
        <v>0.26939399785046986</v>
      </c>
      <c r="R13" s="273"/>
      <c r="S13" s="4">
        <f>$F13*S$11</f>
        <v>23.946641049079716</v>
      </c>
      <c r="T13" s="4">
        <f t="shared" ref="T13:T18" si="46">$F13*T$11</f>
        <v>2.4272309457028931</v>
      </c>
      <c r="U13" s="4">
        <f t="shared" ref="U13:U18" si="47">$C13*S13</f>
        <v>45.498617993251457</v>
      </c>
      <c r="V13" s="267">
        <f t="shared" si="29"/>
        <v>3.9199779773101722</v>
      </c>
      <c r="W13" s="273"/>
      <c r="X13" s="4">
        <f>$F13*X$11</f>
        <v>22.885115337582178</v>
      </c>
      <c r="Y13" s="4">
        <f t="shared" ref="Y13:Y18" si="48">$F13*Y$11</f>
        <v>4.1834758129463525</v>
      </c>
      <c r="Z13" s="4">
        <f t="shared" si="30"/>
        <v>43.481719141406138</v>
      </c>
      <c r="AA13" s="267">
        <f t="shared" si="31"/>
        <v>6.7563134379083589</v>
      </c>
      <c r="AB13" s="273"/>
      <c r="AC13" s="4">
        <f>$F13*AC$11</f>
        <v>19.144681300177425</v>
      </c>
      <c r="AD13" s="4">
        <f t="shared" ref="AD13:AD18" si="49">$F13*AD$11</f>
        <v>8.650633511090609</v>
      </c>
      <c r="AE13" s="4">
        <f t="shared" si="32"/>
        <v>36.374894470337104</v>
      </c>
      <c r="AF13" s="267">
        <f t="shared" si="33"/>
        <v>13.970773120411334</v>
      </c>
      <c r="AG13" s="273"/>
      <c r="AH13" s="4">
        <f>$F13*AH$11</f>
        <v>10.556679629833942</v>
      </c>
      <c r="AI13" s="4">
        <f t="shared" ref="AI13:AI18" si="50">$F13*AI$11</f>
        <v>17.883760798403738</v>
      </c>
      <c r="AJ13" s="4">
        <f t="shared" si="34"/>
        <v>20.057691296684489</v>
      </c>
      <c r="AK13" s="267">
        <f t="shared" si="35"/>
        <v>28.882273689422036</v>
      </c>
      <c r="AL13" s="273"/>
      <c r="AM13" s="4">
        <f>$F13*AM$11</f>
        <v>7.5597266756150505</v>
      </c>
      <c r="AN13" s="4">
        <f t="shared" ref="AN13:AN18" si="51">$F13*AN$11</f>
        <v>21.561738851804616</v>
      </c>
      <c r="AO13" s="4">
        <f t="shared" si="36"/>
        <v>14.363480683668595</v>
      </c>
      <c r="AP13" s="267">
        <f t="shared" si="37"/>
        <v>34.822208245664456</v>
      </c>
      <c r="AQ13" s="273"/>
      <c r="AR13" s="4">
        <f>$F13*AR$11</f>
        <v>4.1585082049077631</v>
      </c>
      <c r="AS13" s="4">
        <f t="shared" ref="AS13:AS18" si="52">$F13*AS$11</f>
        <v>25.459380189212446</v>
      </c>
      <c r="AT13" s="4">
        <f t="shared" si="38"/>
        <v>7.9011655893247497</v>
      </c>
      <c r="AU13" s="267">
        <f t="shared" si="39"/>
        <v>41.116899005578098</v>
      </c>
    </row>
    <row r="14" spans="1:47" x14ac:dyDescent="0.4">
      <c r="A14" t="s">
        <v>5</v>
      </c>
      <c r="B14">
        <v>2.5</v>
      </c>
      <c r="C14" s="1">
        <v>2.1</v>
      </c>
      <c r="D14" s="1">
        <f t="shared" si="1"/>
        <v>1.7849999999999999</v>
      </c>
      <c r="E14" s="4">
        <v>20512</v>
      </c>
      <c r="F14" s="6">
        <f t="shared" ref="F14:F18" si="53">E14/$A$15</f>
        <v>0.28263565464215834</v>
      </c>
      <c r="H14" s="4">
        <f t="shared" si="40"/>
        <v>26.119248038801775</v>
      </c>
      <c r="I14" s="4">
        <f t="shared" si="41"/>
        <v>0</v>
      </c>
      <c r="J14" s="267">
        <f t="shared" si="42"/>
        <v>54.850420881483728</v>
      </c>
      <c r="K14" s="267">
        <f t="shared" si="4"/>
        <v>0</v>
      </c>
      <c r="L14" s="273"/>
      <c r="M14" s="4">
        <f t="shared" si="43"/>
        <v>26.911304949033365</v>
      </c>
      <c r="N14" s="4">
        <f t="shared" si="43"/>
        <v>0</v>
      </c>
      <c r="O14" s="4">
        <f t="shared" si="44"/>
        <v>56.513740392970071</v>
      </c>
      <c r="P14" s="267">
        <f t="shared" si="45"/>
        <v>0</v>
      </c>
      <c r="Q14" s="6">
        <f t="shared" si="28"/>
        <v>0.28263565464215834</v>
      </c>
      <c r="R14" s="273"/>
      <c r="S14" s="4">
        <f>$F14*S$11</f>
        <v>25.12370217373654</v>
      </c>
      <c r="T14" s="4">
        <f t="shared" si="46"/>
        <v>2.5465378322468282</v>
      </c>
      <c r="U14" s="4">
        <f t="shared" si="47"/>
        <v>52.759774564846737</v>
      </c>
      <c r="V14" s="267">
        <f t="shared" si="29"/>
        <v>4.5455700305605884</v>
      </c>
      <c r="W14" s="273"/>
      <c r="X14" s="4">
        <f>$F14*X$11</f>
        <v>24.009998762441082</v>
      </c>
      <c r="Y14" s="4">
        <f t="shared" si="48"/>
        <v>4.3891082745207708</v>
      </c>
      <c r="Z14" s="4">
        <f t="shared" si="30"/>
        <v>50.420997401126272</v>
      </c>
      <c r="AA14" s="267">
        <f t="shared" si="31"/>
        <v>7.8345582700195759</v>
      </c>
      <c r="AB14" s="273"/>
      <c r="AC14" s="4">
        <f>$F14*AC$11</f>
        <v>20.085709315597121</v>
      </c>
      <c r="AD14" s="4">
        <f t="shared" si="49"/>
        <v>9.0758423906444978</v>
      </c>
      <c r="AE14" s="4">
        <f t="shared" si="32"/>
        <v>42.17998956275396</v>
      </c>
      <c r="AF14" s="267">
        <f t="shared" si="33"/>
        <v>16.200378667300427</v>
      </c>
      <c r="AG14" s="273"/>
      <c r="AH14" s="4">
        <f>$F14*AH$11</f>
        <v>11.075577339632439</v>
      </c>
      <c r="AI14" s="4">
        <f t="shared" si="50"/>
        <v>18.762810163002275</v>
      </c>
      <c r="AJ14" s="4">
        <f t="shared" si="34"/>
        <v>23.258712413228121</v>
      </c>
      <c r="AK14" s="267">
        <f t="shared" si="35"/>
        <v>33.49161614095906</v>
      </c>
      <c r="AL14" s="273"/>
      <c r="AM14" s="4">
        <f>$F14*AM$11</f>
        <v>7.9313136704115346</v>
      </c>
      <c r="AN14" s="4">
        <f t="shared" si="51"/>
        <v>22.621573695883399</v>
      </c>
      <c r="AO14" s="4">
        <f t="shared" si="36"/>
        <v>16.655758707864223</v>
      </c>
      <c r="AP14" s="267">
        <f t="shared" si="37"/>
        <v>40.379509047151863</v>
      </c>
      <c r="AQ14" s="273"/>
      <c r="AR14" s="4">
        <f>$F14*AR$11</f>
        <v>4.3629134212607044</v>
      </c>
      <c r="AS14" s="4">
        <f t="shared" si="52"/>
        <v>26.710797731119928</v>
      </c>
      <c r="AT14" s="4">
        <f t="shared" si="38"/>
        <v>9.1621181846474791</v>
      </c>
      <c r="AU14" s="267">
        <f t="shared" si="39"/>
        <v>47.67877395004907</v>
      </c>
    </row>
    <row r="15" spans="1:47" x14ac:dyDescent="0.4">
      <c r="A15" s="5">
        <f>SUM(E12:E18)</f>
        <v>72574</v>
      </c>
      <c r="B15">
        <v>3</v>
      </c>
      <c r="C15" s="1">
        <v>2.2000000000000002</v>
      </c>
      <c r="D15" s="1">
        <f t="shared" si="1"/>
        <v>1.87</v>
      </c>
      <c r="E15" s="4">
        <v>15655</v>
      </c>
      <c r="F15" s="6">
        <f t="shared" si="53"/>
        <v>0.21571086063879627</v>
      </c>
      <c r="H15" s="4">
        <f t="shared" si="40"/>
        <v>19.93451774802271</v>
      </c>
      <c r="I15" s="4">
        <f t="shared" si="41"/>
        <v>0</v>
      </c>
      <c r="J15" s="267">
        <f t="shared" si="42"/>
        <v>43.855939045649968</v>
      </c>
      <c r="K15" s="267">
        <f t="shared" si="4"/>
        <v>0</v>
      </c>
      <c r="L15" s="273"/>
      <c r="M15" s="4">
        <f t="shared" si="43"/>
        <v>20.539024911130916</v>
      </c>
      <c r="N15" s="4">
        <f t="shared" si="43"/>
        <v>0</v>
      </c>
      <c r="O15" s="4">
        <f t="shared" si="44"/>
        <v>45.185854804488017</v>
      </c>
      <c r="P15" s="267">
        <f t="shared" si="45"/>
        <v>0</v>
      </c>
      <c r="Q15" s="6">
        <f t="shared" si="28"/>
        <v>0.21571086063879627</v>
      </c>
      <c r="R15" s="273"/>
      <c r="S15" s="4">
        <f>$F15*S$11</f>
        <v>19.174705417796684</v>
      </c>
      <c r="T15" s="4">
        <f t="shared" si="46"/>
        <v>1.9435476678931407</v>
      </c>
      <c r="U15" s="4">
        <f t="shared" si="47"/>
        <v>42.184351919152711</v>
      </c>
      <c r="V15" s="267">
        <f t="shared" si="29"/>
        <v>3.6344341389601733</v>
      </c>
      <c r="W15" s="273"/>
      <c r="X15" s="4">
        <f>$F15*X$11</f>
        <v>18.324713856572501</v>
      </c>
      <c r="Y15" s="4">
        <f t="shared" si="48"/>
        <v>3.3498191320993893</v>
      </c>
      <c r="Z15" s="4">
        <f t="shared" si="30"/>
        <v>40.314370484459502</v>
      </c>
      <c r="AA15" s="267">
        <f t="shared" si="31"/>
        <v>6.2641617770258584</v>
      </c>
      <c r="AB15" s="273"/>
      <c r="AC15" s="4">
        <f>$F15*AC$11</f>
        <v>15.329649928611202</v>
      </c>
      <c r="AD15" s="4">
        <f t="shared" si="49"/>
        <v>6.9267898120875397</v>
      </c>
      <c r="AE15" s="4">
        <f t="shared" si="32"/>
        <v>33.72522984294465</v>
      </c>
      <c r="AF15" s="267">
        <f t="shared" si="33"/>
        <v>12.953096948603701</v>
      </c>
      <c r="AG15" s="273"/>
      <c r="AH15" s="4">
        <f>$F15*AH$11</f>
        <v>8.4530110789755195</v>
      </c>
      <c r="AI15" s="4">
        <f t="shared" si="50"/>
        <v>14.319997713621326</v>
      </c>
      <c r="AJ15" s="4">
        <f t="shared" si="34"/>
        <v>18.596624373746145</v>
      </c>
      <c r="AK15" s="267">
        <f t="shared" si="35"/>
        <v>26.778395724471881</v>
      </c>
      <c r="AL15" s="273"/>
      <c r="AM15" s="4">
        <f>$F15*AM$11</f>
        <v>6.0532720120072439</v>
      </c>
      <c r="AN15" s="4">
        <f t="shared" si="51"/>
        <v>17.265051492251104</v>
      </c>
      <c r="AO15" s="4">
        <f t="shared" si="36"/>
        <v>13.317198426415938</v>
      </c>
      <c r="AP15" s="267">
        <f t="shared" si="37"/>
        <v>32.285646290509568</v>
      </c>
      <c r="AQ15" s="273"/>
      <c r="AR15" s="4">
        <f>$F15*AR$11</f>
        <v>3.3298269115559833</v>
      </c>
      <c r="AS15" s="4">
        <f t="shared" si="52"/>
        <v>20.385995440750904</v>
      </c>
      <c r="AT15" s="4">
        <f t="shared" si="38"/>
        <v>7.3256192054231635</v>
      </c>
      <c r="AU15" s="267">
        <f t="shared" si="39"/>
        <v>38.121811474204193</v>
      </c>
    </row>
    <row r="16" spans="1:47" x14ac:dyDescent="0.4">
      <c r="A16" s="237">
        <f>A15/$E$75</f>
        <v>4.7979542550160223E-2</v>
      </c>
      <c r="B16">
        <v>3.5</v>
      </c>
      <c r="C16" s="1">
        <v>2.5</v>
      </c>
      <c r="D16" s="1">
        <f t="shared" si="1"/>
        <v>2.125</v>
      </c>
      <c r="E16" s="4">
        <v>4647</v>
      </c>
      <c r="F16" s="6">
        <f t="shared" si="53"/>
        <v>6.403119574503266E-2</v>
      </c>
      <c r="H16" s="4">
        <f t="shared" si="40"/>
        <v>5.9173237927219118</v>
      </c>
      <c r="I16" s="4">
        <f t="shared" si="41"/>
        <v>0</v>
      </c>
      <c r="J16" s="267">
        <f t="shared" si="42"/>
        <v>14.79330948180478</v>
      </c>
      <c r="K16" s="267">
        <f t="shared" si="4"/>
        <v>0</v>
      </c>
      <c r="L16" s="273"/>
      <c r="M16" s="4">
        <f t="shared" si="43"/>
        <v>6.0967645328665201</v>
      </c>
      <c r="N16" s="4">
        <f t="shared" si="43"/>
        <v>0</v>
      </c>
      <c r="O16" s="4">
        <f t="shared" si="44"/>
        <v>15.2419113321663</v>
      </c>
      <c r="P16" s="267">
        <f t="shared" si="45"/>
        <v>0</v>
      </c>
      <c r="Q16" s="6">
        <f t="shared" si="28"/>
        <v>6.403119574503266E-2</v>
      </c>
      <c r="R16" s="273"/>
      <c r="S16" s="4">
        <f>$F16*S$11</f>
        <v>5.6917825663686479</v>
      </c>
      <c r="T16" s="4">
        <f t="shared" si="46"/>
        <v>0.57691894044710479</v>
      </c>
      <c r="U16" s="4">
        <f t="shared" si="47"/>
        <v>14.22945641592162</v>
      </c>
      <c r="V16" s="267">
        <f t="shared" si="29"/>
        <v>1.2259527484500976</v>
      </c>
      <c r="W16" s="273"/>
      <c r="X16" s="4">
        <f>$F16*X$11</f>
        <v>5.4394727110502981</v>
      </c>
      <c r="Y16" s="4">
        <f t="shared" si="48"/>
        <v>0.99435384904924062</v>
      </c>
      <c r="Z16" s="4">
        <f t="shared" si="30"/>
        <v>13.598681777625746</v>
      </c>
      <c r="AA16" s="267">
        <f t="shared" si="31"/>
        <v>2.1130019292296365</v>
      </c>
      <c r="AB16" s="273"/>
      <c r="AC16" s="4">
        <f>$F16*AC$11</f>
        <v>4.5504237124405149</v>
      </c>
      <c r="AD16" s="4">
        <f t="shared" si="49"/>
        <v>2.0561349253766079</v>
      </c>
      <c r="AE16" s="4">
        <f t="shared" si="32"/>
        <v>11.376059281101288</v>
      </c>
      <c r="AF16" s="267">
        <f t="shared" si="33"/>
        <v>4.3692867164252922</v>
      </c>
      <c r="AG16" s="273"/>
      <c r="AH16" s="4">
        <f>$F16*AH$11</f>
        <v>2.5091755020120878</v>
      </c>
      <c r="AI16" s="4">
        <f t="shared" si="50"/>
        <v>4.2507204966591061</v>
      </c>
      <c r="AJ16" s="4">
        <f t="shared" si="34"/>
        <v>6.2729387550302196</v>
      </c>
      <c r="AK16" s="267">
        <f t="shared" si="35"/>
        <v>9.0327810554006014</v>
      </c>
      <c r="AL16" s="273"/>
      <c r="AM16" s="4">
        <f>$F16*AM$11</f>
        <v>1.7968415867005854</v>
      </c>
      <c r="AN16" s="4">
        <f t="shared" si="51"/>
        <v>5.1249245790157056</v>
      </c>
      <c r="AO16" s="4">
        <f t="shared" si="36"/>
        <v>4.4921039667514631</v>
      </c>
      <c r="AP16" s="267">
        <f t="shared" si="37"/>
        <v>10.890464730408375</v>
      </c>
      <c r="AQ16" s="273"/>
      <c r="AR16" s="4">
        <f>$F16*AR$11</f>
        <v>0.98841939687005143</v>
      </c>
      <c r="AS16" s="4">
        <f t="shared" si="52"/>
        <v>6.0513395600874764</v>
      </c>
      <c r="AT16" s="4">
        <f t="shared" si="38"/>
        <v>2.4710484921751288</v>
      </c>
      <c r="AU16" s="267">
        <f t="shared" si="39"/>
        <v>12.859096565185887</v>
      </c>
    </row>
    <row r="17" spans="1:47" x14ac:dyDescent="0.4">
      <c r="A17" s="18">
        <f>SUM(F12:F18)</f>
        <v>1</v>
      </c>
      <c r="B17">
        <v>4</v>
      </c>
      <c r="C17" s="1">
        <v>3.4</v>
      </c>
      <c r="D17" s="1">
        <f t="shared" si="1"/>
        <v>2.8899999999999997</v>
      </c>
      <c r="E17" s="4">
        <v>3913</v>
      </c>
      <c r="F17" s="6">
        <f t="shared" si="53"/>
        <v>5.3917380880205035E-2</v>
      </c>
      <c r="H17" s="4">
        <f t="shared" si="40"/>
        <v>4.9826744137983301</v>
      </c>
      <c r="I17" s="4">
        <f t="shared" si="41"/>
        <v>0</v>
      </c>
      <c r="J17" s="267">
        <f t="shared" si="42"/>
        <v>16.941093006914322</v>
      </c>
      <c r="K17" s="267">
        <f t="shared" si="4"/>
        <v>0</v>
      </c>
      <c r="L17" s="273"/>
      <c r="M17" s="4">
        <f t="shared" si="43"/>
        <v>5.1337722438361721</v>
      </c>
      <c r="N17" s="4">
        <f t="shared" si="43"/>
        <v>0</v>
      </c>
      <c r="O17" s="4">
        <f t="shared" si="44"/>
        <v>17.454825629042986</v>
      </c>
      <c r="P17" s="267">
        <f t="shared" si="45"/>
        <v>0</v>
      </c>
      <c r="Q17" s="6">
        <f t="shared" si="28"/>
        <v>5.3917380880205035E-2</v>
      </c>
      <c r="R17" s="273"/>
      <c r="S17" s="4">
        <f t="shared" ref="S17" si="54">$F17*S$11</f>
        <v>4.7927577323435591</v>
      </c>
      <c r="T17" s="4">
        <f t="shared" si="46"/>
        <v>0.48579380545933309</v>
      </c>
      <c r="U17" s="4">
        <f t="shared" si="47"/>
        <v>16.2953762899681</v>
      </c>
      <c r="V17" s="267">
        <f t="shared" si="29"/>
        <v>1.4039440977774724</v>
      </c>
      <c r="W17" s="273"/>
      <c r="X17" s="4">
        <f t="shared" ref="X17" si="55">$F17*X$11</f>
        <v>4.5803005634473459</v>
      </c>
      <c r="Y17" s="4">
        <f t="shared" si="48"/>
        <v>0.83729429983423254</v>
      </c>
      <c r="Z17" s="4">
        <f t="shared" si="30"/>
        <v>15.573021915720975</v>
      </c>
      <c r="AA17" s="267">
        <f t="shared" si="31"/>
        <v>2.4197805265209316</v>
      </c>
      <c r="AB17" s="273"/>
      <c r="AC17" s="4">
        <f t="shared" ref="AC17" si="56">$F17*AC$11</f>
        <v>3.8316780690294241</v>
      </c>
      <c r="AD17" s="4">
        <f t="shared" si="49"/>
        <v>1.7313656042605265</v>
      </c>
      <c r="AE17" s="4">
        <f t="shared" si="32"/>
        <v>13.027705434700042</v>
      </c>
      <c r="AF17" s="267">
        <f t="shared" si="33"/>
        <v>5.0036465963129215</v>
      </c>
      <c r="AG17" s="273"/>
      <c r="AH17" s="4">
        <f t="shared" ref="AH17" si="57">$F17*AH$11</f>
        <v>2.1128478027487199</v>
      </c>
      <c r="AI17" s="4">
        <f t="shared" si="50"/>
        <v>3.5793133857170392</v>
      </c>
      <c r="AJ17" s="4">
        <f t="shared" si="34"/>
        <v>7.1836825293456474</v>
      </c>
      <c r="AK17" s="267">
        <f t="shared" si="35"/>
        <v>10.344215684722242</v>
      </c>
      <c r="AL17" s="273"/>
      <c r="AM17" s="4">
        <f t="shared" ref="AM17" si="58">$F17*AM$11</f>
        <v>1.5130280027457264</v>
      </c>
      <c r="AN17" s="4">
        <f t="shared" si="51"/>
        <v>4.3154357386891453</v>
      </c>
      <c r="AO17" s="4">
        <f t="shared" si="36"/>
        <v>5.1442952093354695</v>
      </c>
      <c r="AP17" s="267">
        <f t="shared" si="37"/>
        <v>12.471609284811629</v>
      </c>
      <c r="AQ17" s="273"/>
      <c r="AR17" s="4">
        <f t="shared" ref="AR17" si="59">$F17*AR$11</f>
        <v>0.83229720248601491</v>
      </c>
      <c r="AS17" s="4">
        <f t="shared" si="52"/>
        <v>5.0955222075795774</v>
      </c>
      <c r="AT17" s="4">
        <f t="shared" si="38"/>
        <v>2.8298104884524506</v>
      </c>
      <c r="AU17" s="267">
        <f t="shared" si="39"/>
        <v>14.726059179904977</v>
      </c>
    </row>
    <row r="18" spans="1:47" x14ac:dyDescent="0.4">
      <c r="B18">
        <v>5</v>
      </c>
      <c r="C18" s="1">
        <v>6</v>
      </c>
      <c r="D18" s="1">
        <f t="shared" si="1"/>
        <v>5.0999999999999996</v>
      </c>
      <c r="E18" s="4">
        <v>2732</v>
      </c>
      <c r="F18" s="6">
        <f t="shared" si="53"/>
        <v>3.7644335436933338E-2</v>
      </c>
      <c r="H18" s="4">
        <f t="shared" si="40"/>
        <v>3.4788312032959463</v>
      </c>
      <c r="I18" s="4">
        <f t="shared" si="41"/>
        <v>0</v>
      </c>
      <c r="J18" s="267">
        <f t="shared" si="42"/>
        <v>20.872987219775677</v>
      </c>
      <c r="K18" s="267">
        <f t="shared" si="4"/>
        <v>0</v>
      </c>
      <c r="L18" s="273"/>
      <c r="M18" s="4">
        <f t="shared" si="43"/>
        <v>3.5843255226579154</v>
      </c>
      <c r="N18" s="4">
        <f t="shared" si="43"/>
        <v>0</v>
      </c>
      <c r="O18" s="4">
        <f t="shared" si="44"/>
        <v>21.505953135947493</v>
      </c>
      <c r="P18" s="267">
        <f t="shared" si="45"/>
        <v>0</v>
      </c>
      <c r="Q18" s="6">
        <f t="shared" si="28"/>
        <v>3.7644335436933338E-2</v>
      </c>
      <c r="R18" s="273"/>
      <c r="S18" s="4">
        <f>$F18*S$11</f>
        <v>3.3462341233740363</v>
      </c>
      <c r="T18" s="4">
        <f t="shared" si="46"/>
        <v>0.33917420815612009</v>
      </c>
      <c r="U18" s="4">
        <f t="shared" si="47"/>
        <v>20.077404740244219</v>
      </c>
      <c r="V18" s="267">
        <f t="shared" si="29"/>
        <v>1.7297884615962125</v>
      </c>
      <c r="W18" s="273"/>
      <c r="X18" s="4">
        <f>$F18*X$11</f>
        <v>3.197899601159762</v>
      </c>
      <c r="Y18" s="4">
        <f t="shared" si="48"/>
        <v>0.58458676901280937</v>
      </c>
      <c r="Z18" s="4">
        <f>$C18*X18</f>
        <v>19.187397606958573</v>
      </c>
      <c r="AA18" s="267">
        <f t="shared" si="31"/>
        <v>2.9813925219653274</v>
      </c>
      <c r="AB18" s="273"/>
      <c r="AC18" s="4">
        <f>$F18*AC$11</f>
        <v>2.6752222040859666</v>
      </c>
      <c r="AD18" s="4">
        <f t="shared" si="49"/>
        <v>1.2088144213748424</v>
      </c>
      <c r="AE18" s="4">
        <f>$C18*AC18</f>
        <v>16.051333224515801</v>
      </c>
      <c r="AF18" s="267">
        <f t="shared" si="33"/>
        <v>6.1649535490116962</v>
      </c>
      <c r="AG18" s="273"/>
      <c r="AH18" s="4">
        <f>$F18*AH$11</f>
        <v>1.4751597743699212</v>
      </c>
      <c r="AI18" s="4">
        <f t="shared" si="50"/>
        <v>2.4990248325527604</v>
      </c>
      <c r="AJ18" s="4">
        <f>$C18*AH18</f>
        <v>8.850958646219528</v>
      </c>
      <c r="AK18" s="267">
        <f t="shared" si="35"/>
        <v>12.745026646019078</v>
      </c>
      <c r="AL18" s="273"/>
      <c r="AM18" s="4">
        <f>$F18*AM$11</f>
        <v>1.0563742661644069</v>
      </c>
      <c r="AN18" s="4">
        <f t="shared" si="51"/>
        <v>3.0129748116786974</v>
      </c>
      <c r="AO18" s="4">
        <f>$C18*AM18</f>
        <v>6.3382455969864413</v>
      </c>
      <c r="AP18" s="267">
        <f t="shared" si="37"/>
        <v>15.366171539561355</v>
      </c>
      <c r="AQ18" s="273"/>
      <c r="AR18" s="4">
        <f>$F18*AR$11</f>
        <v>0.58109786792532392</v>
      </c>
      <c r="AS18" s="4">
        <f t="shared" si="52"/>
        <v>3.5576199006152325</v>
      </c>
      <c r="AT18" s="4">
        <f>$C18*AR18</f>
        <v>3.4865872075519437</v>
      </c>
      <c r="AU18" s="267">
        <f t="shared" si="39"/>
        <v>18.143861493137685</v>
      </c>
    </row>
    <row r="19" spans="1:47" x14ac:dyDescent="0.4">
      <c r="F19" s="6"/>
      <c r="G19" s="4">
        <f>機器台数2!D31</f>
        <v>469.174398</v>
      </c>
      <c r="H19" s="4">
        <f>G19*(1-G$3)</f>
        <v>469.174398</v>
      </c>
      <c r="I19" s="4">
        <f>G19*$G$3</f>
        <v>0</v>
      </c>
      <c r="J19" s="4">
        <f>SUM(J20:J26)</f>
        <v>1272.5946431140326</v>
      </c>
      <c r="K19" s="267">
        <f t="shared" si="4"/>
        <v>0</v>
      </c>
      <c r="L19" s="273">
        <f>機器台数2!F31</f>
        <v>483.40194480715132</v>
      </c>
      <c r="M19" s="4">
        <f>L19*(1-L$3)</f>
        <v>483.40194480715132</v>
      </c>
      <c r="N19" s="4">
        <f>L19*$G$3</f>
        <v>0</v>
      </c>
      <c r="O19" s="4">
        <f>SUM(O20:O26)</f>
        <v>1311.1856232029224</v>
      </c>
      <c r="P19" s="267">
        <f t="shared" ref="P19" si="60">I19*N19</f>
        <v>0</v>
      </c>
      <c r="Q19" s="6"/>
      <c r="R19" s="273">
        <f>機器台数2!H31</f>
        <v>451.29162315022302</v>
      </c>
      <c r="S19" s="4">
        <f>R19*(1-R$3)</f>
        <v>451.29162315022302</v>
      </c>
      <c r="T19" s="4">
        <f>機器台数2!H41</f>
        <v>45.74290778408799</v>
      </c>
      <c r="U19" s="4">
        <f>SUM(U20:U26)</f>
        <v>1224.0891756911478</v>
      </c>
      <c r="V19" s="4">
        <f>SUM(V20:V26)</f>
        <v>105.46260134065568</v>
      </c>
      <c r="W19" s="273">
        <f>機器台数2!J31</f>
        <v>431.28640987728141</v>
      </c>
      <c r="X19" s="4">
        <f>W19*(1-W$3)</f>
        <v>431.28640987728141</v>
      </c>
      <c r="Y19" s="4">
        <f>機器台数2!J41</f>
        <v>78.84060174304966</v>
      </c>
      <c r="Z19" s="4">
        <f>SUM(Z20:Z26)</f>
        <v>1169.8267791195872</v>
      </c>
      <c r="AA19" s="4">
        <f>SUM(AA20:AA26)</f>
        <v>181.77101880648243</v>
      </c>
      <c r="AB19" s="273"/>
      <c r="AC19" s="4">
        <f>機器台数2!L31</f>
        <v>360.79524810778531</v>
      </c>
      <c r="AD19" s="4">
        <f>機器台数2!L41</f>
        <v>163.02739204619371</v>
      </c>
      <c r="AE19" s="4">
        <f>SUM(AE20:AE26)</f>
        <v>978.62564956702067</v>
      </c>
      <c r="AF19" s="4">
        <f>SUM(AF20:AF26)</f>
        <v>375.86794735762999</v>
      </c>
      <c r="AG19" s="273">
        <f>機器台数2!N31</f>
        <v>198.94819801492554</v>
      </c>
      <c r="AH19" s="4">
        <f>機器台数2!N31</f>
        <v>198.94819801492554</v>
      </c>
      <c r="AI19" s="4">
        <f>機器台数2!N41</f>
        <v>337.03229702238838</v>
      </c>
      <c r="AJ19" s="4">
        <f>SUM(AJ20:AJ26)</f>
        <v>539.62963906437199</v>
      </c>
      <c r="AK19" s="4">
        <f>SUM(AK20:AK26)</f>
        <v>777.04510932210462</v>
      </c>
      <c r="AL19" s="273">
        <f>機器台数2!S31</f>
        <v>0.33</v>
      </c>
      <c r="AM19" s="4">
        <f>機器台数2!P31</f>
        <v>142.46847042213747</v>
      </c>
      <c r="AN19" s="4">
        <f>機器台数2!P41</f>
        <v>406.34643098498725</v>
      </c>
      <c r="AO19" s="4">
        <f>SUM(AO20:AO26)</f>
        <v>386.43330293538764</v>
      </c>
      <c r="AP19" s="4">
        <f>SUM(AP20:AP26)</f>
        <v>936.85237194464423</v>
      </c>
      <c r="AQ19" s="273">
        <f>機器台数2!X31</f>
        <v>0</v>
      </c>
      <c r="AR19" s="4">
        <f>機器台数2!R31</f>
        <v>78.370069264827748</v>
      </c>
      <c r="AS19" s="4">
        <f>機器台数2!R41</f>
        <v>479.80027705931104</v>
      </c>
      <c r="AT19" s="4">
        <f>SUM(AT20:AT26)</f>
        <v>212.57197910209811</v>
      </c>
      <c r="AU19" s="4">
        <f>SUM(AU20:AU26)</f>
        <v>1106.2039514734172</v>
      </c>
    </row>
    <row r="20" spans="1:47" x14ac:dyDescent="0.4">
      <c r="A20" t="s">
        <v>6</v>
      </c>
      <c r="B20">
        <v>1.5</v>
      </c>
      <c r="C20" s="1">
        <v>1.8</v>
      </c>
      <c r="D20" s="1">
        <f t="shared" si="1"/>
        <v>1.53</v>
      </c>
      <c r="E20" s="4">
        <v>32946</v>
      </c>
      <c r="F20" s="6">
        <v>6.5181005591013225E-2</v>
      </c>
      <c r="H20" s="4">
        <f>F20*H$19</f>
        <v>30.581259059198263</v>
      </c>
      <c r="I20" s="4">
        <f>$F20*I$19</f>
        <v>0</v>
      </c>
      <c r="J20" s="267">
        <f>C20*H20</f>
        <v>55.046266306556873</v>
      </c>
      <c r="K20" s="267">
        <f t="shared" si="4"/>
        <v>0</v>
      </c>
      <c r="L20" s="273"/>
      <c r="M20" s="4">
        <f>$F20*M$19</f>
        <v>31.508624867181595</v>
      </c>
      <c r="N20" s="4">
        <f>$F20*N$19</f>
        <v>0</v>
      </c>
      <c r="O20" s="4">
        <f>$C20*$M20</f>
        <v>56.715524760926876</v>
      </c>
      <c r="P20" s="267">
        <f>$D20*$N20</f>
        <v>0</v>
      </c>
      <c r="Q20" s="6">
        <f t="shared" ref="Q20:Q26" si="61">E20/$A$22</f>
        <v>6.5181005591013225E-2</v>
      </c>
      <c r="R20" s="273">
        <f>SUM(S20:S26)</f>
        <v>451.29162315022296</v>
      </c>
      <c r="S20" s="4">
        <f>$F20*S$19</f>
        <v>29.415641811732119</v>
      </c>
      <c r="T20" s="4">
        <f>$F20*T$19</f>
        <v>2.9815687280238414</v>
      </c>
      <c r="U20" s="4">
        <f>$C20*S20</f>
        <v>52.948155261117812</v>
      </c>
      <c r="V20" s="267">
        <f t="shared" ref="V20:V26" si="62">$D20*T20</f>
        <v>4.5618001538764776</v>
      </c>
      <c r="W20" s="273">
        <f>SUM(X20:X26)</f>
        <v>431.28640987728136</v>
      </c>
      <c r="X20" s="4">
        <f>$F20*X$19</f>
        <v>28.1116818935391</v>
      </c>
      <c r="Y20" s="4">
        <f>$F20*Y$19</f>
        <v>5.1389097030125672</v>
      </c>
      <c r="Z20" s="4">
        <f t="shared" ref="Z20:Z26" si="63">$C20*X20</f>
        <v>50.601027408370378</v>
      </c>
      <c r="AA20" s="267">
        <f t="shared" ref="AA20:AA26" si="64">$D20*Y20</f>
        <v>7.8625318456092277</v>
      </c>
      <c r="AB20" s="273">
        <f>SUM(AC20:AC26)</f>
        <v>360.79524810778531</v>
      </c>
      <c r="AC20" s="4">
        <f>$F20*AC$19</f>
        <v>23.516997084124558</v>
      </c>
      <c r="AD20" s="4">
        <f>$F20*AD$19</f>
        <v>10.626289352451257</v>
      </c>
      <c r="AE20" s="4">
        <f t="shared" ref="AE20:AE26" si="65">$C20*AC20</f>
        <v>42.330594751424208</v>
      </c>
      <c r="AF20" s="267">
        <f t="shared" ref="AF20:AF26" si="66">$D20*AD20</f>
        <v>16.258222709250425</v>
      </c>
      <c r="AG20" s="273">
        <f>SUM(AH20:AH26)</f>
        <v>198.94819801492554</v>
      </c>
      <c r="AH20" s="4">
        <f>$F20*AH$19</f>
        <v>12.967643607132867</v>
      </c>
      <c r="AI20" s="4">
        <f>$F20*AI$19</f>
        <v>21.968104036568327</v>
      </c>
      <c r="AJ20" s="4">
        <f t="shared" ref="AJ20:AJ26" si="67">$C20*AH20</f>
        <v>23.341758492839162</v>
      </c>
      <c r="AK20" s="267">
        <f t="shared" ref="AK20:AK26" si="68">$D20*AI20</f>
        <v>33.611199175949544</v>
      </c>
      <c r="AL20" s="273">
        <f>SUM(AM20:AM26)</f>
        <v>142.46847042213747</v>
      </c>
      <c r="AM20" s="4">
        <f>$F20*AM$19</f>
        <v>9.2862381671284453</v>
      </c>
      <c r="AN20" s="4">
        <f>$F20*AN$19</f>
        <v>26.486068989920724</v>
      </c>
      <c r="AO20" s="4">
        <f t="shared" ref="AO20:AO26" si="69">$C20*AM20</f>
        <v>16.715228700831201</v>
      </c>
      <c r="AP20" s="267">
        <f t="shared" ref="AP20:AP26" si="70">$D20*AN20</f>
        <v>40.523685554578712</v>
      </c>
      <c r="AQ20" s="273">
        <f>SUM(AR20:AR26)</f>
        <v>78.370069264827748</v>
      </c>
      <c r="AR20" s="4">
        <f>$F20*AR$19</f>
        <v>5.1082399229188313</v>
      </c>
      <c r="AS20" s="4">
        <f>$F20*AS$19</f>
        <v>31.273864541572646</v>
      </c>
      <c r="AT20" s="4">
        <f t="shared" ref="AT20:AT26" si="71">$C20*AR20</f>
        <v>9.1948318612538973</v>
      </c>
      <c r="AU20" s="267">
        <f t="shared" ref="AU20:AU26" si="72">$D20*AS20</f>
        <v>47.84901274860615</v>
      </c>
    </row>
    <row r="21" spans="1:47" x14ac:dyDescent="0.4">
      <c r="A21" t="s">
        <v>17</v>
      </c>
      <c r="B21">
        <v>2</v>
      </c>
      <c r="C21" s="1">
        <v>2</v>
      </c>
      <c r="D21" s="1">
        <f t="shared" si="1"/>
        <v>1.7</v>
      </c>
      <c r="E21" s="4">
        <v>122471</v>
      </c>
      <c r="F21" s="6">
        <v>0.24229900248093794</v>
      </c>
      <c r="H21" s="4">
        <f>F21*H$19</f>
        <v>113.68048862499457</v>
      </c>
      <c r="I21" s="4">
        <f t="shared" ref="I21:I26" si="73">$F21*I$19</f>
        <v>0</v>
      </c>
      <c r="J21" s="267">
        <f t="shared" ref="J21:J26" si="74">C21*H21</f>
        <v>227.36097724998913</v>
      </c>
      <c r="K21" s="267">
        <f t="shared" si="4"/>
        <v>0</v>
      </c>
      <c r="L21" s="273"/>
      <c r="M21" s="4">
        <f t="shared" ref="M21:N26" si="75">$F21*M$19</f>
        <v>117.12780902411818</v>
      </c>
      <c r="N21" s="4">
        <f t="shared" si="75"/>
        <v>0</v>
      </c>
      <c r="O21" s="4">
        <f t="shared" ref="O21:O26" si="76">$C21*$M21</f>
        <v>234.25561804823636</v>
      </c>
      <c r="P21" s="267">
        <f t="shared" ref="P21:P26" si="77">$D21*$N21</f>
        <v>0</v>
      </c>
      <c r="Q21" s="6">
        <f t="shared" si="61"/>
        <v>0.24229900248093794</v>
      </c>
      <c r="R21" s="273"/>
      <c r="S21" s="4">
        <f t="shared" ref="S21:S26" si="78">$F21*S$19</f>
        <v>109.34751011730239</v>
      </c>
      <c r="T21" s="4">
        <f t="shared" ref="T21:T26" si="79">$F21*T$19</f>
        <v>11.083460926662051</v>
      </c>
      <c r="U21" s="4">
        <f t="shared" ref="U21:U26" si="80">$C21*S21</f>
        <v>218.69502023460478</v>
      </c>
      <c r="V21" s="267">
        <f t="shared" si="62"/>
        <v>18.841883575325486</v>
      </c>
      <c r="W21" s="273"/>
      <c r="X21" s="4">
        <f t="shared" ref="X21:Y26" si="81">$F21*X$19</f>
        <v>104.50026689685022</v>
      </c>
      <c r="Y21" s="4">
        <f t="shared" si="81"/>
        <v>19.10299915733783</v>
      </c>
      <c r="Z21" s="4">
        <f t="shared" si="63"/>
        <v>209.00053379370044</v>
      </c>
      <c r="AA21" s="267">
        <f t="shared" si="64"/>
        <v>32.475098567474312</v>
      </c>
      <c r="AB21" s="273"/>
      <c r="AC21" s="4">
        <f t="shared" ref="AC21:AD26" si="82">$F21*AC$19</f>
        <v>87.42032871637889</v>
      </c>
      <c r="AD21" s="4">
        <f t="shared" si="82"/>
        <v>39.501374469861531</v>
      </c>
      <c r="AE21" s="4">
        <f t="shared" si="65"/>
        <v>174.84065743275778</v>
      </c>
      <c r="AF21" s="267">
        <f t="shared" si="66"/>
        <v>67.152336598764606</v>
      </c>
      <c r="AG21" s="273"/>
      <c r="AH21" s="4">
        <f t="shared" ref="AH21:AI26" si="83">$F21*AH$19</f>
        <v>48.204949924396573</v>
      </c>
      <c r="AI21" s="4">
        <f t="shared" si="83"/>
        <v>81.662589372383891</v>
      </c>
      <c r="AJ21" s="4">
        <f t="shared" si="67"/>
        <v>96.409899848793145</v>
      </c>
      <c r="AK21" s="267">
        <f t="shared" si="68"/>
        <v>138.82640193305261</v>
      </c>
      <c r="AL21" s="273"/>
      <c r="AM21" s="4">
        <f t="shared" ref="AM21:AN26" si="84">$F21*AM$19</f>
        <v>34.519968268268919</v>
      </c>
      <c r="AN21" s="4">
        <f t="shared" si="84"/>
        <v>98.457334889351699</v>
      </c>
      <c r="AO21" s="4">
        <f t="shared" si="69"/>
        <v>69.039936536537837</v>
      </c>
      <c r="AP21" s="267">
        <f t="shared" si="70"/>
        <v>167.3774693118979</v>
      </c>
      <c r="AQ21" s="273"/>
      <c r="AR21" s="4">
        <f t="shared" ref="AR21:AS26" si="85">$F21*AR$19</f>
        <v>18.988989607229776</v>
      </c>
      <c r="AS21" s="4">
        <f t="shared" si="85"/>
        <v>116.25512852154871</v>
      </c>
      <c r="AT21" s="4">
        <f t="shared" si="71"/>
        <v>37.977979214459552</v>
      </c>
      <c r="AU21" s="267">
        <f t="shared" si="72"/>
        <v>197.6337184866328</v>
      </c>
    </row>
    <row r="22" spans="1:47" x14ac:dyDescent="0.4">
      <c r="A22" s="5">
        <f>SUM(E20:E26)</f>
        <v>505454</v>
      </c>
      <c r="B22">
        <v>2.5</v>
      </c>
      <c r="C22" s="1">
        <v>2.2000000000000002</v>
      </c>
      <c r="D22" s="1">
        <f t="shared" si="1"/>
        <v>1.87</v>
      </c>
      <c r="E22" s="4">
        <v>82511</v>
      </c>
      <c r="F22" s="6">
        <v>0.16324136321010418</v>
      </c>
      <c r="H22" s="4">
        <f t="shared" ref="H22:H26" si="86">F22*H$19</f>
        <v>76.588668312799982</v>
      </c>
      <c r="I22" s="4">
        <f t="shared" si="73"/>
        <v>0</v>
      </c>
      <c r="J22" s="267">
        <f t="shared" si="74"/>
        <v>168.49507028815998</v>
      </c>
      <c r="K22" s="267">
        <f t="shared" si="4"/>
        <v>0</v>
      </c>
      <c r="L22" s="273"/>
      <c r="M22" s="4">
        <f t="shared" si="75"/>
        <v>78.911192448734923</v>
      </c>
      <c r="N22" s="4">
        <f t="shared" si="75"/>
        <v>0</v>
      </c>
      <c r="O22" s="4">
        <f t="shared" si="76"/>
        <v>173.60462338721683</v>
      </c>
      <c r="P22" s="267">
        <f t="shared" si="77"/>
        <v>0</v>
      </c>
      <c r="Q22" s="6">
        <f t="shared" si="61"/>
        <v>0.16324136321010418</v>
      </c>
      <c r="R22" s="273"/>
      <c r="S22" s="4">
        <f t="shared" si="78"/>
        <v>73.669459768343017</v>
      </c>
      <c r="T22" s="4">
        <f t="shared" si="79"/>
        <v>7.4671346238686098</v>
      </c>
      <c r="U22" s="4">
        <f t="shared" si="80"/>
        <v>162.07281149035464</v>
      </c>
      <c r="V22" s="267">
        <f t="shared" si="62"/>
        <v>13.9635417466343</v>
      </c>
      <c r="W22" s="273"/>
      <c r="X22" s="4">
        <f t="shared" si="81"/>
        <v>70.403781482359165</v>
      </c>
      <c r="Y22" s="4">
        <f t="shared" si="81"/>
        <v>12.870047304840343</v>
      </c>
      <c r="Z22" s="4">
        <f t="shared" si="63"/>
        <v>154.88831926119016</v>
      </c>
      <c r="AA22" s="267">
        <f t="shared" si="64"/>
        <v>24.066988460051441</v>
      </c>
      <c r="AB22" s="273"/>
      <c r="AC22" s="4">
        <f t="shared" si="82"/>
        <v>58.896708140842634</v>
      </c>
      <c r="AD22" s="4">
        <f t="shared" si="82"/>
        <v>26.612813718208759</v>
      </c>
      <c r="AE22" s="4">
        <f t="shared" si="65"/>
        <v>129.57275790985381</v>
      </c>
      <c r="AF22" s="267">
        <f t="shared" si="66"/>
        <v>49.765961653050383</v>
      </c>
      <c r="AG22" s="273"/>
      <c r="AH22" s="4">
        <f t="shared" si="83"/>
        <v>32.476575052150189</v>
      </c>
      <c r="AI22" s="4">
        <f t="shared" si="83"/>
        <v>55.017611611767414</v>
      </c>
      <c r="AJ22" s="4">
        <f t="shared" si="67"/>
        <v>71.448465114730425</v>
      </c>
      <c r="AK22" s="267">
        <f t="shared" si="68"/>
        <v>102.88293371400508</v>
      </c>
      <c r="AL22" s="273"/>
      <c r="AM22" s="4">
        <f t="shared" si="84"/>
        <v>23.256747326168128</v>
      </c>
      <c r="AN22" s="4">
        <f t="shared" si="84"/>
        <v>66.332545329549831</v>
      </c>
      <c r="AO22" s="4">
        <f t="shared" si="69"/>
        <v>51.164844117569885</v>
      </c>
      <c r="AP22" s="267">
        <f t="shared" si="70"/>
        <v>124.04185976625818</v>
      </c>
      <c r="AQ22" s="273"/>
      <c r="AR22" s="4">
        <f t="shared" si="85"/>
        <v>12.793236941660769</v>
      </c>
      <c r="AS22" s="4">
        <f t="shared" si="85"/>
        <v>78.32325129574761</v>
      </c>
      <c r="AT22" s="4">
        <f t="shared" si="71"/>
        <v>28.145121271653693</v>
      </c>
      <c r="AU22" s="267">
        <f t="shared" si="72"/>
        <v>146.46447992304803</v>
      </c>
    </row>
    <row r="23" spans="1:47" x14ac:dyDescent="0.4">
      <c r="A23" s="237">
        <f>A22/$E$75</f>
        <v>0.33416170667385958</v>
      </c>
      <c r="B23">
        <v>3</v>
      </c>
      <c r="C23" s="1">
        <v>2.7</v>
      </c>
      <c r="D23" s="1">
        <f t="shared" si="1"/>
        <v>2.2949999999999999</v>
      </c>
      <c r="E23" s="4">
        <v>111538</v>
      </c>
      <c r="F23" s="6">
        <v>0.22066894316792429</v>
      </c>
      <c r="H23" s="4">
        <f t="shared" si="86"/>
        <v>103.5322185681071</v>
      </c>
      <c r="I23" s="4">
        <f t="shared" si="73"/>
        <v>0</v>
      </c>
      <c r="J23" s="267">
        <f t="shared" si="74"/>
        <v>279.53699013388916</v>
      </c>
      <c r="K23" s="267">
        <f t="shared" si="4"/>
        <v>0</v>
      </c>
      <c r="L23" s="273"/>
      <c r="M23" s="4">
        <f t="shared" si="75"/>
        <v>106.67179628591335</v>
      </c>
      <c r="N23" s="4">
        <f t="shared" si="75"/>
        <v>0</v>
      </c>
      <c r="O23" s="4">
        <f t="shared" si="76"/>
        <v>288.01384997196607</v>
      </c>
      <c r="P23" s="267">
        <f t="shared" si="77"/>
        <v>0</v>
      </c>
      <c r="Q23" s="6">
        <f t="shared" si="61"/>
        <v>0.22066894316792429</v>
      </c>
      <c r="R23" s="273"/>
      <c r="S23" s="4">
        <f t="shared" si="78"/>
        <v>99.586045541096865</v>
      </c>
      <c r="T23" s="4">
        <f t="shared" si="79"/>
        <v>10.094039118142515</v>
      </c>
      <c r="U23" s="4">
        <f t="shared" si="80"/>
        <v>268.88232296096157</v>
      </c>
      <c r="V23" s="267">
        <f t="shared" si="62"/>
        <v>23.16581977613707</v>
      </c>
      <c r="W23" s="273"/>
      <c r="X23" s="4">
        <f t="shared" si="81"/>
        <v>95.171516270307919</v>
      </c>
      <c r="Y23" s="4">
        <f t="shared" si="81"/>
        <v>17.39767226536198</v>
      </c>
      <c r="Z23" s="4">
        <f t="shared" si="63"/>
        <v>256.96309392983142</v>
      </c>
      <c r="AA23" s="267">
        <f t="shared" si="64"/>
        <v>39.92765784900574</v>
      </c>
      <c r="AB23" s="273"/>
      <c r="AC23" s="4">
        <f t="shared" si="82"/>
        <v>79.616306099954016</v>
      </c>
      <c r="AD23" s="4">
        <f t="shared" si="82"/>
        <v>35.975082310256433</v>
      </c>
      <c r="AE23" s="4">
        <f t="shared" si="65"/>
        <v>214.96402646987585</v>
      </c>
      <c r="AF23" s="267">
        <f t="shared" si="66"/>
        <v>82.562813902038513</v>
      </c>
      <c r="AG23" s="273"/>
      <c r="AH23" s="4">
        <f t="shared" si="83"/>
        <v>43.901688601116554</v>
      </c>
      <c r="AI23" s="4">
        <f t="shared" si="83"/>
        <v>74.372560797388402</v>
      </c>
      <c r="AJ23" s="4">
        <f t="shared" si="67"/>
        <v>118.5345592230147</v>
      </c>
      <c r="AK23" s="267">
        <f t="shared" si="68"/>
        <v>170.68502703000638</v>
      </c>
      <c r="AL23" s="273"/>
      <c r="AM23" s="4">
        <f t="shared" si="84"/>
        <v>31.438366802803756</v>
      </c>
      <c r="AN23" s="4">
        <f t="shared" si="84"/>
        <v>89.668037485515029</v>
      </c>
      <c r="AO23" s="4">
        <f t="shared" si="69"/>
        <v>84.88359036757015</v>
      </c>
      <c r="AP23" s="267">
        <f t="shared" si="70"/>
        <v>205.78814602925698</v>
      </c>
      <c r="AQ23" s="273"/>
      <c r="AR23" s="4">
        <f t="shared" si="85"/>
        <v>17.293840360666564</v>
      </c>
      <c r="AS23" s="4">
        <f t="shared" si="85"/>
        <v>105.87702007035544</v>
      </c>
      <c r="AT23" s="4">
        <f t="shared" si="71"/>
        <v>46.693368973799728</v>
      </c>
      <c r="AU23" s="267">
        <f t="shared" si="72"/>
        <v>242.98776106146573</v>
      </c>
    </row>
    <row r="24" spans="1:47" x14ac:dyDescent="0.4">
      <c r="B24">
        <v>3.5</v>
      </c>
      <c r="C24" s="1">
        <v>3</v>
      </c>
      <c r="D24" s="1">
        <f t="shared" si="1"/>
        <v>2.5499999999999998</v>
      </c>
      <c r="E24" s="4">
        <v>50267</v>
      </c>
      <c r="F24" s="6">
        <v>9.944920803871371E-2</v>
      </c>
      <c r="H24" s="4">
        <f t="shared" si="86"/>
        <v>46.659022313140262</v>
      </c>
      <c r="I24" s="4">
        <f t="shared" si="73"/>
        <v>0</v>
      </c>
      <c r="J24" s="267">
        <f t="shared" si="74"/>
        <v>139.97706693942078</v>
      </c>
      <c r="K24" s="267">
        <f t="shared" si="4"/>
        <v>0</v>
      </c>
      <c r="L24" s="273"/>
      <c r="M24" s="4">
        <f t="shared" si="75"/>
        <v>48.073940575445192</v>
      </c>
      <c r="N24" s="4">
        <f t="shared" si="75"/>
        <v>0</v>
      </c>
      <c r="O24" s="4">
        <f t="shared" si="76"/>
        <v>144.22182172633558</v>
      </c>
      <c r="P24" s="267">
        <f t="shared" si="77"/>
        <v>0</v>
      </c>
      <c r="Q24" s="6">
        <f t="shared" si="61"/>
        <v>9.944920803871371E-2</v>
      </c>
      <c r="R24" s="273"/>
      <c r="S24" s="4">
        <f t="shared" si="78"/>
        <v>44.88059451679532</v>
      </c>
      <c r="T24" s="4">
        <f t="shared" si="79"/>
        <v>4.5490959525154633</v>
      </c>
      <c r="U24" s="4">
        <f t="shared" si="80"/>
        <v>134.64178355038595</v>
      </c>
      <c r="V24" s="267">
        <f t="shared" si="62"/>
        <v>11.600194678914431</v>
      </c>
      <c r="W24" s="273"/>
      <c r="X24" s="4">
        <f t="shared" si="81"/>
        <v>42.891091900155708</v>
      </c>
      <c r="Y24" s="4">
        <f t="shared" si="81"/>
        <v>7.8406354046419207</v>
      </c>
      <c r="Z24" s="4">
        <f t="shared" si="63"/>
        <v>128.67327570046712</v>
      </c>
      <c r="AA24" s="267">
        <f t="shared" si="64"/>
        <v>19.993620281836897</v>
      </c>
      <c r="AB24" s="273"/>
      <c r="AC24" s="4">
        <f t="shared" si="82"/>
        <v>35.880801688450468</v>
      </c>
      <c r="AD24" s="4">
        <f t="shared" si="82"/>
        <v>16.212945027610861</v>
      </c>
      <c r="AE24" s="4">
        <f t="shared" si="65"/>
        <v>107.6424050653514</v>
      </c>
      <c r="AF24" s="267">
        <f t="shared" si="66"/>
        <v>41.343009820407694</v>
      </c>
      <c r="AG24" s="273"/>
      <c r="AH24" s="4">
        <f t="shared" si="83"/>
        <v>19.78524073331354</v>
      </c>
      <c r="AI24" s="4">
        <f t="shared" si="83"/>
        <v>33.517595022345056</v>
      </c>
      <c r="AJ24" s="4">
        <f t="shared" si="67"/>
        <v>59.355722199940615</v>
      </c>
      <c r="AK24" s="267">
        <f t="shared" si="68"/>
        <v>85.469867306979893</v>
      </c>
      <c r="AL24" s="273"/>
      <c r="AM24" s="4">
        <f t="shared" si="84"/>
        <v>14.16837655396848</v>
      </c>
      <c r="AN24" s="4">
        <f t="shared" si="84"/>
        <v>40.410830750814817</v>
      </c>
      <c r="AO24" s="4">
        <f t="shared" si="69"/>
        <v>42.505129661905443</v>
      </c>
      <c r="AP24" s="267">
        <f t="shared" si="70"/>
        <v>103.04761841457778</v>
      </c>
      <c r="AQ24" s="273"/>
      <c r="AR24" s="4">
        <f t="shared" si="85"/>
        <v>7.7938413223262577</v>
      </c>
      <c r="AS24" s="4">
        <f t="shared" si="85"/>
        <v>47.7157575703039</v>
      </c>
      <c r="AT24" s="4">
        <f t="shared" si="71"/>
        <v>23.381523966978772</v>
      </c>
      <c r="AU24" s="267">
        <f t="shared" si="72"/>
        <v>121.67518180427494</v>
      </c>
    </row>
    <row r="25" spans="1:47" x14ac:dyDescent="0.4">
      <c r="B25">
        <v>4</v>
      </c>
      <c r="C25" s="1">
        <v>3.4</v>
      </c>
      <c r="D25" s="1">
        <f t="shared" si="1"/>
        <v>2.8899999999999997</v>
      </c>
      <c r="E25" s="4">
        <v>62294</v>
      </c>
      <c r="F25" s="6">
        <v>0.12324365817660954</v>
      </c>
      <c r="H25" s="4">
        <f t="shared" si="86"/>
        <v>57.82276913232856</v>
      </c>
      <c r="I25" s="4">
        <f t="shared" si="73"/>
        <v>0</v>
      </c>
      <c r="J25" s="267">
        <f t="shared" si="74"/>
        <v>196.59741504991709</v>
      </c>
      <c r="K25" s="267">
        <f t="shared" si="4"/>
        <v>0</v>
      </c>
      <c r="L25" s="273"/>
      <c r="M25" s="4">
        <f t="shared" si="75"/>
        <v>59.576224047720828</v>
      </c>
      <c r="N25" s="4">
        <f t="shared" si="75"/>
        <v>0</v>
      </c>
      <c r="O25" s="4">
        <f t="shared" si="76"/>
        <v>202.55916176225082</v>
      </c>
      <c r="P25" s="267">
        <f t="shared" si="77"/>
        <v>0</v>
      </c>
      <c r="Q25" s="6">
        <f t="shared" si="61"/>
        <v>0.12324365817660954</v>
      </c>
      <c r="R25" s="273"/>
      <c r="S25" s="4">
        <f t="shared" si="78"/>
        <v>55.618830541493374</v>
      </c>
      <c r="T25" s="4">
        <f t="shared" si="79"/>
        <v>5.6375232909463122</v>
      </c>
      <c r="U25" s="4">
        <f t="shared" si="80"/>
        <v>189.10402384107746</v>
      </c>
      <c r="V25" s="267">
        <f t="shared" si="62"/>
        <v>16.29244231083484</v>
      </c>
      <c r="W25" s="273"/>
      <c r="X25" s="4">
        <f t="shared" si="81"/>
        <v>53.153314875132786</v>
      </c>
      <c r="Y25" s="4">
        <f t="shared" si="81"/>
        <v>9.7166041716586182</v>
      </c>
      <c r="Z25" s="4">
        <f t="shared" si="63"/>
        <v>180.72127057545146</v>
      </c>
      <c r="AA25" s="267">
        <f t="shared" si="64"/>
        <v>28.080986056093405</v>
      </c>
      <c r="AB25" s="273"/>
      <c r="AC25" s="4">
        <f t="shared" si="82"/>
        <v>44.46572622954092</v>
      </c>
      <c r="AD25" s="4">
        <f t="shared" si="82"/>
        <v>20.09209217876521</v>
      </c>
      <c r="AE25" s="4">
        <f t="shared" si="65"/>
        <v>151.18346918043912</v>
      </c>
      <c r="AF25" s="267">
        <f t="shared" si="66"/>
        <v>58.066146396631453</v>
      </c>
      <c r="AG25" s="273"/>
      <c r="AH25" s="4">
        <f t="shared" si="83"/>
        <v>24.519103711003911</v>
      </c>
      <c r="AI25" s="4">
        <f t="shared" si="83"/>
        <v>41.537093208704768</v>
      </c>
      <c r="AJ25" s="4">
        <f t="shared" si="67"/>
        <v>83.364952617413294</v>
      </c>
      <c r="AK25" s="267">
        <f t="shared" si="68"/>
        <v>120.04219937315676</v>
      </c>
      <c r="AL25" s="273"/>
      <c r="AM25" s="4">
        <f t="shared" si="84"/>
        <v>17.558335469650316</v>
      </c>
      <c r="AN25" s="4">
        <f t="shared" si="84"/>
        <v>50.079620641599028</v>
      </c>
      <c r="AO25" s="4">
        <f t="shared" si="69"/>
        <v>59.698340596811072</v>
      </c>
      <c r="AP25" s="267">
        <f t="shared" si="70"/>
        <v>144.73010365422118</v>
      </c>
      <c r="AQ25" s="273"/>
      <c r="AR25" s="4">
        <f t="shared" si="85"/>
        <v>9.6586140277516446</v>
      </c>
      <c r="AS25" s="4">
        <f t="shared" si="85"/>
        <v>59.132341338940279</v>
      </c>
      <c r="AT25" s="4">
        <f t="shared" si="71"/>
        <v>32.83928769435559</v>
      </c>
      <c r="AU25" s="267">
        <f t="shared" si="72"/>
        <v>170.8924664695374</v>
      </c>
    </row>
    <row r="26" spans="1:47" x14ac:dyDescent="0.4">
      <c r="B26">
        <v>5</v>
      </c>
      <c r="C26" s="1">
        <v>5.0999999999999996</v>
      </c>
      <c r="D26" s="1">
        <f t="shared" si="1"/>
        <v>4.335</v>
      </c>
      <c r="E26" s="4">
        <v>43427</v>
      </c>
      <c r="F26" s="6">
        <v>8.5916819334697123E-2</v>
      </c>
      <c r="H26" s="4">
        <f t="shared" si="86"/>
        <v>40.309971989431283</v>
      </c>
      <c r="I26" s="4">
        <f t="shared" si="73"/>
        <v>0</v>
      </c>
      <c r="J26" s="267">
        <f t="shared" si="74"/>
        <v>205.58085714609953</v>
      </c>
      <c r="K26" s="267">
        <f t="shared" si="4"/>
        <v>0</v>
      </c>
      <c r="L26" s="273"/>
      <c r="M26" s="4">
        <f t="shared" si="75"/>
        <v>41.532357558037248</v>
      </c>
      <c r="N26" s="4">
        <f t="shared" si="75"/>
        <v>0</v>
      </c>
      <c r="O26" s="4">
        <f t="shared" si="76"/>
        <v>211.81502354598996</v>
      </c>
      <c r="P26" s="267">
        <f t="shared" si="77"/>
        <v>0</v>
      </c>
      <c r="Q26" s="6">
        <f t="shared" si="61"/>
        <v>8.5916819334697123E-2</v>
      </c>
      <c r="R26" s="273"/>
      <c r="S26" s="4">
        <f t="shared" si="78"/>
        <v>38.773540853459927</v>
      </c>
      <c r="T26" s="4">
        <f t="shared" si="79"/>
        <v>3.9300851439291984</v>
      </c>
      <c r="U26" s="4">
        <f t="shared" si="80"/>
        <v>197.74505835264563</v>
      </c>
      <c r="V26" s="267">
        <f t="shared" si="62"/>
        <v>17.036919098933076</v>
      </c>
      <c r="W26" s="273"/>
      <c r="X26" s="4">
        <f t="shared" si="81"/>
        <v>37.054756558936518</v>
      </c>
      <c r="Y26" s="4">
        <f t="shared" si="81"/>
        <v>6.7737337361964043</v>
      </c>
      <c r="Z26" s="4">
        <f t="shared" si="63"/>
        <v>188.97925845057622</v>
      </c>
      <c r="AA26" s="267">
        <f t="shared" si="64"/>
        <v>29.364135746411414</v>
      </c>
      <c r="AB26" s="273"/>
      <c r="AC26" s="4">
        <f t="shared" si="82"/>
        <v>30.998380148493816</v>
      </c>
      <c r="AD26" s="4">
        <f t="shared" si="82"/>
        <v>14.006794989039664</v>
      </c>
      <c r="AE26" s="4">
        <f t="shared" si="65"/>
        <v>158.09173875731844</v>
      </c>
      <c r="AF26" s="267">
        <f t="shared" si="66"/>
        <v>60.719456277486941</v>
      </c>
      <c r="AG26" s="273"/>
      <c r="AH26" s="4">
        <f t="shared" si="83"/>
        <v>17.092996385811905</v>
      </c>
      <c r="AI26" s="4">
        <f t="shared" si="83"/>
        <v>28.956742973230522</v>
      </c>
      <c r="AJ26" s="4">
        <f t="shared" si="67"/>
        <v>87.174281567640705</v>
      </c>
      <c r="AK26" s="267">
        <f t="shared" si="68"/>
        <v>125.52748078895431</v>
      </c>
      <c r="AL26" s="273"/>
      <c r="AM26" s="4">
        <f t="shared" si="84"/>
        <v>12.240437834149425</v>
      </c>
      <c r="AN26" s="4">
        <f t="shared" si="84"/>
        <v>34.911992898236122</v>
      </c>
      <c r="AO26" s="4">
        <f t="shared" si="69"/>
        <v>62.42623295416206</v>
      </c>
      <c r="AP26" s="267">
        <f t="shared" si="70"/>
        <v>151.34348921385359</v>
      </c>
      <c r="AQ26" s="273"/>
      <c r="AR26" s="4">
        <f t="shared" si="85"/>
        <v>6.733307082273905</v>
      </c>
      <c r="AS26" s="4">
        <f t="shared" si="85"/>
        <v>41.222913720842449</v>
      </c>
      <c r="AT26" s="4">
        <f t="shared" si="71"/>
        <v>34.339866119596913</v>
      </c>
      <c r="AU26" s="267">
        <f t="shared" si="72"/>
        <v>178.701330979852</v>
      </c>
    </row>
    <row r="27" spans="1:47" x14ac:dyDescent="0.4">
      <c r="F27" s="6"/>
      <c r="G27" s="4">
        <f>機器台数2!D32</f>
        <v>105.20880439999999</v>
      </c>
      <c r="H27" s="4">
        <f>G27*(1-G$3)</f>
        <v>105.20880439999999</v>
      </c>
      <c r="I27" s="4">
        <f>G27*$G$3</f>
        <v>0</v>
      </c>
      <c r="J27" s="4">
        <f>SUM(J28:J34)</f>
        <v>328.99741060111126</v>
      </c>
      <c r="K27" s="267">
        <f t="shared" si="4"/>
        <v>0</v>
      </c>
      <c r="L27" s="273">
        <f>機器台数2!F32</f>
        <v>108.39922398705816</v>
      </c>
      <c r="M27" s="4">
        <f>L27*(1-L$3)</f>
        <v>108.39922398705816</v>
      </c>
      <c r="N27" s="4">
        <f>L27*$G$3</f>
        <v>0</v>
      </c>
      <c r="O27" s="4">
        <f>SUM(O28:O34)</f>
        <v>338.97414010449495</v>
      </c>
      <c r="P27" s="4">
        <f>SUM(P28:P34)</f>
        <v>0</v>
      </c>
      <c r="Q27" s="6"/>
      <c r="R27" s="273">
        <f>機器台数2!H32</f>
        <v>101.19872761550455</v>
      </c>
      <c r="S27" s="4">
        <f>R27*(1-R$3)</f>
        <v>101.19872761550455</v>
      </c>
      <c r="T27" s="4">
        <f>機器台数2!H42</f>
        <v>10.257500533401549</v>
      </c>
      <c r="U27" s="4">
        <f>SUM(U28:U34)</f>
        <v>316.45753919078061</v>
      </c>
      <c r="V27" s="4">
        <f>SUM(V28:V34)</f>
        <v>27.264709107551962</v>
      </c>
      <c r="W27" s="273">
        <f>機器台数2!J32</f>
        <v>96.712710093693403</v>
      </c>
      <c r="X27" s="4">
        <f>W27*(1-W$3)</f>
        <v>96.712710093693403</v>
      </c>
      <c r="Y27" s="4">
        <f>機器台数2!J42</f>
        <v>17.679407663592951</v>
      </c>
      <c r="Z27" s="4">
        <f>SUM(Z28:Z34)</f>
        <v>302.42935821292428</v>
      </c>
      <c r="AA27" s="4">
        <f>SUM(AA28:AA34)</f>
        <v>46.992335566746483</v>
      </c>
      <c r="AB27" s="273"/>
      <c r="AC27" s="4">
        <f>機器台数2!L32</f>
        <v>80.905601090836711</v>
      </c>
      <c r="AD27" s="4">
        <f>機器台数2!L42</f>
        <v>36.557657610358582</v>
      </c>
      <c r="AE27" s="4">
        <f>SUM(AE28:AE34)</f>
        <v>252.99910415113243</v>
      </c>
      <c r="AF27" s="4">
        <f>SUM(AF28:AF34)</f>
        <v>97.17122579270071</v>
      </c>
      <c r="AG27" s="273">
        <f>機器台数2!N32</f>
        <v>44.612626221528757</v>
      </c>
      <c r="AH27" s="4">
        <f>機器台数2!N32</f>
        <v>44.612626221528757</v>
      </c>
      <c r="AI27" s="4">
        <f>機器台数2!N42</f>
        <v>75.576939332293136</v>
      </c>
      <c r="AJ27" s="4">
        <f>SUM(AJ28:AJ34)</f>
        <v>139.50770176225097</v>
      </c>
      <c r="AK27" s="4">
        <f>SUM(AK28:AK34)</f>
        <v>200.88551391483603</v>
      </c>
      <c r="AL27" s="273">
        <f>機器台数2!S32</f>
        <v>7.3999999999999996E-2</v>
      </c>
      <c r="AM27" s="4">
        <f>機器台数2!P32</f>
        <v>31.947475185570216</v>
      </c>
      <c r="AN27" s="4">
        <f>機器台数2!P42</f>
        <v>91.120108766330475</v>
      </c>
      <c r="AO27" s="4">
        <f>SUM(AO28:AO34)</f>
        <v>99.902633351243153</v>
      </c>
      <c r="AP27" s="4">
        <f>SUM(AP28:AP34)</f>
        <v>242.19967147675516</v>
      </c>
      <c r="AQ27" s="273">
        <f>機器台数2!X32</f>
        <v>0</v>
      </c>
      <c r="AR27" s="4">
        <f>機器台数2!R32</f>
        <v>17.573894319991677</v>
      </c>
      <c r="AS27" s="4">
        <f>機器台数2!R42</f>
        <v>107.59157727996671</v>
      </c>
      <c r="AT27" s="4">
        <f>SUM(AT28:AT34)</f>
        <v>54.955150934638311</v>
      </c>
      <c r="AU27" s="4">
        <f>SUM(AU28:AU34)</f>
        <v>285.98127267054696</v>
      </c>
    </row>
    <row r="28" spans="1:47" x14ac:dyDescent="0.4">
      <c r="A28" t="s">
        <v>6</v>
      </c>
      <c r="B28">
        <v>1.5</v>
      </c>
      <c r="C28" s="1">
        <v>2</v>
      </c>
      <c r="D28" s="1">
        <f t="shared" si="1"/>
        <v>1.7</v>
      </c>
      <c r="E28" s="4">
        <v>15724</v>
      </c>
      <c r="F28" s="6">
        <v>0.13545480389031986</v>
      </c>
      <c r="H28" s="4">
        <f>F28*H$27</f>
        <v>14.25103796753702</v>
      </c>
      <c r="I28" s="4">
        <f>$F28*I$27</f>
        <v>0</v>
      </c>
      <c r="J28" s="267">
        <f>C28*H28</f>
        <v>28.502075935074039</v>
      </c>
      <c r="K28" s="267">
        <f t="shared" si="4"/>
        <v>0</v>
      </c>
      <c r="L28" s="273"/>
      <c r="M28" s="4">
        <f>$F28*M$27</f>
        <v>14.68319562702982</v>
      </c>
      <c r="N28" s="4">
        <f>$F28*N$27</f>
        <v>0</v>
      </c>
      <c r="O28" s="4">
        <f>$C28*$M28</f>
        <v>29.366391254059639</v>
      </c>
      <c r="P28" s="267">
        <f>$D28*$N28</f>
        <v>0</v>
      </c>
      <c r="Q28" s="6">
        <f t="shared" ref="Q28:Q34" si="87">E28/$A$30</f>
        <v>0.13545480389031986</v>
      </c>
      <c r="R28" s="273">
        <f>SUM(S28:S34)</f>
        <v>101.19872761550455</v>
      </c>
      <c r="S28" s="4">
        <f>$F28*S$27</f>
        <v>13.707853803108065</v>
      </c>
      <c r="T28" s="4">
        <f>$F28*T$27</f>
        <v>1.3894277231567582</v>
      </c>
      <c r="U28" s="4">
        <f t="shared" ref="U28:U34" si="88">$C28*S28</f>
        <v>27.415707606216131</v>
      </c>
      <c r="V28" s="267">
        <f t="shared" ref="V28:V34" si="89">$D28*T28</f>
        <v>2.362027129366489</v>
      </c>
      <c r="W28" s="273">
        <f>SUM(X28:X34)</f>
        <v>96.712710093693389</v>
      </c>
      <c r="X28" s="4">
        <f>$F28*X$27</f>
        <v>13.100201179442598</v>
      </c>
      <c r="Y28" s="4">
        <f>$F28*Y$27</f>
        <v>2.394760697969001</v>
      </c>
      <c r="Z28" s="4">
        <f t="shared" ref="Z28:Z34" si="90">$C28*X28</f>
        <v>26.200402358885196</v>
      </c>
      <c r="AA28" s="267">
        <f t="shared" ref="AA28:AA34" si="91">$D28*Y28</f>
        <v>4.0710931865473015</v>
      </c>
      <c r="AB28" s="273">
        <f>SUM(AC28:AC34)</f>
        <v>80.905601090836711</v>
      </c>
      <c r="AC28" s="4">
        <f>$F28*AC$27</f>
        <v>10.959052329387735</v>
      </c>
      <c r="AD28" s="4">
        <f>$F28*AD$27</f>
        <v>4.9519103423005815</v>
      </c>
      <c r="AE28" s="4">
        <f t="shared" ref="AE28:AE34" si="92">$C28*AC28</f>
        <v>21.918104658775469</v>
      </c>
      <c r="AF28" s="267">
        <f t="shared" ref="AF28:AF34" si="93">$D28*AD28</f>
        <v>8.4182475819109879</v>
      </c>
      <c r="AG28" s="273">
        <f>SUM(AH28:AH34)</f>
        <v>44.612626221528757</v>
      </c>
      <c r="AH28" s="4">
        <f>$F28*AH$27</f>
        <v>6.0429945358693189</v>
      </c>
      <c r="AI28" s="4">
        <f>$F28*AI$27</f>
        <v>10.237259495886368</v>
      </c>
      <c r="AJ28" s="4">
        <f t="shared" ref="AJ28:AJ34" si="94">$C28*AH28</f>
        <v>12.085989071738638</v>
      </c>
      <c r="AK28" s="267">
        <f t="shared" ref="AK28:AK34" si="95">$D28*AI28</f>
        <v>17.403341143006827</v>
      </c>
      <c r="AL28" s="273">
        <f>SUM(AM28:AM34)</f>
        <v>31.947475185570216</v>
      </c>
      <c r="AM28" s="4">
        <f>$F28*AM$27</f>
        <v>4.3274389860522735</v>
      </c>
      <c r="AN28" s="4">
        <f>$F28*AN$27</f>
        <v>12.342656463407909</v>
      </c>
      <c r="AO28" s="4">
        <f t="shared" ref="AO28:AO34" si="96">$C28*AM28</f>
        <v>8.654877972104547</v>
      </c>
      <c r="AP28" s="267">
        <f t="shared" ref="AP28:AP34" si="97">$D28*AN28</f>
        <v>20.982515987793445</v>
      </c>
      <c r="AQ28" s="273">
        <f>SUM(AR28:AR34)</f>
        <v>17.573894319991677</v>
      </c>
      <c r="AR28" s="4">
        <f>$F28*AR$27</f>
        <v>2.3804684087036785</v>
      </c>
      <c r="AS28" s="4">
        <f>$F28*AS$27</f>
        <v>14.573796000708084</v>
      </c>
      <c r="AT28" s="4">
        <f t="shared" ref="AT28:AT34" si="98">$C28*AR28</f>
        <v>4.760936817407357</v>
      </c>
      <c r="AU28" s="267">
        <f t="shared" ref="AU28:AU34" si="99">$D28*AS28</f>
        <v>24.775453201203742</v>
      </c>
    </row>
    <row r="29" spans="1:47" x14ac:dyDescent="0.4">
      <c r="A29" t="s">
        <v>7</v>
      </c>
      <c r="B29">
        <v>2</v>
      </c>
      <c r="C29" s="1">
        <v>2</v>
      </c>
      <c r="D29" s="1">
        <f t="shared" si="1"/>
        <v>1.7</v>
      </c>
      <c r="E29" s="4">
        <v>30745</v>
      </c>
      <c r="F29" s="6">
        <v>0.26485359613380083</v>
      </c>
      <c r="H29" s="4">
        <f t="shared" ref="H29:H34" si="100">F29*H$27</f>
        <v>27.864930190277644</v>
      </c>
      <c r="I29" s="4">
        <f t="shared" ref="I29:I31" si="101">$F29*I$27</f>
        <v>0</v>
      </c>
      <c r="J29" s="267">
        <f t="shared" ref="J29:J34" si="102">C29*H29</f>
        <v>55.729860380555287</v>
      </c>
      <c r="K29" s="267">
        <f t="shared" si="4"/>
        <v>0</v>
      </c>
      <c r="L29" s="273"/>
      <c r="M29" s="4">
        <f t="shared" ref="M29:N34" si="103">$F29*M$27</f>
        <v>28.70992429108572</v>
      </c>
      <c r="N29" s="4">
        <f t="shared" si="103"/>
        <v>0</v>
      </c>
      <c r="O29" s="4">
        <f t="shared" ref="O29:O34" si="104">$C29*$M29</f>
        <v>57.41984858217144</v>
      </c>
      <c r="P29" s="267">
        <f t="shared" ref="P29:P34" si="105">$D29*$N29</f>
        <v>0</v>
      </c>
      <c r="Q29" s="6">
        <f t="shared" si="87"/>
        <v>0.26485359613380083</v>
      </c>
      <c r="R29" s="273"/>
      <c r="S29" s="4">
        <f t="shared" ref="S29:S34" si="106">$F29*S$27</f>
        <v>26.802846933131359</v>
      </c>
      <c r="T29" s="4">
        <f t="shared" ref="T29:T31" si="107">$F29*T$27</f>
        <v>2.7167359036157803</v>
      </c>
      <c r="U29" s="4">
        <f t="shared" si="88"/>
        <v>53.605693866262719</v>
      </c>
      <c r="V29" s="267">
        <f t="shared" si="89"/>
        <v>4.6184510361468263</v>
      </c>
      <c r="W29" s="273"/>
      <c r="X29" s="4">
        <f t="shared" ref="X29:Y34" si="108">$F29*X$27</f>
        <v>25.614709060160436</v>
      </c>
      <c r="Y29" s="4">
        <f t="shared" si="108"/>
        <v>4.6824546972180707</v>
      </c>
      <c r="Z29" s="4">
        <f t="shared" si="90"/>
        <v>51.229418120320872</v>
      </c>
      <c r="AA29" s="267">
        <f t="shared" si="91"/>
        <v>7.9601729852707201</v>
      </c>
      <c r="AB29" s="273"/>
      <c r="AC29" s="4">
        <f t="shared" ref="AC29:AD34" si="109">$F29*AC$27</f>
        <v>21.428139396274862</v>
      </c>
      <c r="AD29" s="4">
        <f t="shared" si="109"/>
        <v>9.6824270843316818</v>
      </c>
      <c r="AE29" s="4">
        <f t="shared" si="92"/>
        <v>42.856278792549723</v>
      </c>
      <c r="AF29" s="267">
        <f t="shared" si="93"/>
        <v>16.460126043363857</v>
      </c>
      <c r="AG29" s="273"/>
      <c r="AH29" s="4">
        <f t="shared" ref="AH29:AI34" si="110">$F29*AH$27</f>
        <v>11.815814487744991</v>
      </c>
      <c r="AI29" s="4">
        <f t="shared" si="110"/>
        <v>20.016824166943934</v>
      </c>
      <c r="AJ29" s="4">
        <f t="shared" si="94"/>
        <v>23.631628975489981</v>
      </c>
      <c r="AK29" s="267">
        <f t="shared" si="95"/>
        <v>34.028601083804688</v>
      </c>
      <c r="AL29" s="273"/>
      <c r="AM29" s="4">
        <f t="shared" ref="AM29:AN34" si="111">$F29*AM$27</f>
        <v>8.461403690293638</v>
      </c>
      <c r="AN29" s="4">
        <f t="shared" si="111"/>
        <v>24.133488486865694</v>
      </c>
      <c r="AO29" s="4">
        <f t="shared" si="96"/>
        <v>16.922807380587276</v>
      </c>
      <c r="AP29" s="267">
        <f t="shared" si="97"/>
        <v>41.02693042767168</v>
      </c>
      <c r="AQ29" s="273"/>
      <c r="AR29" s="4">
        <f t="shared" ref="AR29:AS34" si="112">$F29*AR$27</f>
        <v>4.654509108725172</v>
      </c>
      <c r="AS29" s="4">
        <f t="shared" si="112"/>
        <v>28.496016156306926</v>
      </c>
      <c r="AT29" s="4">
        <f t="shared" si="98"/>
        <v>9.309018217450344</v>
      </c>
      <c r="AU29" s="267">
        <f t="shared" si="99"/>
        <v>48.443227465721769</v>
      </c>
    </row>
    <row r="30" spans="1:47" x14ac:dyDescent="0.4">
      <c r="A30" s="5">
        <f>SUM(E28:E34)</f>
        <v>116083</v>
      </c>
      <c r="B30">
        <v>2.5</v>
      </c>
      <c r="C30" s="1">
        <v>2.9</v>
      </c>
      <c r="D30" s="1">
        <f t="shared" si="1"/>
        <v>2.4649999999999999</v>
      </c>
      <c r="E30" s="4">
        <v>18615</v>
      </c>
      <c r="F30" s="6">
        <v>0.16035939801693616</v>
      </c>
      <c r="H30" s="4">
        <f t="shared" si="100"/>
        <v>16.871220539665583</v>
      </c>
      <c r="I30" s="4">
        <f t="shared" si="101"/>
        <v>0</v>
      </c>
      <c r="J30" s="267">
        <f t="shared" si="102"/>
        <v>48.92653956503019</v>
      </c>
      <c r="K30" s="267">
        <f t="shared" si="4"/>
        <v>0</v>
      </c>
      <c r="L30" s="273"/>
      <c r="M30" s="4">
        <f t="shared" si="103"/>
        <v>17.382834304067675</v>
      </c>
      <c r="N30" s="4">
        <f t="shared" si="103"/>
        <v>0</v>
      </c>
      <c r="O30" s="4">
        <f t="shared" si="104"/>
        <v>50.410219481796254</v>
      </c>
      <c r="P30" s="267">
        <f t="shared" si="105"/>
        <v>0</v>
      </c>
      <c r="Q30" s="6">
        <f t="shared" si="87"/>
        <v>0.16035939801693616</v>
      </c>
      <c r="R30" s="273"/>
      <c r="S30" s="4">
        <f t="shared" si="106"/>
        <v>16.228167040502203</v>
      </c>
      <c r="T30" s="4">
        <f t="shared" si="107"/>
        <v>1.644886610694674</v>
      </c>
      <c r="U30" s="4">
        <f t="shared" si="88"/>
        <v>47.061684417456391</v>
      </c>
      <c r="V30" s="267">
        <f t="shared" si="89"/>
        <v>4.0546454953623714</v>
      </c>
      <c r="W30" s="273"/>
      <c r="X30" s="4">
        <f t="shared" si="108"/>
        <v>15.50879197121114</v>
      </c>
      <c r="Y30" s="4">
        <f t="shared" si="108"/>
        <v>2.8350591702297732</v>
      </c>
      <c r="Z30" s="4">
        <f t="shared" si="90"/>
        <v>44.975496716512303</v>
      </c>
      <c r="AA30" s="267">
        <f t="shared" si="91"/>
        <v>6.9884208546163906</v>
      </c>
      <c r="AB30" s="273"/>
      <c r="AC30" s="4">
        <f t="shared" si="109"/>
        <v>12.973973487124949</v>
      </c>
      <c r="AD30" s="4">
        <f t="shared" si="109"/>
        <v>5.8623639673063668</v>
      </c>
      <c r="AE30" s="4">
        <f t="shared" si="92"/>
        <v>37.624523112662352</v>
      </c>
      <c r="AF30" s="267">
        <f t="shared" si="93"/>
        <v>14.450727179410194</v>
      </c>
      <c r="AG30" s="273"/>
      <c r="AH30" s="4">
        <f t="shared" si="110"/>
        <v>7.154053884838933</v>
      </c>
      <c r="AI30" s="4">
        <f t="shared" si="110"/>
        <v>12.119472495289033</v>
      </c>
      <c r="AJ30" s="4">
        <f t="shared" si="94"/>
        <v>20.746756266032904</v>
      </c>
      <c r="AK30" s="267">
        <f t="shared" si="95"/>
        <v>29.874499700887466</v>
      </c>
      <c r="AL30" s="273"/>
      <c r="AM30" s="4">
        <f t="shared" si="111"/>
        <v>5.1230778889190454</v>
      </c>
      <c r="AN30" s="4">
        <f t="shared" si="111"/>
        <v>14.611965789006502</v>
      </c>
      <c r="AO30" s="4">
        <f t="shared" si="96"/>
        <v>14.856925877865232</v>
      </c>
      <c r="AP30" s="267">
        <f t="shared" si="97"/>
        <v>36.018495669901029</v>
      </c>
      <c r="AQ30" s="273"/>
      <c r="AR30" s="4">
        <f t="shared" si="112"/>
        <v>2.8181391139671188</v>
      </c>
      <c r="AS30" s="4">
        <f t="shared" si="112"/>
        <v>17.25332056430813</v>
      </c>
      <c r="AT30" s="4">
        <f t="shared" si="98"/>
        <v>8.172603430504644</v>
      </c>
      <c r="AU30" s="267">
        <f t="shared" si="99"/>
        <v>42.529435191019537</v>
      </c>
    </row>
    <row r="31" spans="1:47" x14ac:dyDescent="0.4">
      <c r="A31" s="237">
        <f>A30/$E$75</f>
        <v>7.6743864715328472E-2</v>
      </c>
      <c r="B31">
        <v>3</v>
      </c>
      <c r="C31" s="1">
        <v>2.9</v>
      </c>
      <c r="D31" s="1">
        <f t="shared" si="1"/>
        <v>2.4649999999999999</v>
      </c>
      <c r="E31" s="4">
        <v>22438</v>
      </c>
      <c r="F31" s="6">
        <v>0.19329273020166604</v>
      </c>
      <c r="H31" s="4">
        <f t="shared" si="100"/>
        <v>20.336097043729055</v>
      </c>
      <c r="I31" s="4">
        <f t="shared" si="101"/>
        <v>0</v>
      </c>
      <c r="J31" s="267">
        <f t="shared" si="102"/>
        <v>58.974681426814257</v>
      </c>
      <c r="K31" s="267">
        <f t="shared" si="4"/>
        <v>0</v>
      </c>
      <c r="L31" s="273"/>
      <c r="M31" s="4">
        <f t="shared" si="103"/>
        <v>20.952781956200401</v>
      </c>
      <c r="N31" s="4">
        <f t="shared" si="103"/>
        <v>0</v>
      </c>
      <c r="O31" s="4">
        <f t="shared" si="104"/>
        <v>60.763067672981158</v>
      </c>
      <c r="P31" s="267">
        <f t="shared" si="105"/>
        <v>0</v>
      </c>
      <c r="Q31" s="6">
        <f t="shared" si="87"/>
        <v>0.19329273020166604</v>
      </c>
      <c r="R31" s="273"/>
      <c r="S31" s="4">
        <f t="shared" si="106"/>
        <v>19.560978353735614</v>
      </c>
      <c r="T31" s="4">
        <f t="shared" si="107"/>
        <v>1.982700283146231</v>
      </c>
      <c r="U31" s="4">
        <f t="shared" si="88"/>
        <v>56.726837225833279</v>
      </c>
      <c r="V31" s="267">
        <f t="shared" si="89"/>
        <v>4.8873561979554596</v>
      </c>
      <c r="W31" s="273"/>
      <c r="X31" s="4">
        <f t="shared" si="108"/>
        <v>18.693863779212222</v>
      </c>
      <c r="Y31" s="4">
        <f t="shared" si="108"/>
        <v>3.4173009756441393</v>
      </c>
      <c r="Z31" s="4">
        <f t="shared" si="90"/>
        <v>54.212204959715443</v>
      </c>
      <c r="AA31" s="267">
        <f t="shared" si="91"/>
        <v>8.4236469049628031</v>
      </c>
      <c r="AB31" s="273"/>
      <c r="AC31" s="4">
        <f t="shared" si="109"/>
        <v>15.638464523454719</v>
      </c>
      <c r="AD31" s="4">
        <f t="shared" si="109"/>
        <v>7.0663294492839244</v>
      </c>
      <c r="AE31" s="4">
        <f t="shared" si="92"/>
        <v>45.351547118018679</v>
      </c>
      <c r="AF31" s="267">
        <f t="shared" si="93"/>
        <v>17.418502092484871</v>
      </c>
      <c r="AG31" s="273"/>
      <c r="AH31" s="4">
        <f t="shared" si="110"/>
        <v>8.6232963238257305</v>
      </c>
      <c r="AI31" s="4">
        <f t="shared" si="110"/>
        <v>14.608472943824619</v>
      </c>
      <c r="AJ31" s="4">
        <f t="shared" si="94"/>
        <v>25.007559339094616</v>
      </c>
      <c r="AK31" s="267">
        <f t="shared" si="95"/>
        <v>36.009885806527684</v>
      </c>
      <c r="AL31" s="273"/>
      <c r="AM31" s="4">
        <f t="shared" si="111"/>
        <v>6.1752147016688443</v>
      </c>
      <c r="AN31" s="4">
        <f t="shared" si="111"/>
        <v>17.61285459971678</v>
      </c>
      <c r="AO31" s="4">
        <f t="shared" si="96"/>
        <v>17.908122634839646</v>
      </c>
      <c r="AP31" s="267">
        <f t="shared" si="97"/>
        <v>43.41568658830186</v>
      </c>
      <c r="AQ31" s="273"/>
      <c r="AR31" s="4">
        <f t="shared" si="112"/>
        <v>3.3969060133867424</v>
      </c>
      <c r="AS31" s="4">
        <f t="shared" si="112"/>
        <v>20.796669719148309</v>
      </c>
      <c r="AT31" s="4">
        <f t="shared" si="98"/>
        <v>9.8510274388215517</v>
      </c>
      <c r="AU31" s="267">
        <f t="shared" si="99"/>
        <v>51.263790857700577</v>
      </c>
    </row>
    <row r="32" spans="1:47" x14ac:dyDescent="0.4">
      <c r="B32">
        <v>3.5</v>
      </c>
      <c r="C32" s="1">
        <v>5</v>
      </c>
      <c r="D32" s="1">
        <f t="shared" si="1"/>
        <v>4.25</v>
      </c>
      <c r="E32" s="4">
        <v>9244</v>
      </c>
      <c r="F32" s="6">
        <v>7.9632676619315487E-2</v>
      </c>
      <c r="H32" s="4">
        <f t="shared" si="100"/>
        <v>8.3780586982900154</v>
      </c>
      <c r="I32" s="4">
        <f>$F32*I$27</f>
        <v>0</v>
      </c>
      <c r="J32" s="267">
        <f t="shared" si="102"/>
        <v>41.89029349145008</v>
      </c>
      <c r="K32" s="267">
        <f t="shared" si="4"/>
        <v>0</v>
      </c>
      <c r="L32" s="273"/>
      <c r="M32" s="4">
        <f t="shared" si="103"/>
        <v>8.6321203495461489</v>
      </c>
      <c r="N32" s="4">
        <f>$F32*N$27</f>
        <v>0</v>
      </c>
      <c r="O32" s="4">
        <f t="shared" si="104"/>
        <v>43.160601747730745</v>
      </c>
      <c r="P32" s="267">
        <f t="shared" si="105"/>
        <v>0</v>
      </c>
      <c r="Q32" s="6">
        <f t="shared" si="87"/>
        <v>7.9632676619315487E-2</v>
      </c>
      <c r="R32" s="273"/>
      <c r="S32" s="4">
        <f t="shared" si="106"/>
        <v>8.0587255504916655</v>
      </c>
      <c r="T32" s="4">
        <f>$F32*T$27</f>
        <v>0.81683222289882162</v>
      </c>
      <c r="U32" s="4">
        <f t="shared" si="88"/>
        <v>40.293627752458328</v>
      </c>
      <c r="V32" s="267">
        <f t="shared" si="89"/>
        <v>3.4715369473199917</v>
      </c>
      <c r="W32" s="273"/>
      <c r="X32" s="4">
        <f t="shared" si="108"/>
        <v>7.7014919678686953</v>
      </c>
      <c r="Y32" s="4">
        <f>$F32*Y$27</f>
        <v>1.4078585532959453</v>
      </c>
      <c r="Z32" s="4">
        <f t="shared" si="90"/>
        <v>38.507459839343475</v>
      </c>
      <c r="AA32" s="267">
        <f t="shared" si="91"/>
        <v>5.9833988515077676</v>
      </c>
      <c r="AB32" s="273"/>
      <c r="AC32" s="4">
        <f t="shared" si="109"/>
        <v>6.4427295683579384</v>
      </c>
      <c r="AD32" s="4">
        <f>$F32*AD$27</f>
        <v>2.9111841264453426</v>
      </c>
      <c r="AE32" s="4">
        <f t="shared" si="92"/>
        <v>32.213647841789694</v>
      </c>
      <c r="AF32" s="267">
        <f t="shared" si="93"/>
        <v>12.372532537392706</v>
      </c>
      <c r="AG32" s="273"/>
      <c r="AH32" s="4">
        <f t="shared" si="110"/>
        <v>3.552622837037394</v>
      </c>
      <c r="AI32" s="4">
        <f>$F32*AI$27</f>
        <v>6.0183939697261248</v>
      </c>
      <c r="AJ32" s="4">
        <f t="shared" si="94"/>
        <v>17.763114185186971</v>
      </c>
      <c r="AK32" s="267">
        <f t="shared" si="95"/>
        <v>25.578174371336029</v>
      </c>
      <c r="AL32" s="273"/>
      <c r="AM32" s="4">
        <f t="shared" si="111"/>
        <v>2.5440629602561189</v>
      </c>
      <c r="AN32" s="4">
        <f>$F32*AN$27</f>
        <v>7.2561381549060489</v>
      </c>
      <c r="AO32" s="4">
        <f t="shared" si="96"/>
        <v>12.720314801280594</v>
      </c>
      <c r="AP32" s="267">
        <f t="shared" si="97"/>
        <v>30.838587158350709</v>
      </c>
      <c r="AQ32" s="273"/>
      <c r="AR32" s="4">
        <f t="shared" si="112"/>
        <v>1.3994562433259226</v>
      </c>
      <c r="AS32" s="4">
        <f>$F32*AS$27</f>
        <v>8.5678052804976801</v>
      </c>
      <c r="AT32" s="4">
        <f t="shared" si="98"/>
        <v>6.997281216629613</v>
      </c>
      <c r="AU32" s="267">
        <f t="shared" si="99"/>
        <v>36.41317244211514</v>
      </c>
    </row>
    <row r="33" spans="1:47" x14ac:dyDescent="0.4">
      <c r="B33">
        <v>4</v>
      </c>
      <c r="C33" s="1">
        <v>5.0999999999999996</v>
      </c>
      <c r="D33" s="1">
        <f t="shared" si="1"/>
        <v>4.335</v>
      </c>
      <c r="E33" s="4">
        <v>11475</v>
      </c>
      <c r="F33" s="6">
        <v>9.8851683709070229E-2</v>
      </c>
      <c r="H33" s="4">
        <f t="shared" si="100"/>
        <v>10.400067455958235</v>
      </c>
      <c r="I33" s="4">
        <f>$F33*I$27</f>
        <v>0</v>
      </c>
      <c r="J33" s="267">
        <f t="shared" si="102"/>
        <v>53.040344025386993</v>
      </c>
      <c r="K33" s="267">
        <f t="shared" si="4"/>
        <v>0</v>
      </c>
      <c r="L33" s="273"/>
      <c r="M33" s="4">
        <f t="shared" si="103"/>
        <v>10.715445803877332</v>
      </c>
      <c r="N33" s="4">
        <f>$F33*N$27</f>
        <v>0</v>
      </c>
      <c r="O33" s="4">
        <f t="shared" si="104"/>
        <v>54.648773599774387</v>
      </c>
      <c r="P33" s="267">
        <f t="shared" si="105"/>
        <v>0</v>
      </c>
      <c r="Q33" s="6">
        <f t="shared" si="87"/>
        <v>9.8851683709070229E-2</v>
      </c>
      <c r="R33" s="273"/>
      <c r="S33" s="4">
        <f t="shared" si="106"/>
        <v>10.003664614008207</v>
      </c>
      <c r="T33" s="4">
        <f>$F33*T$27</f>
        <v>1.013971198373429</v>
      </c>
      <c r="U33" s="4">
        <f t="shared" si="88"/>
        <v>51.018689531441851</v>
      </c>
      <c r="V33" s="267">
        <f t="shared" si="89"/>
        <v>4.3955651449488142</v>
      </c>
      <c r="W33" s="273"/>
      <c r="X33" s="4">
        <f t="shared" si="108"/>
        <v>9.5602142288287837</v>
      </c>
      <c r="Y33" s="4">
        <f>$F33*Y$27</f>
        <v>1.7476392145252027</v>
      </c>
      <c r="Z33" s="4">
        <f t="shared" si="90"/>
        <v>48.757092567026795</v>
      </c>
      <c r="AA33" s="267">
        <f t="shared" si="91"/>
        <v>7.5760159949667534</v>
      </c>
      <c r="AB33" s="273"/>
      <c r="AC33" s="4">
        <f t="shared" si="109"/>
        <v>7.9976548893235977</v>
      </c>
      <c r="AD33" s="4">
        <f>$F33*AD$27</f>
        <v>3.6137860072436507</v>
      </c>
      <c r="AE33" s="4">
        <f t="shared" si="92"/>
        <v>40.788039935550344</v>
      </c>
      <c r="AF33" s="267">
        <f t="shared" si="93"/>
        <v>15.665762341401226</v>
      </c>
      <c r="AG33" s="273"/>
      <c r="AH33" s="4">
        <f t="shared" si="110"/>
        <v>4.4100332166815335</v>
      </c>
      <c r="AI33" s="4">
        <f>$F33*AI$27</f>
        <v>7.4709077025754302</v>
      </c>
      <c r="AJ33" s="4">
        <f t="shared" si="94"/>
        <v>22.491169405075819</v>
      </c>
      <c r="AK33" s="267">
        <f t="shared" si="95"/>
        <v>32.386384890664488</v>
      </c>
      <c r="AL33" s="273"/>
      <c r="AM33" s="4">
        <f t="shared" si="111"/>
        <v>3.1580617123473567</v>
      </c>
      <c r="AN33" s="4">
        <f>$F33*AN$27</f>
        <v>9.0073761713053777</v>
      </c>
      <c r="AO33" s="4">
        <f t="shared" si="96"/>
        <v>16.106114732971516</v>
      </c>
      <c r="AP33" s="267">
        <f t="shared" si="97"/>
        <v>39.046975702608812</v>
      </c>
      <c r="AQ33" s="273"/>
      <c r="AR33" s="4">
        <f t="shared" si="112"/>
        <v>1.7372090428564431</v>
      </c>
      <c r="AS33" s="4">
        <f>$F33*AS$27</f>
        <v>10.635608567039256</v>
      </c>
      <c r="AT33" s="4">
        <f t="shared" si="98"/>
        <v>8.8597661185678582</v>
      </c>
      <c r="AU33" s="267">
        <f t="shared" si="99"/>
        <v>46.105363138115173</v>
      </c>
    </row>
    <row r="34" spans="1:47" x14ac:dyDescent="0.4">
      <c r="B34">
        <v>5</v>
      </c>
      <c r="C34" s="1">
        <v>5.9</v>
      </c>
      <c r="D34" s="1">
        <f t="shared" si="1"/>
        <v>5.0150000000000006</v>
      </c>
      <c r="E34" s="4">
        <v>7842</v>
      </c>
      <c r="F34" s="6">
        <v>6.7555111428891396E-2</v>
      </c>
      <c r="H34" s="4">
        <f t="shared" si="100"/>
        <v>7.1073925045424389</v>
      </c>
      <c r="I34" s="4">
        <f>$F34*I$27</f>
        <v>0</v>
      </c>
      <c r="J34" s="267">
        <f t="shared" si="102"/>
        <v>41.933615776800394</v>
      </c>
      <c r="K34" s="267">
        <f t="shared" si="4"/>
        <v>0</v>
      </c>
      <c r="L34" s="273"/>
      <c r="M34" s="4">
        <f t="shared" si="103"/>
        <v>7.3229216552510712</v>
      </c>
      <c r="N34" s="4">
        <f>$F34*N$27</f>
        <v>0</v>
      </c>
      <c r="O34" s="4">
        <f t="shared" si="104"/>
        <v>43.205237765981323</v>
      </c>
      <c r="P34" s="267">
        <f t="shared" si="105"/>
        <v>0</v>
      </c>
      <c r="Q34" s="6">
        <f t="shared" si="87"/>
        <v>6.7555111428891396E-2</v>
      </c>
      <c r="R34" s="273"/>
      <c r="S34" s="4">
        <f t="shared" si="106"/>
        <v>6.8364913205274389</v>
      </c>
      <c r="T34" s="4">
        <f>$F34*T$27</f>
        <v>0.69294659151585458</v>
      </c>
      <c r="U34" s="4">
        <f t="shared" si="88"/>
        <v>40.335298791111889</v>
      </c>
      <c r="V34" s="267">
        <f t="shared" si="89"/>
        <v>3.475127156452011</v>
      </c>
      <c r="W34" s="273"/>
      <c r="X34" s="4">
        <f t="shared" si="108"/>
        <v>6.5334379069695272</v>
      </c>
      <c r="Y34" s="4">
        <f>$F34*Y$27</f>
        <v>1.1943343547108183</v>
      </c>
      <c r="Z34" s="4">
        <f t="shared" si="90"/>
        <v>38.54728365112021</v>
      </c>
      <c r="AA34" s="267">
        <f t="shared" si="91"/>
        <v>5.989586788874754</v>
      </c>
      <c r="AB34" s="273"/>
      <c r="AC34" s="4">
        <f t="shared" si="109"/>
        <v>5.4655868969129111</v>
      </c>
      <c r="AD34" s="4">
        <f>$F34*AD$27</f>
        <v>2.4696566334470336</v>
      </c>
      <c r="AE34" s="4">
        <f t="shared" si="92"/>
        <v>32.24696269178618</v>
      </c>
      <c r="AF34" s="267">
        <f t="shared" si="93"/>
        <v>12.385328016736874</v>
      </c>
      <c r="AG34" s="273"/>
      <c r="AH34" s="4">
        <f t="shared" si="110"/>
        <v>3.0138109355308571</v>
      </c>
      <c r="AI34" s="4">
        <f>$F34*AI$27</f>
        <v>5.1056085580476278</v>
      </c>
      <c r="AJ34" s="4">
        <f t="shared" si="94"/>
        <v>17.781484519632059</v>
      </c>
      <c r="AK34" s="267">
        <f t="shared" si="95"/>
        <v>25.604626918608858</v>
      </c>
      <c r="AL34" s="273"/>
      <c r="AM34" s="4">
        <f t="shared" si="111"/>
        <v>2.1582152460329387</v>
      </c>
      <c r="AN34" s="4">
        <f>$F34*AN$27</f>
        <v>6.1556291011221589</v>
      </c>
      <c r="AO34" s="4">
        <f t="shared" si="96"/>
        <v>12.733469951594339</v>
      </c>
      <c r="AP34" s="267">
        <f t="shared" si="97"/>
        <v>30.870479942127631</v>
      </c>
      <c r="AQ34" s="273"/>
      <c r="AR34" s="4">
        <f t="shared" si="112"/>
        <v>1.1872063890265994</v>
      </c>
      <c r="AS34" s="4">
        <f>$F34*AS$27</f>
        <v>7.268360991958331</v>
      </c>
      <c r="AT34" s="4">
        <f t="shared" si="98"/>
        <v>7.0045176952569363</v>
      </c>
      <c r="AU34" s="267">
        <f t="shared" si="99"/>
        <v>36.450830374671035</v>
      </c>
    </row>
    <row r="35" spans="1:47" x14ac:dyDescent="0.4">
      <c r="F35" s="6"/>
      <c r="G35" s="4">
        <f>機器台数2!D33</f>
        <v>56.869623999999995</v>
      </c>
      <c r="H35" s="4">
        <f>G35*(1-G$3)</f>
        <v>56.869623999999995</v>
      </c>
      <c r="I35" s="4">
        <f>G35*$G$3</f>
        <v>0</v>
      </c>
      <c r="J35" s="4">
        <f>SUM(J36:J42)</f>
        <v>197.88871016899643</v>
      </c>
      <c r="K35" s="267">
        <f t="shared" si="4"/>
        <v>0</v>
      </c>
      <c r="L35" s="273">
        <f>機器台数2!F33</f>
        <v>58.594175128139554</v>
      </c>
      <c r="M35" s="4">
        <f>L35*(1-L$3)</f>
        <v>58.594175128139554</v>
      </c>
      <c r="N35" s="4">
        <f>L35*$G$3</f>
        <v>0</v>
      </c>
      <c r="O35" s="4">
        <f>SUM(O36:O42)</f>
        <v>203.88961494670389</v>
      </c>
      <c r="P35" s="4">
        <f>SUM(P36:P42)</f>
        <v>0</v>
      </c>
      <c r="Q35" s="6"/>
      <c r="R35" s="273">
        <f>機器台数2!H33</f>
        <v>54.702014927299764</v>
      </c>
      <c r="S35" s="4">
        <f>R35*(1-R$3)</f>
        <v>54.702014927299764</v>
      </c>
      <c r="T35" s="4">
        <f>機器台数2!H43</f>
        <v>5.544594882919756</v>
      </c>
      <c r="U35" s="4">
        <f>SUM(U36:U42)</f>
        <v>190.34610071641308</v>
      </c>
      <c r="V35" s="4">
        <f>SUM(V36:V42)</f>
        <v>16.399454660048697</v>
      </c>
      <c r="W35" s="273">
        <f>機器台数2!J33</f>
        <v>52.277140591185628</v>
      </c>
      <c r="X35" s="4">
        <f>W35*(1-W$3)</f>
        <v>52.277140591185628</v>
      </c>
      <c r="Y35" s="4">
        <f>機器台数2!J43</f>
        <v>9.556436574915109</v>
      </c>
      <c r="Z35" s="4">
        <f>SUM(Z36:Z42)</f>
        <v>181.90828768118837</v>
      </c>
      <c r="AA35" s="4">
        <f>SUM(AA36:AA42)</f>
        <v>28.265428156840063</v>
      </c>
      <c r="AB35" s="273"/>
      <c r="AC35" s="4">
        <f>機器台数2!L33</f>
        <v>63.493653351997459</v>
      </c>
      <c r="AD35" s="4">
        <f>機器台数2!L43</f>
        <v>19.760896005599236</v>
      </c>
      <c r="AE35" s="4">
        <f>SUM(AE36:AE42)</f>
        <v>220.93828448284023</v>
      </c>
      <c r="AF35" s="4">
        <f>SUM(AF36:AF42)</f>
        <v>58.447537634185011</v>
      </c>
      <c r="AG35" s="273">
        <f>機器台数2!N33</f>
        <v>24.114933092718246</v>
      </c>
      <c r="AH35" s="4">
        <f>機器台数2!N33</f>
        <v>24.114933092718246</v>
      </c>
      <c r="AI35" s="4">
        <f>機器台数2!N43</f>
        <v>40.852399639077376</v>
      </c>
      <c r="AJ35" s="4">
        <f>SUM(AJ36:AJ42)</f>
        <v>83.912511985830307</v>
      </c>
      <c r="AK35" s="4">
        <f>SUM(AK36:AK42)</f>
        <v>120.83066297576698</v>
      </c>
      <c r="AL35" s="273">
        <f>機器台数2!S33</f>
        <v>0.04</v>
      </c>
      <c r="AM35" s="4">
        <f>機器台数2!P33</f>
        <v>17.268905505713629</v>
      </c>
      <c r="AN35" s="4">
        <f>機器台数2!P43</f>
        <v>49.254112846665123</v>
      </c>
      <c r="AO35" s="4">
        <f>SUM(AO36:AO42)</f>
        <v>60.090452445332716</v>
      </c>
      <c r="AP35" s="4">
        <f>SUM(AP36:AP42)</f>
        <v>145.68072284921467</v>
      </c>
      <c r="AQ35" s="273">
        <f>機器台数2!X33</f>
        <v>0</v>
      </c>
      <c r="AR35" s="4">
        <f>機器台数2!R33</f>
        <v>9.499402335130636</v>
      </c>
      <c r="AS35" s="4">
        <f>機器台数2!R43</f>
        <v>58.157609340522548</v>
      </c>
      <c r="AT35" s="4">
        <f>SUM(AT36:AT42)</f>
        <v>33.054983368192396</v>
      </c>
      <c r="AU35" s="4">
        <f>SUM(AU36:AU42)</f>
        <v>172.01492582528999</v>
      </c>
    </row>
    <row r="36" spans="1:47" x14ac:dyDescent="0.4">
      <c r="A36" t="s">
        <v>6</v>
      </c>
      <c r="B36">
        <v>1.5</v>
      </c>
      <c r="C36" s="1">
        <v>1.8</v>
      </c>
      <c r="D36" s="1">
        <f t="shared" si="1"/>
        <v>1.53</v>
      </c>
      <c r="E36" s="4">
        <v>2328</v>
      </c>
      <c r="F36" s="6">
        <v>3.8079659769362888E-2</v>
      </c>
      <c r="H36" s="4">
        <f>F36*H$35</f>
        <v>2.1655759331315938</v>
      </c>
      <c r="I36" s="4">
        <f>$F36*I$35</f>
        <v>0</v>
      </c>
      <c r="J36" s="267">
        <f>C36*H36</f>
        <v>3.8980366796368688</v>
      </c>
      <c r="K36" s="267">
        <f t="shared" si="4"/>
        <v>0</v>
      </c>
      <c r="L36" s="273"/>
      <c r="M36" s="4">
        <f>$F36*M$35</f>
        <v>2.2312462533460193</v>
      </c>
      <c r="N36" s="4">
        <f>$F36*N$35</f>
        <v>0</v>
      </c>
      <c r="O36" s="4">
        <f>$C36*$M36</f>
        <v>4.0162432560228352</v>
      </c>
      <c r="P36" s="267">
        <f>$D36*$N36</f>
        <v>0</v>
      </c>
      <c r="Q36" s="6">
        <f t="shared" ref="Q36:Q42" si="113">E36/$A$38</f>
        <v>3.8079659769362888E-2</v>
      </c>
      <c r="R36" s="273">
        <f>SUM(S36:S42)</f>
        <v>54.702014927299764</v>
      </c>
      <c r="S36" s="4">
        <f>$F36*S$35</f>
        <v>2.0830341171301852</v>
      </c>
      <c r="T36" s="4">
        <f>$F36*T$35</f>
        <v>0.21113628670053478</v>
      </c>
      <c r="U36" s="4">
        <f t="shared" ref="U36:U42" si="114">$C36*S36</f>
        <v>3.7494614108343334</v>
      </c>
      <c r="V36" s="267">
        <f t="shared" ref="V36:V42" si="115">$D36*T36</f>
        <v>0.32303851865181821</v>
      </c>
      <c r="W36" s="273">
        <f>SUM(X36:X42)</f>
        <v>52.277140591185628</v>
      </c>
      <c r="X36" s="4">
        <f>$F36*X$35</f>
        <v>1.990695727427499</v>
      </c>
      <c r="Y36" s="4">
        <f>$F36*Y$35</f>
        <v>0.36390585338026293</v>
      </c>
      <c r="Z36" s="4">
        <f t="shared" ref="Z36:Z42" si="116">$C36*X36</f>
        <v>3.5832523093694983</v>
      </c>
      <c r="AA36" s="267">
        <f t="shared" ref="AA36:AA42" si="117">$D36*Y36</f>
        <v>0.55677595567180227</v>
      </c>
      <c r="AB36" s="273">
        <f>SUM(AC36:AC42)</f>
        <v>63.493653351997466</v>
      </c>
      <c r="AC36" s="4">
        <f>$F36*AC$35</f>
        <v>2.4178167171579306</v>
      </c>
      <c r="AD36" s="4">
        <f>$F36*AD$35</f>
        <v>0.75248819663098099</v>
      </c>
      <c r="AE36" s="4">
        <f t="shared" ref="AE36:AE42" si="118">$C36*AC36</f>
        <v>4.3520700908842755</v>
      </c>
      <c r="AF36" s="267">
        <f t="shared" ref="AF36:AF42" si="119">$D36*AD36</f>
        <v>1.1513069408454009</v>
      </c>
      <c r="AG36" s="273">
        <f>SUM(AH36:AH42)</f>
        <v>24.114933092718246</v>
      </c>
      <c r="AH36" s="4">
        <f>$F36*AH$35</f>
        <v>0.91828844753166072</v>
      </c>
      <c r="AI36" s="4">
        <f>$F36*AI$35</f>
        <v>1.5556454790181098</v>
      </c>
      <c r="AJ36" s="4">
        <f t="shared" ref="AJ36:AJ42" si="120">$C36*AH36</f>
        <v>1.6529192055569892</v>
      </c>
      <c r="AK36" s="267">
        <f t="shared" ref="AK36:AK42" si="121">$D36*AI36</f>
        <v>2.3801375828977078</v>
      </c>
      <c r="AL36" s="273">
        <f>SUM(AM36:AM42)</f>
        <v>17.268905505713629</v>
      </c>
      <c r="AM36" s="4">
        <f>$F36*AM$35</f>
        <v>0.65759404624685258</v>
      </c>
      <c r="AN36" s="4">
        <f>$F36*AN$35</f>
        <v>1.8755798594428137</v>
      </c>
      <c r="AO36" s="4">
        <f t="shared" ref="AO36:AO42" si="122">$C36*AM36</f>
        <v>1.1836692832443347</v>
      </c>
      <c r="AP36" s="267">
        <f t="shared" ref="AP36:AP42" si="123">$D36*AN36</f>
        <v>2.8696371849475049</v>
      </c>
      <c r="AQ36" s="273">
        <f>SUM(AR36:AR42)</f>
        <v>9.499402335130636</v>
      </c>
      <c r="AR36" s="4">
        <f>$F36*AR$35</f>
        <v>0.36173400893406593</v>
      </c>
      <c r="AS36" s="4">
        <f>$F36*AS$35</f>
        <v>2.2146219766866198</v>
      </c>
      <c r="AT36" s="4">
        <f t="shared" ref="AT36:AT42" si="124">$C36*AR36</f>
        <v>0.65112121608131868</v>
      </c>
      <c r="AU36" s="267">
        <f t="shared" ref="AU36:AU42" si="125">$D36*AS36</f>
        <v>3.3883716243305284</v>
      </c>
    </row>
    <row r="37" spans="1:47" x14ac:dyDescent="0.4">
      <c r="A37" t="s">
        <v>5</v>
      </c>
      <c r="B37">
        <v>2</v>
      </c>
      <c r="C37" s="1">
        <v>2</v>
      </c>
      <c r="D37" s="1">
        <f t="shared" si="1"/>
        <v>1.7</v>
      </c>
      <c r="E37" s="4">
        <v>11267</v>
      </c>
      <c r="F37" s="6">
        <v>0.1842970475177885</v>
      </c>
      <c r="H37" s="4">
        <f t="shared" ref="H37:H42" si="126">F37*H$35</f>
        <v>10.480903796646764</v>
      </c>
      <c r="I37" s="4">
        <f t="shared" ref="I37:I42" si="127">$F37*I$35</f>
        <v>0</v>
      </c>
      <c r="J37" s="267">
        <f t="shared" ref="J37:J42" si="128">C37*H37</f>
        <v>20.961807593293528</v>
      </c>
      <c r="K37" s="267">
        <f t="shared" si="4"/>
        <v>0</v>
      </c>
      <c r="L37" s="273"/>
      <c r="M37" s="4">
        <f t="shared" ref="M37:N42" si="129">$F37*M$35</f>
        <v>10.798733477856356</v>
      </c>
      <c r="N37" s="4">
        <f t="shared" si="129"/>
        <v>0</v>
      </c>
      <c r="O37" s="4">
        <f t="shared" ref="O37:O42" si="130">$C37*$M37</f>
        <v>21.597466955712711</v>
      </c>
      <c r="P37" s="267">
        <f t="shared" ref="P37:P42" si="131">$D37*$N37</f>
        <v>0</v>
      </c>
      <c r="Q37" s="6">
        <f t="shared" si="113"/>
        <v>0.1842970475177885</v>
      </c>
      <c r="R37" s="273"/>
      <c r="S37" s="4">
        <f t="shared" ref="S37:S42" si="132">$F37*S$35</f>
        <v>10.08141984437534</v>
      </c>
      <c r="T37" s="4">
        <f t="shared" ref="T37:T42" si="133">$F37*T$35</f>
        <v>1.0218524666043491</v>
      </c>
      <c r="U37" s="4">
        <f t="shared" si="114"/>
        <v>20.16283968875068</v>
      </c>
      <c r="V37" s="267">
        <f t="shared" si="115"/>
        <v>1.7371491932273935</v>
      </c>
      <c r="W37" s="273"/>
      <c r="X37" s="4">
        <f t="shared" ref="X37:Y42" si="134">$F37*X$35</f>
        <v>9.6345226636278483</v>
      </c>
      <c r="Y37" s="4">
        <f t="shared" si="134"/>
        <v>1.7612230455478619</v>
      </c>
      <c r="Z37" s="4">
        <f t="shared" si="116"/>
        <v>19.269045327255697</v>
      </c>
      <c r="AA37" s="267">
        <f t="shared" si="117"/>
        <v>2.9940791774313653</v>
      </c>
      <c r="AB37" s="273"/>
      <c r="AC37" s="4">
        <f t="shared" ref="AC37:AD42" si="135">$F37*AC$35</f>
        <v>11.701692848891067</v>
      </c>
      <c r="AD37" s="4">
        <f t="shared" si="135"/>
        <v>3.6418747901379991</v>
      </c>
      <c r="AE37" s="4">
        <f t="shared" si="118"/>
        <v>23.403385697782134</v>
      </c>
      <c r="AF37" s="267">
        <f t="shared" si="119"/>
        <v>6.1911871432345986</v>
      </c>
      <c r="AG37" s="273"/>
      <c r="AH37" s="4">
        <f t="shared" ref="AH37:AI42" si="136">$F37*AH$35</f>
        <v>4.4443109700769847</v>
      </c>
      <c r="AI37" s="4">
        <f t="shared" si="136"/>
        <v>7.5289766374987286</v>
      </c>
      <c r="AJ37" s="4">
        <f t="shared" si="120"/>
        <v>8.8886219401539694</v>
      </c>
      <c r="AK37" s="267">
        <f t="shared" si="121"/>
        <v>12.799260283747838</v>
      </c>
      <c r="AL37" s="273"/>
      <c r="AM37" s="4">
        <f t="shared" ref="AM37:AN42" si="137">$F37*AM$35</f>
        <v>3.1826082985667044</v>
      </c>
      <c r="AN37" s="4">
        <f t="shared" si="137"/>
        <v>9.0773875757483591</v>
      </c>
      <c r="AO37" s="4">
        <f t="shared" si="122"/>
        <v>6.3652165971334087</v>
      </c>
      <c r="AP37" s="267">
        <f t="shared" si="123"/>
        <v>15.43155887877221</v>
      </c>
      <c r="AQ37" s="273"/>
      <c r="AR37" s="4">
        <f t="shared" ref="AR37:AS42" si="138">$F37*AR$35</f>
        <v>1.7507118035481619</v>
      </c>
      <c r="AS37" s="4">
        <f t="shared" si="138"/>
        <v>10.718275692151265</v>
      </c>
      <c r="AT37" s="4">
        <f t="shared" si="124"/>
        <v>3.5014236070963238</v>
      </c>
      <c r="AU37" s="267">
        <f t="shared" si="125"/>
        <v>18.221068676657151</v>
      </c>
    </row>
    <row r="38" spans="1:47" x14ac:dyDescent="0.4">
      <c r="A38" s="5">
        <f>SUM(E36:E42)</f>
        <v>61135</v>
      </c>
      <c r="B38">
        <v>2.5</v>
      </c>
      <c r="C38" s="1">
        <v>2.9</v>
      </c>
      <c r="D38" s="1">
        <f t="shared" si="1"/>
        <v>2.4649999999999999</v>
      </c>
      <c r="E38" s="4">
        <v>12189</v>
      </c>
      <c r="F38" s="6">
        <v>0.19937842479757914</v>
      </c>
      <c r="H38" s="4">
        <f t="shared" si="126"/>
        <v>11.3385760519506</v>
      </c>
      <c r="I38" s="4">
        <f t="shared" si="127"/>
        <v>0</v>
      </c>
      <c r="J38" s="267">
        <f t="shared" si="128"/>
        <v>32.881870550656743</v>
      </c>
      <c r="K38" s="267">
        <f t="shared" si="4"/>
        <v>0</v>
      </c>
      <c r="L38" s="273"/>
      <c r="M38" s="4">
        <f t="shared" si="129"/>
        <v>11.682414339361953</v>
      </c>
      <c r="N38" s="4">
        <f t="shared" si="129"/>
        <v>0</v>
      </c>
      <c r="O38" s="4">
        <f t="shared" si="130"/>
        <v>33.879001584149663</v>
      </c>
      <c r="P38" s="267">
        <f t="shared" si="131"/>
        <v>0</v>
      </c>
      <c r="Q38" s="6">
        <f t="shared" si="113"/>
        <v>0.19937842479757914</v>
      </c>
      <c r="R38" s="273"/>
      <c r="S38" s="4">
        <f t="shared" si="132"/>
        <v>10.906401569458687</v>
      </c>
      <c r="T38" s="4">
        <f t="shared" si="133"/>
        <v>1.1054725938972587</v>
      </c>
      <c r="U38" s="4">
        <f t="shared" si="114"/>
        <v>31.628564551430191</v>
      </c>
      <c r="V38" s="267">
        <f t="shared" si="115"/>
        <v>2.7249899439567424</v>
      </c>
      <c r="W38" s="273"/>
      <c r="X38" s="4">
        <f t="shared" si="134"/>
        <v>10.422933943992176</v>
      </c>
      <c r="Y38" s="4">
        <f t="shared" si="134"/>
        <v>1.9053472709845469</v>
      </c>
      <c r="Z38" s="4">
        <f t="shared" si="116"/>
        <v>30.226508437577309</v>
      </c>
      <c r="AA38" s="267">
        <f t="shared" si="117"/>
        <v>4.6966810229769083</v>
      </c>
      <c r="AB38" s="273"/>
      <c r="AC38" s="4">
        <f t="shared" si="135"/>
        <v>12.659264589964785</v>
      </c>
      <c r="AD38" s="4">
        <f t="shared" si="135"/>
        <v>3.9398963181851494</v>
      </c>
      <c r="AE38" s="4">
        <f t="shared" si="118"/>
        <v>36.711867310897873</v>
      </c>
      <c r="AF38" s="267">
        <f t="shared" si="119"/>
        <v>9.7118444243263919</v>
      </c>
      <c r="AG38" s="273"/>
      <c r="AH38" s="4">
        <f t="shared" si="136"/>
        <v>4.8079973741251774</v>
      </c>
      <c r="AI38" s="4">
        <f t="shared" si="136"/>
        <v>8.1450870892404375</v>
      </c>
      <c r="AJ38" s="4">
        <f t="shared" si="120"/>
        <v>13.943192384963014</v>
      </c>
      <c r="AK38" s="267">
        <f t="shared" si="121"/>
        <v>20.077639674977679</v>
      </c>
      <c r="AL38" s="273"/>
      <c r="AM38" s="4">
        <f t="shared" si="137"/>
        <v>3.4430471777074252</v>
      </c>
      <c r="AN38" s="4">
        <f t="shared" si="137"/>
        <v>9.8202074341702996</v>
      </c>
      <c r="AO38" s="4">
        <f t="shared" si="122"/>
        <v>9.9848368153515334</v>
      </c>
      <c r="AP38" s="267">
        <f t="shared" si="123"/>
        <v>24.206811325229786</v>
      </c>
      <c r="AQ38" s="273"/>
      <c r="AR38" s="4">
        <f t="shared" si="138"/>
        <v>1.8939758740967911</v>
      </c>
      <c r="AS38" s="4">
        <f t="shared" si="138"/>
        <v>11.595372540306361</v>
      </c>
      <c r="AT38" s="4">
        <f t="shared" si="124"/>
        <v>5.4925300348806942</v>
      </c>
      <c r="AU38" s="267">
        <f t="shared" si="125"/>
        <v>28.582593311855177</v>
      </c>
    </row>
    <row r="39" spans="1:47" x14ac:dyDescent="0.4">
      <c r="A39" s="237">
        <f>A38/$E$75</f>
        <v>4.041708234083894E-2</v>
      </c>
      <c r="B39">
        <v>3</v>
      </c>
      <c r="C39" s="1">
        <v>2.9</v>
      </c>
      <c r="D39" s="1">
        <f t="shared" si="1"/>
        <v>2.4649999999999999</v>
      </c>
      <c r="E39" s="4">
        <v>15247</v>
      </c>
      <c r="F39" s="6">
        <v>0.24939887135029035</v>
      </c>
      <c r="H39" s="4">
        <f t="shared" si="126"/>
        <v>14.183220039715383</v>
      </c>
      <c r="I39" s="4">
        <f t="shared" si="127"/>
        <v>0</v>
      </c>
      <c r="J39" s="267">
        <f t="shared" si="128"/>
        <v>41.131338115174607</v>
      </c>
      <c r="K39" s="267">
        <f t="shared" si="4"/>
        <v>0</v>
      </c>
      <c r="L39" s="273"/>
      <c r="M39" s="4">
        <f t="shared" si="129"/>
        <v>14.61332114465926</v>
      </c>
      <c r="N39" s="4">
        <f t="shared" si="129"/>
        <v>0</v>
      </c>
      <c r="O39" s="4">
        <f t="shared" si="130"/>
        <v>42.378631319511854</v>
      </c>
      <c r="P39" s="267">
        <f t="shared" si="131"/>
        <v>0</v>
      </c>
      <c r="Q39" s="6">
        <f t="shared" si="113"/>
        <v>0.24939887135029035</v>
      </c>
      <c r="R39" s="273"/>
      <c r="S39" s="4">
        <f t="shared" si="132"/>
        <v>13.642620783455296</v>
      </c>
      <c r="T39" s="4">
        <f t="shared" si="133"/>
        <v>1.3828157058947823</v>
      </c>
      <c r="U39" s="4">
        <f t="shared" si="114"/>
        <v>39.563600272020359</v>
      </c>
      <c r="V39" s="267">
        <f t="shared" si="115"/>
        <v>3.4086407150306384</v>
      </c>
      <c r="W39" s="273"/>
      <c r="X39" s="4">
        <f t="shared" si="134"/>
        <v>13.037859860862145</v>
      </c>
      <c r="Y39" s="4">
        <f t="shared" si="134"/>
        <v>2.3833644959144626</v>
      </c>
      <c r="Z39" s="4">
        <f t="shared" si="116"/>
        <v>37.809793596500221</v>
      </c>
      <c r="AA39" s="267">
        <f t="shared" si="117"/>
        <v>5.8749934824291499</v>
      </c>
      <c r="AB39" s="273"/>
      <c r="AC39" s="4">
        <f t="shared" si="135"/>
        <v>15.835245483894745</v>
      </c>
      <c r="AD39" s="4">
        <f t="shared" si="135"/>
        <v>4.9283451606669102</v>
      </c>
      <c r="AE39" s="4">
        <f t="shared" si="118"/>
        <v>45.922211903294759</v>
      </c>
      <c r="AF39" s="267">
        <f t="shared" si="119"/>
        <v>12.148370821043933</v>
      </c>
      <c r="AG39" s="273"/>
      <c r="AH39" s="4">
        <f t="shared" si="136"/>
        <v>6.0142370960116969</v>
      </c>
      <c r="AI39" s="4">
        <f t="shared" si="136"/>
        <v>10.188542361936907</v>
      </c>
      <c r="AJ39" s="4">
        <f t="shared" si="120"/>
        <v>17.441287578433922</v>
      </c>
      <c r="AK39" s="267">
        <f t="shared" si="121"/>
        <v>25.114756922174475</v>
      </c>
      <c r="AL39" s="273"/>
      <c r="AM39" s="4">
        <f t="shared" si="137"/>
        <v>4.3068455425797945</v>
      </c>
      <c r="AN39" s="4">
        <f t="shared" si="137"/>
        <v>12.283920153318117</v>
      </c>
      <c r="AO39" s="4">
        <f t="shared" si="122"/>
        <v>12.489852073481403</v>
      </c>
      <c r="AP39" s="267">
        <f t="shared" si="123"/>
        <v>30.279863177929158</v>
      </c>
      <c r="AQ39" s="273"/>
      <c r="AR39" s="4">
        <f t="shared" si="138"/>
        <v>2.3691402208838932</v>
      </c>
      <c r="AS39" s="4">
        <f t="shared" si="138"/>
        <v>14.504442129957427</v>
      </c>
      <c r="AT39" s="4">
        <f t="shared" si="124"/>
        <v>6.8705066405632902</v>
      </c>
      <c r="AU39" s="267">
        <f t="shared" si="125"/>
        <v>35.753449850345056</v>
      </c>
    </row>
    <row r="40" spans="1:47" x14ac:dyDescent="0.4">
      <c r="B40">
        <v>3.5</v>
      </c>
      <c r="C40" s="1">
        <v>5</v>
      </c>
      <c r="D40" s="1">
        <f t="shared" si="1"/>
        <v>4.25</v>
      </c>
      <c r="E40" s="4">
        <v>6555</v>
      </c>
      <c r="F40" s="6">
        <v>0.10722172241760039</v>
      </c>
      <c r="H40" s="4">
        <f t="shared" si="126"/>
        <v>6.0976590385213045</v>
      </c>
      <c r="I40" s="4">
        <f t="shared" si="127"/>
        <v>0</v>
      </c>
      <c r="J40" s="267">
        <f t="shared" si="128"/>
        <v>30.488295192606522</v>
      </c>
      <c r="K40" s="267">
        <f t="shared" si="4"/>
        <v>0</v>
      </c>
      <c r="L40" s="273"/>
      <c r="M40" s="4">
        <f t="shared" si="129"/>
        <v>6.2825683808776445</v>
      </c>
      <c r="N40" s="4">
        <f t="shared" si="129"/>
        <v>0</v>
      </c>
      <c r="O40" s="4">
        <f t="shared" si="130"/>
        <v>31.412841904388223</v>
      </c>
      <c r="P40" s="267">
        <f t="shared" si="131"/>
        <v>0</v>
      </c>
      <c r="Q40" s="6">
        <f t="shared" si="113"/>
        <v>0.10722172241760039</v>
      </c>
      <c r="R40" s="273"/>
      <c r="S40" s="4">
        <f t="shared" si="132"/>
        <v>5.8652442602183683</v>
      </c>
      <c r="T40" s="4">
        <f t="shared" si="133"/>
        <v>0.5945010134544696</v>
      </c>
      <c r="U40" s="4">
        <f t="shared" si="114"/>
        <v>29.326221301091842</v>
      </c>
      <c r="V40" s="267">
        <f t="shared" si="115"/>
        <v>2.5266293071814956</v>
      </c>
      <c r="W40" s="273"/>
      <c r="X40" s="4">
        <f t="shared" si="134"/>
        <v>5.6052450572539749</v>
      </c>
      <c r="Y40" s="4">
        <f t="shared" si="134"/>
        <v>1.0246575897369516</v>
      </c>
      <c r="Z40" s="4">
        <f t="shared" si="116"/>
        <v>28.026225286269874</v>
      </c>
      <c r="AA40" s="267">
        <f t="shared" si="117"/>
        <v>4.3547947563820442</v>
      </c>
      <c r="AB40" s="273"/>
      <c r="AC40" s="4">
        <f t="shared" si="135"/>
        <v>6.807898874987214</v>
      </c>
      <c r="AD40" s="4">
        <f t="shared" si="135"/>
        <v>2.1187973062354297</v>
      </c>
      <c r="AE40" s="4">
        <f t="shared" si="118"/>
        <v>34.039494374936069</v>
      </c>
      <c r="AF40" s="267">
        <f t="shared" si="119"/>
        <v>9.0048885515005761</v>
      </c>
      <c r="AG40" s="273"/>
      <c r="AH40" s="4">
        <f t="shared" si="136"/>
        <v>2.5856446621864415</v>
      </c>
      <c r="AI40" s="4">
        <f t="shared" si="136"/>
        <v>4.3802646541940327</v>
      </c>
      <c r="AJ40" s="4">
        <f t="shared" si="120"/>
        <v>12.928223310932207</v>
      </c>
      <c r="AK40" s="267">
        <f t="shared" si="121"/>
        <v>18.61612478032464</v>
      </c>
      <c r="AL40" s="273"/>
      <c r="AM40" s="4">
        <f t="shared" si="137"/>
        <v>1.8516017925893979</v>
      </c>
      <c r="AN40" s="4">
        <f t="shared" si="137"/>
        <v>5.281110815570293</v>
      </c>
      <c r="AO40" s="4">
        <f t="shared" si="122"/>
        <v>9.2580089629469899</v>
      </c>
      <c r="AP40" s="267">
        <f t="shared" si="123"/>
        <v>22.444720966173744</v>
      </c>
      <c r="AQ40" s="273"/>
      <c r="AR40" s="4">
        <f t="shared" si="138"/>
        <v>1.018542280310482</v>
      </c>
      <c r="AS40" s="4">
        <f t="shared" si="138"/>
        <v>6.2357590451807523</v>
      </c>
      <c r="AT40" s="4">
        <f t="shared" si="124"/>
        <v>5.0927114015524104</v>
      </c>
      <c r="AU40" s="267">
        <f t="shared" si="125"/>
        <v>26.501975942018198</v>
      </c>
    </row>
    <row r="41" spans="1:47" x14ac:dyDescent="0.4">
      <c r="B41">
        <v>4</v>
      </c>
      <c r="C41" s="1">
        <v>5.0999999999999996</v>
      </c>
      <c r="D41" s="1">
        <f t="shared" si="1"/>
        <v>4.335</v>
      </c>
      <c r="E41" s="4">
        <v>7840</v>
      </c>
      <c r="F41" s="6">
        <v>0.12824077860472724</v>
      </c>
      <c r="H41" s="4">
        <f t="shared" si="126"/>
        <v>7.2930048607180824</v>
      </c>
      <c r="I41" s="4">
        <f t="shared" si="127"/>
        <v>0</v>
      </c>
      <c r="J41" s="267">
        <f t="shared" si="128"/>
        <v>37.194324789662218</v>
      </c>
      <c r="K41" s="267">
        <f t="shared" si="4"/>
        <v>0</v>
      </c>
      <c r="L41" s="273"/>
      <c r="M41" s="4">
        <f t="shared" si="129"/>
        <v>7.5141626401343595</v>
      </c>
      <c r="N41" s="4">
        <f t="shared" si="129"/>
        <v>0</v>
      </c>
      <c r="O41" s="4">
        <f t="shared" si="130"/>
        <v>38.322229464685229</v>
      </c>
      <c r="P41" s="267">
        <f t="shared" si="131"/>
        <v>0</v>
      </c>
      <c r="Q41" s="6">
        <f t="shared" si="113"/>
        <v>0.12824077860472724</v>
      </c>
      <c r="R41" s="273"/>
      <c r="S41" s="4">
        <f t="shared" si="132"/>
        <v>7.0150289855243333</v>
      </c>
      <c r="T41" s="4">
        <f t="shared" si="133"/>
        <v>0.71104316483341601</v>
      </c>
      <c r="U41" s="4">
        <f t="shared" si="114"/>
        <v>35.776647826174099</v>
      </c>
      <c r="V41" s="267">
        <f t="shared" si="115"/>
        <v>3.0823721195528582</v>
      </c>
      <c r="W41" s="273"/>
      <c r="X41" s="4">
        <f t="shared" si="134"/>
        <v>6.7040612126424355</v>
      </c>
      <c r="Y41" s="4">
        <f t="shared" si="134"/>
        <v>1.2255248670538064</v>
      </c>
      <c r="Z41" s="4">
        <f t="shared" si="116"/>
        <v>34.190712184476418</v>
      </c>
      <c r="AA41" s="267">
        <f t="shared" si="117"/>
        <v>5.3126502986782507</v>
      </c>
      <c r="AB41" s="273"/>
      <c r="AC41" s="4">
        <f t="shared" si="135"/>
        <v>8.1424755423188042</v>
      </c>
      <c r="AD41" s="4">
        <f t="shared" si="135"/>
        <v>2.5341526896850906</v>
      </c>
      <c r="AE41" s="4">
        <f t="shared" si="118"/>
        <v>41.526625265825899</v>
      </c>
      <c r="AF41" s="267">
        <f t="shared" si="119"/>
        <v>10.985551909784867</v>
      </c>
      <c r="AG41" s="273"/>
      <c r="AH41" s="4">
        <f t="shared" si="136"/>
        <v>3.0925177958110908</v>
      </c>
      <c r="AI41" s="4">
        <f t="shared" si="136"/>
        <v>5.2389435375867608</v>
      </c>
      <c r="AJ41" s="4">
        <f t="shared" si="120"/>
        <v>15.771840758636563</v>
      </c>
      <c r="AK41" s="267">
        <f t="shared" si="121"/>
        <v>22.710820235438607</v>
      </c>
      <c r="AL41" s="273"/>
      <c r="AM41" s="4">
        <f t="shared" si="137"/>
        <v>2.2145778877041766</v>
      </c>
      <c r="AN41" s="4">
        <f t="shared" si="137"/>
        <v>6.3163857809414337</v>
      </c>
      <c r="AO41" s="4">
        <f t="shared" si="122"/>
        <v>11.294347227291301</v>
      </c>
      <c r="AP41" s="267">
        <f t="shared" si="123"/>
        <v>27.381532360381115</v>
      </c>
      <c r="AQ41" s="273"/>
      <c r="AR41" s="4">
        <f t="shared" si="138"/>
        <v>1.2182107517367169</v>
      </c>
      <c r="AS41" s="4">
        <f t="shared" si="138"/>
        <v>7.4581771036181692</v>
      </c>
      <c r="AT41" s="4">
        <f t="shared" si="124"/>
        <v>6.2128748338572555</v>
      </c>
      <c r="AU41" s="267">
        <f t="shared" si="125"/>
        <v>32.331197744184763</v>
      </c>
    </row>
    <row r="42" spans="1:47" x14ac:dyDescent="0.4">
      <c r="B42">
        <v>5</v>
      </c>
      <c r="C42" s="1">
        <v>5.9</v>
      </c>
      <c r="D42" s="1">
        <f t="shared" si="1"/>
        <v>5.0150000000000006</v>
      </c>
      <c r="E42" s="4">
        <v>5709</v>
      </c>
      <c r="F42" s="6">
        <v>9.3383495542651504E-2</v>
      </c>
      <c r="H42" s="4">
        <f t="shared" si="126"/>
        <v>5.3106842793162663</v>
      </c>
      <c r="I42" s="4">
        <f t="shared" si="127"/>
        <v>0</v>
      </c>
      <c r="J42" s="267">
        <f t="shared" si="128"/>
        <v>31.333037247965972</v>
      </c>
      <c r="K42" s="267">
        <f t="shared" si="4"/>
        <v>0</v>
      </c>
      <c r="L42" s="273"/>
      <c r="M42" s="4">
        <f t="shared" si="129"/>
        <v>5.4717288919039619</v>
      </c>
      <c r="N42" s="4">
        <f t="shared" si="129"/>
        <v>0</v>
      </c>
      <c r="O42" s="4">
        <f t="shared" si="130"/>
        <v>32.283200462233374</v>
      </c>
      <c r="P42" s="267">
        <f t="shared" si="131"/>
        <v>0</v>
      </c>
      <c r="Q42" s="6">
        <f t="shared" si="113"/>
        <v>9.3383495542651504E-2</v>
      </c>
      <c r="R42" s="273"/>
      <c r="S42" s="4">
        <f t="shared" si="132"/>
        <v>5.1082653671375535</v>
      </c>
      <c r="T42" s="4">
        <f t="shared" si="133"/>
        <v>0.51777365153494537</v>
      </c>
      <c r="U42" s="4">
        <f t="shared" si="114"/>
        <v>30.138765666111567</v>
      </c>
      <c r="V42" s="267">
        <f t="shared" si="115"/>
        <v>2.5966348624477513</v>
      </c>
      <c r="W42" s="273"/>
      <c r="X42" s="4">
        <f t="shared" si="134"/>
        <v>4.8818221253795491</v>
      </c>
      <c r="Y42" s="4">
        <f t="shared" si="134"/>
        <v>0.89241345229721691</v>
      </c>
      <c r="Z42" s="4">
        <f t="shared" si="116"/>
        <v>28.802750539739343</v>
      </c>
      <c r="AA42" s="267">
        <f t="shared" si="117"/>
        <v>4.4754534632705436</v>
      </c>
      <c r="AB42" s="273"/>
      <c r="AC42" s="4">
        <f t="shared" si="135"/>
        <v>5.9292592947829146</v>
      </c>
      <c r="AD42" s="4">
        <f t="shared" si="135"/>
        <v>1.8453415440576761</v>
      </c>
      <c r="AE42" s="4">
        <f t="shared" si="118"/>
        <v>34.9826298392192</v>
      </c>
      <c r="AF42" s="267">
        <f t="shared" si="119"/>
        <v>9.2543878434492477</v>
      </c>
      <c r="AG42" s="273"/>
      <c r="AH42" s="4">
        <f t="shared" si="136"/>
        <v>2.2519367469751934</v>
      </c>
      <c r="AI42" s="4">
        <f t="shared" si="136"/>
        <v>3.8149398796024001</v>
      </c>
      <c r="AJ42" s="4">
        <f t="shared" si="120"/>
        <v>13.286426807153642</v>
      </c>
      <c r="AK42" s="267">
        <f t="shared" si="121"/>
        <v>19.131923496206038</v>
      </c>
      <c r="AL42" s="273"/>
      <c r="AM42" s="4">
        <f t="shared" si="137"/>
        <v>1.6126307603192787</v>
      </c>
      <c r="AN42" s="4">
        <f t="shared" si="137"/>
        <v>4.5995212274738071</v>
      </c>
      <c r="AO42" s="4">
        <f t="shared" si="122"/>
        <v>9.5145214858837441</v>
      </c>
      <c r="AP42" s="267">
        <f t="shared" si="123"/>
        <v>23.066598955781146</v>
      </c>
      <c r="AQ42" s="273"/>
      <c r="AR42" s="4">
        <f t="shared" si="138"/>
        <v>0.88708739562052508</v>
      </c>
      <c r="AS42" s="4">
        <f t="shared" si="138"/>
        <v>5.430960852621955</v>
      </c>
      <c r="AT42" s="4">
        <f t="shared" si="124"/>
        <v>5.2338156341610986</v>
      </c>
      <c r="AU42" s="267">
        <f t="shared" si="125"/>
        <v>27.236268675899108</v>
      </c>
    </row>
    <row r="43" spans="1:47" x14ac:dyDescent="0.4">
      <c r="F43" s="6"/>
      <c r="G43" s="4">
        <f>機器台数2!D34</f>
        <v>113.73924799999999</v>
      </c>
      <c r="H43" s="4">
        <f>G43*(1-G$3)</f>
        <v>113.73924799999999</v>
      </c>
      <c r="I43" s="4">
        <f>G43*$G$3</f>
        <v>0</v>
      </c>
      <c r="J43" s="4">
        <f>SUM(J44:J47)</f>
        <v>242.13704279077521</v>
      </c>
      <c r="K43" s="267">
        <f t="shared" si="4"/>
        <v>0</v>
      </c>
      <c r="L43" s="273">
        <f>機器台数2!F34</f>
        <v>117.18835025627911</v>
      </c>
      <c r="M43" s="4">
        <f>L43*(1-L$3)</f>
        <v>117.18835025627911</v>
      </c>
      <c r="N43" s="4">
        <f>L43*$G$3</f>
        <v>0</v>
      </c>
      <c r="O43" s="4">
        <f>SUM(O44:O47)</f>
        <v>249.47976252300361</v>
      </c>
      <c r="P43" s="4">
        <f>SUM(P44:P47)</f>
        <v>0</v>
      </c>
      <c r="Q43" s="6"/>
      <c r="R43" s="273">
        <f>機器台数2!H34</f>
        <v>109.40402985459953</v>
      </c>
      <c r="S43" s="4">
        <f>R43*(1-R$3)</f>
        <v>109.40402985459953</v>
      </c>
      <c r="T43" s="4">
        <f>機器台数2!H44</f>
        <v>11.089189765839512</v>
      </c>
      <c r="U43" s="4">
        <f>SUM(U44:U47)</f>
        <v>232.90788996940103</v>
      </c>
      <c r="V43" s="4">
        <f>SUM(V44:V47)</f>
        <v>20.066407282024517</v>
      </c>
      <c r="W43" s="273">
        <f>機器台数2!J34</f>
        <v>104.55428118237126</v>
      </c>
      <c r="X43" s="4">
        <f>W43*(1-W$3)</f>
        <v>104.55428118237126</v>
      </c>
      <c r="Y43" s="4">
        <f>機器台数2!J44</f>
        <v>19.112873149830218</v>
      </c>
      <c r="Z43" s="4">
        <f>SUM(Z44:Z47)</f>
        <v>222.58336415776705</v>
      </c>
      <c r="AA43" s="4">
        <f>SUM(AA44:AA47)</f>
        <v>34.585637458890474</v>
      </c>
      <c r="AB43" s="273"/>
      <c r="AC43" s="4">
        <f>機器台数2!L34</f>
        <v>126.98730670399492</v>
      </c>
      <c r="AD43" s="4">
        <f>機器台数2!L44</f>
        <v>39.521792011198471</v>
      </c>
      <c r="AE43" s="4">
        <f>SUM(AE44:AE47)</f>
        <v>270.34055049555559</v>
      </c>
      <c r="AF43" s="4">
        <f>SUM(AF44:AF47)</f>
        <v>71.516530220739014</v>
      </c>
      <c r="AG43" s="273">
        <f>機器台数2!N34</f>
        <v>48.229866185436492</v>
      </c>
      <c r="AH43" s="4">
        <f>機器台数2!N34</f>
        <v>48.229866185436492</v>
      </c>
      <c r="AI43" s="4">
        <f>機器台数2!N44</f>
        <v>81.704799278154752</v>
      </c>
      <c r="AJ43" s="4">
        <f>SUM(AJ44:AJ47)</f>
        <v>102.67552650195469</v>
      </c>
      <c r="AK43" s="4">
        <f>SUM(AK44:AK47)</f>
        <v>147.84865385405328</v>
      </c>
      <c r="AL43" s="273">
        <f>機器台数2!S34</f>
        <v>0.08</v>
      </c>
      <c r="AM43" s="4">
        <f>機器台数2!P34</f>
        <v>34.537811011427259</v>
      </c>
      <c r="AN43" s="4">
        <f>機器台数2!P44</f>
        <v>98.508225693330246</v>
      </c>
      <c r="AO43" s="4">
        <f>SUM(AO44:AO47)</f>
        <v>73.526804245915798</v>
      </c>
      <c r="AP43" s="4">
        <f>SUM(AP44:AP47)</f>
        <v>178.25523948388388</v>
      </c>
      <c r="AQ43" s="273">
        <f>機器台数2!X34</f>
        <v>0</v>
      </c>
      <c r="AR43" s="4">
        <f>機器台数2!R34</f>
        <v>18.998804670261272</v>
      </c>
      <c r="AS43" s="4">
        <f>機器台数2!R44</f>
        <v>116.3152186810451</v>
      </c>
      <c r="AT43" s="4">
        <f>SUM(AT44:AT47)</f>
        <v>40.446147308945058</v>
      </c>
      <c r="AU43" s="4">
        <f>SUM(AU44:AU47)</f>
        <v>210.47782574175278</v>
      </c>
    </row>
    <row r="44" spans="1:47" x14ac:dyDescent="0.4">
      <c r="A44" t="s">
        <v>6</v>
      </c>
      <c r="B44">
        <v>1.5</v>
      </c>
      <c r="C44" s="1">
        <v>1.8</v>
      </c>
      <c r="D44" s="1">
        <f t="shared" si="1"/>
        <v>1.53</v>
      </c>
      <c r="E44" s="4">
        <v>49877</v>
      </c>
      <c r="F44" s="6">
        <f>E44/$A$46</f>
        <v>0.40445183263055468</v>
      </c>
      <c r="H44" s="4">
        <f>F44*H$43</f>
        <v>46.002047295621146</v>
      </c>
      <c r="I44" s="4">
        <f>$F44*I$43</f>
        <v>0</v>
      </c>
      <c r="J44" s="267">
        <f>C44*H44</f>
        <v>82.803685132118062</v>
      </c>
      <c r="K44" s="267">
        <f t="shared" si="4"/>
        <v>0</v>
      </c>
      <c r="L44" s="273"/>
      <c r="M44" s="4">
        <f>$F44*M$43</f>
        <v>47.397043024103418</v>
      </c>
      <c r="N44" s="4">
        <f>$F44*N$43</f>
        <v>0</v>
      </c>
      <c r="O44" s="4">
        <f>$C44*$M44</f>
        <v>85.314677443386159</v>
      </c>
      <c r="P44" s="267">
        <f>$D44*$N44</f>
        <v>0</v>
      </c>
      <c r="Q44" s="6">
        <f>E44/$A$38</f>
        <v>0.81585016766173224</v>
      </c>
      <c r="R44" s="273"/>
      <c r="S44" s="4">
        <f>$F44*S$43</f>
        <v>44.248660371860694</v>
      </c>
      <c r="T44" s="4">
        <f>$F44*T$43</f>
        <v>4.4850431231817822</v>
      </c>
      <c r="U44" s="4">
        <f t="shared" ref="U44:U47" si="139">$C44*S44</f>
        <v>79.647588669349247</v>
      </c>
      <c r="V44" s="267">
        <f t="shared" ref="V44:V47" si="140">$D44*T44</f>
        <v>6.8621159784681272</v>
      </c>
      <c r="W44" s="273">
        <f>SUM(X44:X47)</f>
        <v>104.55428118237127</v>
      </c>
      <c r="X44" s="4">
        <f>$F44*X$43</f>
        <v>42.287170633580374</v>
      </c>
      <c r="Y44" s="4">
        <f>$F44*Y$43</f>
        <v>7.730236572284154</v>
      </c>
      <c r="Z44" s="4">
        <f t="shared" ref="Z44:Z47" si="141">$C44*X44</f>
        <v>76.116907140444681</v>
      </c>
      <c r="AA44" s="267">
        <f t="shared" ref="AA44:AA47" si="142">$D44*Y44</f>
        <v>11.827261955594755</v>
      </c>
      <c r="AB44" s="273">
        <f>SUM(AC44:AC47)</f>
        <v>126.98730670399493</v>
      </c>
      <c r="AC44" s="4">
        <f>$F44*AC$43</f>
        <v>51.360248917249066</v>
      </c>
      <c r="AD44" s="4">
        <f>$F44*AD$43</f>
        <v>15.984661207772836</v>
      </c>
      <c r="AE44" s="4">
        <f t="shared" ref="AE44:AE47" si="143">$C44*AC44</f>
        <v>92.448448051048317</v>
      </c>
      <c r="AF44" s="267">
        <f t="shared" ref="AF44:AF47" si="144">$D44*AD44</f>
        <v>24.45653164789244</v>
      </c>
      <c r="AG44" s="273">
        <f>SUM(AH44:AH47)</f>
        <v>48.229866185436492</v>
      </c>
      <c r="AH44" s="4">
        <f>$F44*AH$43</f>
        <v>19.506657766226208</v>
      </c>
      <c r="AI44" s="4">
        <f>$F44*AI$43</f>
        <v>33.04565580276131</v>
      </c>
      <c r="AJ44" s="4">
        <f t="shared" ref="AJ44:AJ47" si="145">$C44*AH44</f>
        <v>35.111983979207174</v>
      </c>
      <c r="AK44" s="267">
        <f t="shared" ref="AK44:AK47" si="146">$D44*AI44</f>
        <v>50.559853378224808</v>
      </c>
      <c r="AL44" s="273">
        <f>SUM(AM44:AM47)</f>
        <v>34.537811011427259</v>
      </c>
      <c r="AM44" s="4">
        <f>$F44*AM$43</f>
        <v>13.968880958619506</v>
      </c>
      <c r="AN44" s="4">
        <f>$F44*AN$43</f>
        <v>39.841832410851708</v>
      </c>
      <c r="AO44" s="4">
        <f t="shared" ref="AO44:AO47" si="147">$C44*AM44</f>
        <v>25.143985725515112</v>
      </c>
      <c r="AP44" s="267">
        <f t="shared" ref="AP44:AP47" si="148">$D44*AN44</f>
        <v>60.958003588603113</v>
      </c>
      <c r="AQ44" s="273">
        <f>SUM(AR44:AR47)</f>
        <v>18.998804670261272</v>
      </c>
      <c r="AR44" s="4">
        <f>$F44*AR$43</f>
        <v>7.6841013666771127</v>
      </c>
      <c r="AS44" s="4">
        <f>$F44*AS$43</f>
        <v>47.043903358372418</v>
      </c>
      <c r="AT44" s="4">
        <f t="shared" ref="AT44:AT47" si="149">$C44*AR44</f>
        <v>13.831382460018803</v>
      </c>
      <c r="AU44" s="267">
        <f t="shared" ref="AU44:AU47" si="150">$D44*AS44</f>
        <v>71.977172138309797</v>
      </c>
    </row>
    <row r="45" spans="1:47" x14ac:dyDescent="0.4">
      <c r="A45" t="s">
        <v>10</v>
      </c>
      <c r="B45">
        <v>2</v>
      </c>
      <c r="C45" s="1">
        <v>2</v>
      </c>
      <c r="D45" s="1">
        <f t="shared" si="1"/>
        <v>1.7</v>
      </c>
      <c r="E45" s="4">
        <v>44700</v>
      </c>
      <c r="F45" s="6">
        <f t="shared" ref="F45:F47" si="151">E45/$A$46</f>
        <v>0.36247161855335713</v>
      </c>
      <c r="H45" s="4">
        <f t="shared" ref="H45:H47" si="152">F45*H$43</f>
        <v>41.227249315601682</v>
      </c>
      <c r="I45" s="4">
        <f t="shared" ref="I45:I46" si="153">$F45*I$43</f>
        <v>0</v>
      </c>
      <c r="J45" s="267">
        <f t="shared" ref="J45:J47" si="154">C45*H45</f>
        <v>82.454498631203364</v>
      </c>
      <c r="K45" s="267">
        <f t="shared" si="4"/>
        <v>0</v>
      </c>
      <c r="L45" s="273"/>
      <c r="M45" s="4">
        <f t="shared" ref="M45:N46" si="155">$F45*M$43</f>
        <v>42.477450992991216</v>
      </c>
      <c r="N45" s="4">
        <f t="shared" si="155"/>
        <v>0</v>
      </c>
      <c r="O45" s="4">
        <f t="shared" ref="O45:O47" si="156">$C45*$M45</f>
        <v>84.954901985982431</v>
      </c>
      <c r="P45" s="267">
        <f t="shared" ref="P45:P47" si="157">$D45*$N45</f>
        <v>0</v>
      </c>
      <c r="Q45" s="6">
        <f>E45/$A$46</f>
        <v>0.36247161855335713</v>
      </c>
      <c r="R45" s="273"/>
      <c r="S45" s="4">
        <f t="shared" ref="S45:S47" si="158">$F45*S$43</f>
        <v>39.655855777656498</v>
      </c>
      <c r="T45" s="4">
        <f t="shared" ref="T45:T46" si="159">$F45*T$43</f>
        <v>4.0195165628691711</v>
      </c>
      <c r="U45" s="4">
        <f t="shared" si="139"/>
        <v>79.311711555312996</v>
      </c>
      <c r="V45" s="267">
        <f t="shared" si="140"/>
        <v>6.8331781568775911</v>
      </c>
      <c r="W45" s="273"/>
      <c r="X45" s="4">
        <f t="shared" ref="X45:Y47" si="160">$F45*X$43</f>
        <v>37.897959526856923</v>
      </c>
      <c r="Y45" s="4">
        <f t="shared" si="160"/>
        <v>6.9278740658239606</v>
      </c>
      <c r="Z45" s="4">
        <f t="shared" si="141"/>
        <v>75.795919053713845</v>
      </c>
      <c r="AA45" s="267">
        <f t="shared" si="142"/>
        <v>11.777385911900733</v>
      </c>
      <c r="AB45" s="273"/>
      <c r="AC45" s="4">
        <f t="shared" ref="AC45:AD47" si="161">$F45*AC$43</f>
        <v>46.029294596728619</v>
      </c>
      <c r="AD45" s="4">
        <f t="shared" si="161"/>
        <v>14.32552791842825</v>
      </c>
      <c r="AE45" s="4">
        <f t="shared" si="143"/>
        <v>92.058589193457237</v>
      </c>
      <c r="AF45" s="267">
        <f t="shared" si="144"/>
        <v>24.353397461328026</v>
      </c>
      <c r="AG45" s="273"/>
      <c r="AH45" s="4">
        <f t="shared" ref="AH45:AI47" si="162">$F45*AH$43</f>
        <v>17.481957658846994</v>
      </c>
      <c r="AI45" s="4">
        <f t="shared" si="162"/>
        <v>29.615670837929919</v>
      </c>
      <c r="AJ45" s="4">
        <f t="shared" si="145"/>
        <v>34.963915317693989</v>
      </c>
      <c r="AK45" s="267">
        <f t="shared" si="146"/>
        <v>50.34664042448086</v>
      </c>
      <c r="AL45" s="273"/>
      <c r="AM45" s="4">
        <f t="shared" ref="AM45:AN47" si="163">$F45*AM$43</f>
        <v>12.518976258601999</v>
      </c>
      <c r="AN45" s="4">
        <f t="shared" si="163"/>
        <v>35.706436007880818</v>
      </c>
      <c r="AO45" s="4">
        <f t="shared" si="147"/>
        <v>25.037952517203998</v>
      </c>
      <c r="AP45" s="267">
        <f t="shared" si="148"/>
        <v>60.700941213397385</v>
      </c>
      <c r="AQ45" s="273"/>
      <c r="AR45" s="4">
        <f t="shared" ref="AR45:AS47" si="164">$F45*AR$43</f>
        <v>6.8865274794086835</v>
      </c>
      <c r="AS45" s="4">
        <f t="shared" si="164"/>
        <v>42.160965577706101</v>
      </c>
      <c r="AT45" s="4">
        <f t="shared" si="149"/>
        <v>13.773054958817367</v>
      </c>
      <c r="AU45" s="267">
        <f t="shared" si="150"/>
        <v>71.673641482100365</v>
      </c>
    </row>
    <row r="46" spans="1:47" x14ac:dyDescent="0.4">
      <c r="A46" s="5">
        <f>SUM(E44:E47)</f>
        <v>123320</v>
      </c>
      <c r="B46">
        <v>2.5</v>
      </c>
      <c r="C46" s="1">
        <v>2.9</v>
      </c>
      <c r="D46" s="1">
        <f t="shared" si="1"/>
        <v>2.4649999999999999</v>
      </c>
      <c r="E46" s="4">
        <v>18322</v>
      </c>
      <c r="F46" s="6">
        <f t="shared" si="151"/>
        <v>0.14857281868310088</v>
      </c>
      <c r="H46" s="4">
        <f t="shared" si="152"/>
        <v>16.898560670256241</v>
      </c>
      <c r="I46" s="4">
        <f t="shared" si="153"/>
        <v>0</v>
      </c>
      <c r="J46" s="267">
        <f t="shared" si="154"/>
        <v>49.005825943743098</v>
      </c>
      <c r="K46" s="267">
        <f t="shared" si="4"/>
        <v>0</v>
      </c>
      <c r="L46" s="273"/>
      <c r="M46" s="4">
        <f t="shared" si="155"/>
        <v>17.411003514397873</v>
      </c>
      <c r="N46" s="4">
        <f t="shared" si="155"/>
        <v>0</v>
      </c>
      <c r="O46" s="4">
        <f t="shared" si="156"/>
        <v>50.491910191753831</v>
      </c>
      <c r="P46" s="267">
        <f t="shared" si="157"/>
        <v>0</v>
      </c>
      <c r="Q46" s="6">
        <f>E46/$A$46</f>
        <v>0.14857281868310088</v>
      </c>
      <c r="R46" s="273"/>
      <c r="S46" s="4">
        <f t="shared" si="158"/>
        <v>16.254465090787971</v>
      </c>
      <c r="T46" s="4">
        <f t="shared" si="159"/>
        <v>1.6475521804225717</v>
      </c>
      <c r="U46" s="4">
        <f t="shared" si="139"/>
        <v>47.137948763285117</v>
      </c>
      <c r="V46" s="267">
        <f t="shared" si="140"/>
        <v>4.0612161247416392</v>
      </c>
      <c r="W46" s="273"/>
      <c r="X46" s="4">
        <f t="shared" si="160"/>
        <v>15.533924260650391</v>
      </c>
      <c r="Y46" s="4">
        <f t="shared" si="160"/>
        <v>2.8396534370028319</v>
      </c>
      <c r="Z46" s="4">
        <f t="shared" si="141"/>
        <v>45.048380355886131</v>
      </c>
      <c r="AA46" s="267">
        <f t="shared" si="142"/>
        <v>6.9997457222119799</v>
      </c>
      <c r="AB46" s="273"/>
      <c r="AC46" s="4">
        <f t="shared" si="161"/>
        <v>18.866862093987958</v>
      </c>
      <c r="AD46" s="4">
        <f t="shared" si="161"/>
        <v>5.8718640385110152</v>
      </c>
      <c r="AE46" s="4">
        <f t="shared" si="143"/>
        <v>54.713900072565075</v>
      </c>
      <c r="AF46" s="267">
        <f t="shared" si="144"/>
        <v>14.474144854929651</v>
      </c>
      <c r="AG46" s="273"/>
      <c r="AH46" s="4">
        <f t="shared" si="162"/>
        <v>7.1656471638790737</v>
      </c>
      <c r="AI46" s="4">
        <f t="shared" si="162"/>
        <v>12.139112328692438</v>
      </c>
      <c r="AJ46" s="4">
        <f t="shared" si="145"/>
        <v>20.780376775249312</v>
      </c>
      <c r="AK46" s="267">
        <f t="shared" si="146"/>
        <v>29.922911890226857</v>
      </c>
      <c r="AL46" s="273"/>
      <c r="AM46" s="4">
        <f t="shared" si="163"/>
        <v>5.1313799331119867</v>
      </c>
      <c r="AN46" s="4">
        <f t="shared" si="163"/>
        <v>14.635644754729134</v>
      </c>
      <c r="AO46" s="4">
        <f t="shared" si="147"/>
        <v>14.881001806024761</v>
      </c>
      <c r="AP46" s="267">
        <f t="shared" si="148"/>
        <v>36.07686432040731</v>
      </c>
      <c r="AQ46" s="273"/>
      <c r="AR46" s="4">
        <f t="shared" si="164"/>
        <v>2.822705961470378</v>
      </c>
      <c r="AS46" s="4">
        <f t="shared" si="164"/>
        <v>17.281279895184142</v>
      </c>
      <c r="AT46" s="4">
        <f t="shared" si="149"/>
        <v>8.185847288264096</v>
      </c>
      <c r="AU46" s="267">
        <f t="shared" si="150"/>
        <v>42.598354941628905</v>
      </c>
    </row>
    <row r="47" spans="1:47" x14ac:dyDescent="0.4">
      <c r="A47" s="237">
        <f>A46/$E$75</f>
        <v>8.1528332285470809E-2</v>
      </c>
      <c r="B47">
        <v>3</v>
      </c>
      <c r="C47" s="1">
        <v>2.9</v>
      </c>
      <c r="D47" s="1">
        <f t="shared" si="1"/>
        <v>2.4649999999999999</v>
      </c>
      <c r="E47" s="4">
        <v>10421</v>
      </c>
      <c r="F47" s="6">
        <f t="shared" si="151"/>
        <v>8.4503730132987356E-2</v>
      </c>
      <c r="H47" s="4">
        <f t="shared" si="152"/>
        <v>9.6113907185209211</v>
      </c>
      <c r="I47" s="4">
        <f>$F47*I$43</f>
        <v>0</v>
      </c>
      <c r="J47" s="267">
        <f t="shared" si="154"/>
        <v>27.87303308371067</v>
      </c>
      <c r="K47" s="267">
        <f t="shared" si="4"/>
        <v>0</v>
      </c>
      <c r="L47" s="273"/>
      <c r="M47" s="4">
        <f>$F47*M$43</f>
        <v>9.9028527247866087</v>
      </c>
      <c r="N47" s="4">
        <f>$F47*N$43</f>
        <v>0</v>
      </c>
      <c r="O47" s="4">
        <f t="shared" si="156"/>
        <v>28.718272901881164</v>
      </c>
      <c r="P47" s="267">
        <f t="shared" si="157"/>
        <v>0</v>
      </c>
      <c r="Q47" s="6">
        <f>E47/$A$46</f>
        <v>8.4503730132987356E-2</v>
      </c>
      <c r="R47" s="273"/>
      <c r="S47" s="4">
        <f t="shared" si="158"/>
        <v>9.2450486142943706</v>
      </c>
      <c r="T47" s="4">
        <f>$F47*T$43</f>
        <v>0.9370778993659874</v>
      </c>
      <c r="U47" s="4">
        <f t="shared" si="139"/>
        <v>26.810640981453673</v>
      </c>
      <c r="V47" s="267">
        <f t="shared" si="140"/>
        <v>2.3098970219371586</v>
      </c>
      <c r="W47" s="273"/>
      <c r="X47" s="4">
        <f t="shared" si="160"/>
        <v>8.8352267612835789</v>
      </c>
      <c r="Y47" s="4">
        <f>$F47*Y$43</f>
        <v>1.6151090747192727</v>
      </c>
      <c r="Z47" s="4">
        <f t="shared" si="141"/>
        <v>25.622157607722379</v>
      </c>
      <c r="AA47" s="267">
        <f t="shared" si="142"/>
        <v>3.981243869183007</v>
      </c>
      <c r="AB47" s="273"/>
      <c r="AC47" s="4">
        <f t="shared" si="161"/>
        <v>10.730901096029283</v>
      </c>
      <c r="AD47" s="4">
        <f>$F47*AD$43</f>
        <v>3.3397388464863713</v>
      </c>
      <c r="AE47" s="4">
        <f t="shared" si="143"/>
        <v>31.119613178484922</v>
      </c>
      <c r="AF47" s="267">
        <f t="shared" si="144"/>
        <v>8.2324562565889057</v>
      </c>
      <c r="AG47" s="273"/>
      <c r="AH47" s="4">
        <f t="shared" si="162"/>
        <v>4.0756035964842177</v>
      </c>
      <c r="AI47" s="4">
        <f>$F47*AI$43</f>
        <v>6.9043603087710892</v>
      </c>
      <c r="AJ47" s="4">
        <f t="shared" si="145"/>
        <v>11.819250429804232</v>
      </c>
      <c r="AK47" s="267">
        <f t="shared" si="146"/>
        <v>17.019248161120736</v>
      </c>
      <c r="AL47" s="273"/>
      <c r="AM47" s="4">
        <f t="shared" si="163"/>
        <v>2.9185738610937682</v>
      </c>
      <c r="AN47" s="4">
        <f>$F47*AN$43</f>
        <v>8.3243125198685899</v>
      </c>
      <c r="AO47" s="4">
        <f t="shared" si="147"/>
        <v>8.4638641971719277</v>
      </c>
      <c r="AP47" s="267">
        <f t="shared" si="148"/>
        <v>20.519430361476072</v>
      </c>
      <c r="AQ47" s="273"/>
      <c r="AR47" s="4">
        <f t="shared" si="164"/>
        <v>1.6054698627050983</v>
      </c>
      <c r="AS47" s="4">
        <f>$F47*AS$43</f>
        <v>9.829069849782444</v>
      </c>
      <c r="AT47" s="4">
        <f t="shared" si="149"/>
        <v>4.6558626018447846</v>
      </c>
      <c r="AU47" s="267">
        <f t="shared" si="150"/>
        <v>24.228657179713721</v>
      </c>
    </row>
    <row r="48" spans="1:47" x14ac:dyDescent="0.4">
      <c r="A48" s="237">
        <f>SUM(F44:F47)</f>
        <v>1</v>
      </c>
      <c r="F48" s="6"/>
      <c r="G48" s="4">
        <f>機器台数2!D35</f>
        <v>233.16545839999998</v>
      </c>
      <c r="H48" s="4">
        <f>G48*(1-G$3)</f>
        <v>233.16545839999998</v>
      </c>
      <c r="I48" s="4">
        <f>G48*$G$3</f>
        <v>0</v>
      </c>
      <c r="J48" s="4">
        <f>SUM(J49:J55)</f>
        <v>838.96223396749429</v>
      </c>
      <c r="K48" s="267">
        <f t="shared" si="4"/>
        <v>0</v>
      </c>
      <c r="L48" s="273">
        <f>機器台数2!F35</f>
        <v>240.23611802537218</v>
      </c>
      <c r="M48" s="4">
        <f>L48*(1-L$3)</f>
        <v>240.23611802537218</v>
      </c>
      <c r="N48" s="4">
        <f>L48*$G$3</f>
        <v>0</v>
      </c>
      <c r="O48" s="4">
        <f>SUM(O49:O55)</f>
        <v>864.40346542446923</v>
      </c>
      <c r="P48" s="4">
        <f>SUM(P49:P55)</f>
        <v>0</v>
      </c>
      <c r="Q48" s="6"/>
      <c r="R48" s="273">
        <f>機器台数2!H35</f>
        <v>224.27826120192904</v>
      </c>
      <c r="S48" s="4">
        <f>R48*(1-R$3)</f>
        <v>224.27826120192904</v>
      </c>
      <c r="T48" s="4">
        <f>機器台数2!H45</f>
        <v>22.732839019971003</v>
      </c>
      <c r="U48" s="4">
        <f>SUM(U49:U55)</f>
        <v>806.98484389365126</v>
      </c>
      <c r="V48" s="4">
        <f>SUM(V49:V55)</f>
        <v>69.526569280750522</v>
      </c>
      <c r="W48" s="273">
        <f>機器台数2!J35</f>
        <v>214.33627642386108</v>
      </c>
      <c r="X48" s="4">
        <f>W48*(1-W$3)</f>
        <v>214.33627642386108</v>
      </c>
      <c r="Y48" s="4">
        <f>機器台数2!J45</f>
        <v>39.18138995715195</v>
      </c>
      <c r="Z48" s="4">
        <f>SUM(Z49:Z55)</f>
        <v>771.21217920860329</v>
      </c>
      <c r="AA48" s="4">
        <f>SUM(AA49:AA55)</f>
        <v>119.83314626821753</v>
      </c>
      <c r="AB48" s="273"/>
      <c r="AC48" s="4">
        <f>機器台数2!L35</f>
        <v>260.32397874318957</v>
      </c>
      <c r="AD48" s="4">
        <f>機器台数2!L45</f>
        <v>81.019673622956873</v>
      </c>
      <c r="AE48" s="4">
        <f>SUM(AE49:AE55)</f>
        <v>936.68242397645315</v>
      </c>
      <c r="AF48" s="4">
        <f>SUM(AF49:AF55)</f>
        <v>247.79218936542193</v>
      </c>
      <c r="AG48" s="273">
        <f>機器台数2!N35</f>
        <v>98.871225680144818</v>
      </c>
      <c r="AH48" s="4">
        <f>機器台数2!N35</f>
        <v>98.871225680144818</v>
      </c>
      <c r="AI48" s="4">
        <f>機器台数2!N45</f>
        <v>167.49483852021726</v>
      </c>
      <c r="AJ48" s="4">
        <f>SUM(AJ49:AJ55)</f>
        <v>355.75262708688842</v>
      </c>
      <c r="AK48" s="4">
        <f>SUM(AK49:AK55)</f>
        <v>512.26956229767302</v>
      </c>
      <c r="AL48" s="273">
        <f>機器台数2!S35</f>
        <v>0.16400000000000001</v>
      </c>
      <c r="AM48" s="4">
        <f>機器台数2!P35</f>
        <v>70.802512573425886</v>
      </c>
      <c r="AN48" s="4">
        <f>機器台数2!P45</f>
        <v>201.94186267132702</v>
      </c>
      <c r="AO48" s="4">
        <f>SUM(AO49:AO55)</f>
        <v>254.75743502800498</v>
      </c>
      <c r="AP48" s="4">
        <f>SUM(AP49:AP55)</f>
        <v>617.62302954625579</v>
      </c>
      <c r="AQ48" s="273">
        <f>機器台数2!X35</f>
        <v>0</v>
      </c>
      <c r="AR48" s="4">
        <f>機器台数2!R35</f>
        <v>38.947549574035612</v>
      </c>
      <c r="AS48" s="4">
        <f>機器台数2!R45</f>
        <v>238.44619829614246</v>
      </c>
      <c r="AT48" s="4">
        <f>SUM(AT49:AT55)</f>
        <v>140.13878137188374</v>
      </c>
      <c r="AU48" s="4">
        <f>SUM(AU49:AU55)</f>
        <v>729.26861933100838</v>
      </c>
    </row>
    <row r="49" spans="1:47" x14ac:dyDescent="0.4">
      <c r="A49" t="s">
        <v>6</v>
      </c>
      <c r="B49">
        <v>1.5</v>
      </c>
      <c r="C49" s="1">
        <v>1.8</v>
      </c>
      <c r="D49" s="1">
        <f t="shared" si="1"/>
        <v>1.53</v>
      </c>
      <c r="E49" s="4">
        <v>13841</v>
      </c>
      <c r="F49" s="6">
        <v>5.4543448362829594E-2</v>
      </c>
      <c r="H49" s="4">
        <f>F49*H$48</f>
        <v>12.717648140235891</v>
      </c>
      <c r="I49" s="4">
        <f>$F49*I$48</f>
        <v>0</v>
      </c>
      <c r="J49" s="267">
        <f>C49*H49</f>
        <v>22.891766652424604</v>
      </c>
      <c r="K49" s="267">
        <f t="shared" si="4"/>
        <v>0</v>
      </c>
      <c r="L49" s="273">
        <f>SUM(M49:M55)</f>
        <v>240.23611802537218</v>
      </c>
      <c r="M49" s="4">
        <f t="shared" ref="M49:N55" si="165">$F49*M$48</f>
        <v>13.103306298403524</v>
      </c>
      <c r="N49" s="4">
        <f>$F49*N$48</f>
        <v>0</v>
      </c>
      <c r="O49" s="4">
        <f t="shared" ref="O49:O54" si="166">$C49*M49</f>
        <v>23.585951337126343</v>
      </c>
      <c r="P49" s="267">
        <f t="shared" ref="P49:P54" si="167">$D49*N49</f>
        <v>0</v>
      </c>
      <c r="Q49" s="6">
        <f t="shared" ref="Q49:Q55" si="168">E49/$A$51</f>
        <v>5.4543448362829594E-2</v>
      </c>
      <c r="R49" s="273">
        <f>SUM(S49:S55)</f>
        <v>224.27826120192907</v>
      </c>
      <c r="S49" s="4">
        <f>$F49*S$48</f>
        <v>12.232909758772625</v>
      </c>
      <c r="T49" s="4">
        <f>$F49*T$48</f>
        <v>1.2399274312263062</v>
      </c>
      <c r="U49" s="4">
        <f t="shared" ref="U49:U55" si="169">$C49*S49</f>
        <v>22.019237565790725</v>
      </c>
      <c r="V49" s="267">
        <f t="shared" ref="V49:V55" si="170">$D49*T49</f>
        <v>1.8970889697762485</v>
      </c>
      <c r="W49" s="273">
        <f>SUM(X49:X55)</f>
        <v>214.33627642386111</v>
      </c>
      <c r="X49" s="4">
        <f>$F49*X$48</f>
        <v>11.690639625406037</v>
      </c>
      <c r="Y49" s="4">
        <f>$F49*Y$48</f>
        <v>2.1370881199118075</v>
      </c>
      <c r="Z49" s="4">
        <f t="shared" ref="Z49:Z55" si="171">$C49*X49</f>
        <v>21.043151325730868</v>
      </c>
      <c r="AA49" s="267">
        <f t="shared" ref="AA49:AA55" si="172">$D49*Y49</f>
        <v>3.2697448234650657</v>
      </c>
      <c r="AB49" s="273">
        <f>SUM(AC49:AC55)</f>
        <v>260.32397874318957</v>
      </c>
      <c r="AC49" s="4">
        <f>$F49*AC$48</f>
        <v>14.19896749218551</v>
      </c>
      <c r="AD49" s="4">
        <f>$F49*AD$48</f>
        <v>4.4190923846270547</v>
      </c>
      <c r="AE49" s="4">
        <f t="shared" ref="AE49:AE55" si="173">$C49*AC49</f>
        <v>25.55814148593392</v>
      </c>
      <c r="AF49" s="267">
        <f t="shared" ref="AF49:AF55" si="174">$D49*AD49</f>
        <v>6.7612113484793941</v>
      </c>
      <c r="AG49" s="273">
        <f>SUM(AH49:AH55)</f>
        <v>98.871225680144818</v>
      </c>
      <c r="AH49" s="4">
        <f>$F49*AH$48</f>
        <v>5.3927775924546504</v>
      </c>
      <c r="AI49" s="4">
        <f>$F49*AI$48</f>
        <v>9.1357460758679512</v>
      </c>
      <c r="AJ49" s="4">
        <f t="shared" ref="AJ49:AJ55" si="175">$C49*AH49</f>
        <v>9.7069996664183709</v>
      </c>
      <c r="AK49" s="267">
        <f t="shared" ref="AK49:AK55" si="176">$D49*AI49</f>
        <v>13.977691496077966</v>
      </c>
      <c r="AL49" s="273">
        <f>SUM(AM49:AM55)</f>
        <v>70.802512573425886</v>
      </c>
      <c r="AM49" s="4">
        <f>$F49*AM$48</f>
        <v>3.8618131885072478</v>
      </c>
      <c r="AN49" s="4">
        <f>$F49*AN$48</f>
        <v>11.014605558907149</v>
      </c>
      <c r="AO49" s="4">
        <f t="shared" ref="AO49:AO55" si="177">$C49*AM49</f>
        <v>6.9512637393130463</v>
      </c>
      <c r="AP49" s="267">
        <f t="shared" ref="AP49:AP55" si="178">$D49*AN49</f>
        <v>16.85234650512794</v>
      </c>
      <c r="AQ49" s="273">
        <f>SUM(AR49:AR55)</f>
        <v>38.947549574035612</v>
      </c>
      <c r="AR49" s="4">
        <f>$F49*AR$48</f>
        <v>2.1243336590501571</v>
      </c>
      <c r="AS49" s="4">
        <f>$F49*AS$48</f>
        <v>13.005677904078672</v>
      </c>
      <c r="AT49" s="4">
        <f t="shared" ref="AT49:AT55" si="179">$C49*AR49</f>
        <v>3.8238005862902829</v>
      </c>
      <c r="AU49" s="267">
        <f t="shared" ref="AU49:AU55" si="180">$D49*AS49</f>
        <v>19.898687193240367</v>
      </c>
    </row>
    <row r="50" spans="1:47" x14ac:dyDescent="0.4">
      <c r="A50" t="s">
        <v>11</v>
      </c>
      <c r="B50">
        <v>2</v>
      </c>
      <c r="C50" s="1">
        <v>2</v>
      </c>
      <c r="D50" s="1">
        <f t="shared" si="1"/>
        <v>1.7</v>
      </c>
      <c r="E50" s="4">
        <v>43671</v>
      </c>
      <c r="F50" s="6">
        <v>0.17209500277820469</v>
      </c>
      <c r="H50" s="4">
        <f t="shared" ref="H50:H55" si="181">F50*H$48</f>
        <v>40.126610211129368</v>
      </c>
      <c r="I50" s="4">
        <f t="shared" ref="I50:I55" si="182">$F50*I$48</f>
        <v>0</v>
      </c>
      <c r="J50" s="267">
        <f t="shared" ref="J50:J55" si="183">C50*H50</f>
        <v>80.253220422258735</v>
      </c>
      <c r="K50" s="267">
        <f t="shared" si="4"/>
        <v>0</v>
      </c>
      <c r="L50" s="273"/>
      <c r="M50" s="4">
        <f t="shared" si="165"/>
        <v>41.343435399001535</v>
      </c>
      <c r="N50" s="4">
        <f t="shared" si="165"/>
        <v>0</v>
      </c>
      <c r="O50" s="4">
        <f t="shared" si="166"/>
        <v>82.686870798003071</v>
      </c>
      <c r="P50" s="267">
        <f t="shared" si="167"/>
        <v>0</v>
      </c>
      <c r="Q50" s="6">
        <f t="shared" si="168"/>
        <v>0.17209500277820469</v>
      </c>
      <c r="R50" s="273"/>
      <c r="S50" s="4">
        <f>$F50*S$48</f>
        <v>38.597167984636897</v>
      </c>
      <c r="T50" s="4">
        <f t="shared" ref="S50:T55" si="184">$F50*T$48</f>
        <v>3.9122079942983898</v>
      </c>
      <c r="U50" s="4">
        <f t="shared" si="169"/>
        <v>77.194335969273794</v>
      </c>
      <c r="V50" s="267">
        <f t="shared" si="170"/>
        <v>6.6507535903072625</v>
      </c>
      <c r="W50" s="273"/>
      <c r="X50" s="4">
        <f>$F50*X$48</f>
        <v>36.88620208663442</v>
      </c>
      <c r="Y50" s="4">
        <f t="shared" ref="X50:Y55" si="185">$F50*Y$48</f>
        <v>6.7429214135299862</v>
      </c>
      <c r="Z50" s="4">
        <f t="shared" si="171"/>
        <v>73.772404173268839</v>
      </c>
      <c r="AA50" s="267">
        <f t="shared" si="172"/>
        <v>11.462966403000976</v>
      </c>
      <c r="AB50" s="273"/>
      <c r="AC50" s="4">
        <f>$F50*AC$48</f>
        <v>44.800455845042507</v>
      </c>
      <c r="AD50" s="4">
        <f t="shared" ref="AC50:AD55" si="186">$F50*AD$48</f>
        <v>13.943080957232</v>
      </c>
      <c r="AE50" s="4">
        <f t="shared" si="173"/>
        <v>89.600911690085013</v>
      </c>
      <c r="AF50" s="267">
        <f t="shared" si="174"/>
        <v>23.703237627294399</v>
      </c>
      <c r="AG50" s="273"/>
      <c r="AH50" s="4">
        <f>$F50*AH$48</f>
        <v>17.015243858109024</v>
      </c>
      <c r="AI50" s="4">
        <f t="shared" ref="AH50:AI55" si="187">$F50*AI$48</f>
        <v>28.825024700471737</v>
      </c>
      <c r="AJ50" s="4">
        <f t="shared" si="175"/>
        <v>34.030487716218047</v>
      </c>
      <c r="AK50" s="267">
        <f t="shared" si="176"/>
        <v>49.002541990801951</v>
      </c>
      <c r="AL50" s="273"/>
      <c r="AM50" s="4">
        <f>$F50*AM$48</f>
        <v>12.184758598027601</v>
      </c>
      <c r="AN50" s="4">
        <f t="shared" ref="AM50:AN55" si="188">$F50*AN$48</f>
        <v>34.75318541745785</v>
      </c>
      <c r="AO50" s="4">
        <f t="shared" si="177"/>
        <v>24.369517196055202</v>
      </c>
      <c r="AP50" s="267">
        <f t="shared" si="178"/>
        <v>59.080415209678343</v>
      </c>
      <c r="AQ50" s="273"/>
      <c r="AR50" s="4">
        <f>$F50*AR$48</f>
        <v>6.7026786521479238</v>
      </c>
      <c r="AS50" s="4">
        <f t="shared" ref="AR50:AS55" si="189">$F50*AS$48</f>
        <v>41.03539915822698</v>
      </c>
      <c r="AT50" s="4">
        <f t="shared" si="179"/>
        <v>13.405357304295848</v>
      </c>
      <c r="AU50" s="267">
        <f t="shared" si="180"/>
        <v>69.760178568985864</v>
      </c>
    </row>
    <row r="51" spans="1:47" x14ac:dyDescent="0.4">
      <c r="A51" s="5">
        <f>SUM(E49:E55)</f>
        <v>253761</v>
      </c>
      <c r="B51">
        <v>2.5</v>
      </c>
      <c r="C51" s="1">
        <v>2.9</v>
      </c>
      <c r="D51" s="1">
        <f t="shared" si="1"/>
        <v>2.4649999999999999</v>
      </c>
      <c r="E51" s="4">
        <v>45259</v>
      </c>
      <c r="F51" s="6">
        <v>0.1783528595804714</v>
      </c>
      <c r="H51" s="4">
        <f t="shared" si="181"/>
        <v>41.585726261031439</v>
      </c>
      <c r="I51" s="4">
        <f t="shared" si="182"/>
        <v>0</v>
      </c>
      <c r="J51" s="267">
        <f t="shared" si="183"/>
        <v>120.59860615699117</v>
      </c>
      <c r="K51" s="267">
        <f t="shared" si="4"/>
        <v>0</v>
      </c>
      <c r="L51" s="273"/>
      <c r="M51" s="4">
        <f t="shared" si="165"/>
        <v>42.846798624336756</v>
      </c>
      <c r="N51" s="4">
        <f t="shared" si="165"/>
        <v>0</v>
      </c>
      <c r="O51" s="4">
        <f t="shared" si="166"/>
        <v>124.25571601057659</v>
      </c>
      <c r="P51" s="267">
        <f t="shared" si="167"/>
        <v>0</v>
      </c>
      <c r="Q51" s="6">
        <f t="shared" si="168"/>
        <v>0.1783528595804714</v>
      </c>
      <c r="R51" s="273"/>
      <c r="S51" s="4">
        <f t="shared" si="184"/>
        <v>40.000669227099934</v>
      </c>
      <c r="T51" s="4">
        <f t="shared" si="184"/>
        <v>4.0544668455943489</v>
      </c>
      <c r="U51" s="4">
        <f t="shared" si="169"/>
        <v>116.00194075858981</v>
      </c>
      <c r="V51" s="267">
        <f t="shared" si="170"/>
        <v>9.9942607743900691</v>
      </c>
      <c r="W51" s="273"/>
      <c r="X51" s="4">
        <f t="shared" si="185"/>
        <v>38.227487812025998</v>
      </c>
      <c r="Y51" s="4">
        <f t="shared" si="185"/>
        <v>6.988112941195614</v>
      </c>
      <c r="Z51" s="4">
        <f t="shared" si="171"/>
        <v>110.85971465487539</v>
      </c>
      <c r="AA51" s="267">
        <f t="shared" si="172"/>
        <v>17.225698400047186</v>
      </c>
      <c r="AB51" s="273"/>
      <c r="AC51" s="4">
        <f t="shared" si="186"/>
        <v>46.429526026213708</v>
      </c>
      <c r="AD51" s="4">
        <f t="shared" si="186"/>
        <v>14.450090472930849</v>
      </c>
      <c r="AE51" s="4">
        <f t="shared" si="173"/>
        <v>134.64562547601975</v>
      </c>
      <c r="AF51" s="267">
        <f t="shared" si="174"/>
        <v>35.619473015774545</v>
      </c>
      <c r="AG51" s="273"/>
      <c r="AH51" s="4">
        <f t="shared" si="187"/>
        <v>17.633965830279966</v>
      </c>
      <c r="AI51" s="4">
        <f t="shared" si="187"/>
        <v>29.87318341505004</v>
      </c>
      <c r="AJ51" s="4">
        <f t="shared" si="175"/>
        <v>51.138500907811896</v>
      </c>
      <c r="AK51" s="267">
        <f t="shared" si="176"/>
        <v>73.637397118098349</v>
      </c>
      <c r="AL51" s="273"/>
      <c r="AM51" s="4">
        <f t="shared" si="188"/>
        <v>12.627830582952788</v>
      </c>
      <c r="AN51" s="4">
        <f t="shared" si="188"/>
        <v>36.016908676438028</v>
      </c>
      <c r="AO51" s="4">
        <f t="shared" si="177"/>
        <v>36.620708690563085</v>
      </c>
      <c r="AP51" s="267">
        <f t="shared" si="178"/>
        <v>88.781679887419727</v>
      </c>
      <c r="AQ51" s="273"/>
      <c r="AR51" s="4">
        <f t="shared" si="189"/>
        <v>6.9464068401814218</v>
      </c>
      <c r="AS51" s="4">
        <f t="shared" si="189"/>
        <v>42.527561322209131</v>
      </c>
      <c r="AT51" s="4">
        <f t="shared" si="179"/>
        <v>20.144579836526123</v>
      </c>
      <c r="AU51" s="267">
        <f t="shared" si="180"/>
        <v>104.8304386592455</v>
      </c>
    </row>
    <row r="52" spans="1:47" x14ac:dyDescent="0.4">
      <c r="A52" s="237">
        <f>A51/$E$75</f>
        <v>0.16776444314866493</v>
      </c>
      <c r="B52">
        <v>3</v>
      </c>
      <c r="C52" s="1">
        <v>2.9</v>
      </c>
      <c r="D52" s="1">
        <f t="shared" si="1"/>
        <v>2.4649999999999999</v>
      </c>
      <c r="E52" s="4">
        <v>54168</v>
      </c>
      <c r="F52" s="6">
        <v>0.21346069727026612</v>
      </c>
      <c r="H52" s="4">
        <f t="shared" si="181"/>
        <v>49.771661329405227</v>
      </c>
      <c r="I52" s="4">
        <f t="shared" si="182"/>
        <v>0</v>
      </c>
      <c r="J52" s="267">
        <f t="shared" si="183"/>
        <v>144.33781785527515</v>
      </c>
      <c r="K52" s="267">
        <f t="shared" si="4"/>
        <v>0</v>
      </c>
      <c r="L52" s="273"/>
      <c r="M52" s="4">
        <f t="shared" si="165"/>
        <v>51.280969263197889</v>
      </c>
      <c r="N52" s="4">
        <f t="shared" si="165"/>
        <v>0</v>
      </c>
      <c r="O52" s="4">
        <f t="shared" si="166"/>
        <v>148.71481086327387</v>
      </c>
      <c r="P52" s="267">
        <f t="shared" si="167"/>
        <v>0</v>
      </c>
      <c r="Q52" s="6">
        <f t="shared" si="168"/>
        <v>0.21346069727026612</v>
      </c>
      <c r="R52" s="273"/>
      <c r="S52" s="4">
        <f t="shared" si="184"/>
        <v>47.874594018726647</v>
      </c>
      <c r="T52" s="4">
        <f t="shared" si="184"/>
        <v>4.8525676681357233</v>
      </c>
      <c r="U52" s="4">
        <f t="shared" si="169"/>
        <v>138.83632265430728</v>
      </c>
      <c r="V52" s="267">
        <f t="shared" si="170"/>
        <v>11.961579301954558</v>
      </c>
      <c r="W52" s="273"/>
      <c r="X52" s="4">
        <f t="shared" si="185"/>
        <v>45.752371015749887</v>
      </c>
      <c r="Y52" s="4">
        <f t="shared" si="185"/>
        <v>8.3636868202718571</v>
      </c>
      <c r="Z52" s="4">
        <f t="shared" si="171"/>
        <v>132.68187594567468</v>
      </c>
      <c r="AA52" s="267">
        <f t="shared" si="172"/>
        <v>20.616488011970127</v>
      </c>
      <c r="AB52" s="273"/>
      <c r="AC52" s="4">
        <f t="shared" si="186"/>
        <v>55.568938018691185</v>
      </c>
      <c r="AD52" s="4">
        <f t="shared" si="186"/>
        <v>17.294516024165763</v>
      </c>
      <c r="AE52" s="4">
        <f t="shared" si="173"/>
        <v>161.14992025420443</v>
      </c>
      <c r="AF52" s="267">
        <f t="shared" si="174"/>
        <v>42.630981999568604</v>
      </c>
      <c r="AG52" s="273"/>
      <c r="AH52" s="4">
        <f t="shared" si="187"/>
        <v>21.105120773649553</v>
      </c>
      <c r="AI52" s="4">
        <f t="shared" si="187"/>
        <v>35.753565019696204</v>
      </c>
      <c r="AJ52" s="4">
        <f t="shared" si="175"/>
        <v>61.204850243583699</v>
      </c>
      <c r="AK52" s="267">
        <f t="shared" si="176"/>
        <v>88.132537773551135</v>
      </c>
      <c r="AL52" s="273"/>
      <c r="AM52" s="4">
        <f t="shared" si="188"/>
        <v>15.113553702410274</v>
      </c>
      <c r="AN52" s="4">
        <f t="shared" si="188"/>
        <v>43.106650813877792</v>
      </c>
      <c r="AO52" s="4">
        <f t="shared" si="177"/>
        <v>43.829305736989795</v>
      </c>
      <c r="AP52" s="267">
        <f t="shared" si="178"/>
        <v>106.25789425620876</v>
      </c>
      <c r="AQ52" s="273"/>
      <c r="AR52" s="4">
        <f t="shared" si="189"/>
        <v>8.3137710890418983</v>
      </c>
      <c r="AS52" s="4">
        <f t="shared" si="189"/>
        <v>50.898891749738709</v>
      </c>
      <c r="AT52" s="4">
        <f t="shared" si="179"/>
        <v>24.109936158221505</v>
      </c>
      <c r="AU52" s="267">
        <f t="shared" si="180"/>
        <v>125.46576816310591</v>
      </c>
    </row>
    <row r="53" spans="1:47" x14ac:dyDescent="0.4">
      <c r="B53">
        <v>3.5</v>
      </c>
      <c r="C53" s="1">
        <v>5</v>
      </c>
      <c r="D53" s="1">
        <f t="shared" si="1"/>
        <v>4.25</v>
      </c>
      <c r="E53" s="4">
        <v>32408</v>
      </c>
      <c r="F53" s="6">
        <v>0.12771071992938238</v>
      </c>
      <c r="H53" s="4">
        <f t="shared" si="181"/>
        <v>29.777728554928455</v>
      </c>
      <c r="I53" s="4">
        <f t="shared" si="182"/>
        <v>0</v>
      </c>
      <c r="J53" s="267">
        <f t="shared" si="183"/>
        <v>148.88864277464228</v>
      </c>
      <c r="K53" s="267">
        <f t="shared" si="4"/>
        <v>0</v>
      </c>
      <c r="L53" s="273"/>
      <c r="M53" s="4">
        <f t="shared" si="165"/>
        <v>30.680727586060357</v>
      </c>
      <c r="N53" s="4">
        <f t="shared" si="165"/>
        <v>0</v>
      </c>
      <c r="O53" s="4">
        <f t="shared" si="166"/>
        <v>153.40363793030178</v>
      </c>
      <c r="P53" s="267">
        <f t="shared" si="167"/>
        <v>0</v>
      </c>
      <c r="Q53" s="6">
        <f t="shared" si="168"/>
        <v>0.12771071992938238</v>
      </c>
      <c r="R53" s="273"/>
      <c r="S53" s="4">
        <f t="shared" si="184"/>
        <v>28.642738202608424</v>
      </c>
      <c r="T53" s="4">
        <f t="shared" si="184"/>
        <v>2.903227237279252</v>
      </c>
      <c r="U53" s="4">
        <f t="shared" si="169"/>
        <v>143.21369101304211</v>
      </c>
      <c r="V53" s="267">
        <f t="shared" si="170"/>
        <v>12.338715758436821</v>
      </c>
      <c r="W53" s="273"/>
      <c r="X53" s="4">
        <f t="shared" si="185"/>
        <v>27.373040169074404</v>
      </c>
      <c r="Y53" s="4">
        <f t="shared" si="185"/>
        <v>5.0038835192617483</v>
      </c>
      <c r="Z53" s="4">
        <f t="shared" si="171"/>
        <v>136.86520084537202</v>
      </c>
      <c r="AA53" s="267">
        <f t="shared" si="172"/>
        <v>21.26650495686243</v>
      </c>
      <c r="AB53" s="273"/>
      <c r="AC53" s="4">
        <f t="shared" si="186"/>
        <v>33.246162740173972</v>
      </c>
      <c r="AD53" s="4">
        <f t="shared" si="186"/>
        <v>10.347080846831414</v>
      </c>
      <c r="AE53" s="4">
        <f t="shared" si="173"/>
        <v>166.23081370086987</v>
      </c>
      <c r="AF53" s="267">
        <f t="shared" si="174"/>
        <v>43.975093599033507</v>
      </c>
      <c r="AG53" s="273"/>
      <c r="AH53" s="4">
        <f t="shared" si="187"/>
        <v>12.626915411911734</v>
      </c>
      <c r="AI53" s="4">
        <f t="shared" si="187"/>
        <v>21.390886411872593</v>
      </c>
      <c r="AJ53" s="4">
        <f t="shared" si="175"/>
        <v>63.134577059558666</v>
      </c>
      <c r="AK53" s="267">
        <f t="shared" si="176"/>
        <v>90.911267250458522</v>
      </c>
      <c r="AL53" s="273"/>
      <c r="AM53" s="4">
        <f t="shared" si="188"/>
        <v>9.0422398535613677</v>
      </c>
      <c r="AN53" s="4">
        <f t="shared" si="188"/>
        <v>25.790140665635644</v>
      </c>
      <c r="AO53" s="4">
        <f t="shared" si="177"/>
        <v>45.21119926780684</v>
      </c>
      <c r="AP53" s="267">
        <f t="shared" si="178"/>
        <v>109.60809782895149</v>
      </c>
      <c r="AQ53" s="273"/>
      <c r="AR53" s="4">
        <f t="shared" si="189"/>
        <v>4.9740195955853981</v>
      </c>
      <c r="AS53" s="4">
        <f t="shared" si="189"/>
        <v>30.452135648824623</v>
      </c>
      <c r="AT53" s="4">
        <f t="shared" si="179"/>
        <v>24.870097977926989</v>
      </c>
      <c r="AU53" s="267">
        <f t="shared" si="180"/>
        <v>129.42157650750465</v>
      </c>
    </row>
    <row r="54" spans="1:47" x14ac:dyDescent="0.4">
      <c r="B54">
        <v>4</v>
      </c>
      <c r="C54" s="1">
        <v>5.0999999999999996</v>
      </c>
      <c r="D54" s="1">
        <f t="shared" si="1"/>
        <v>4.335</v>
      </c>
      <c r="E54" s="4">
        <v>37011</v>
      </c>
      <c r="F54" s="6">
        <v>0.14584983508104082</v>
      </c>
      <c r="H54" s="4">
        <f t="shared" si="181"/>
        <v>34.007143654235279</v>
      </c>
      <c r="I54" s="4">
        <f t="shared" si="182"/>
        <v>0</v>
      </c>
      <c r="J54" s="267">
        <f t="shared" si="183"/>
        <v>173.4364326365999</v>
      </c>
      <c r="K54" s="267">
        <f t="shared" si="4"/>
        <v>0</v>
      </c>
      <c r="L54" s="273"/>
      <c r="M54" s="4">
        <f t="shared" si="165"/>
        <v>35.038398194509988</v>
      </c>
      <c r="N54" s="4">
        <f t="shared" si="165"/>
        <v>0</v>
      </c>
      <c r="O54" s="4">
        <f t="shared" si="166"/>
        <v>178.69583079200092</v>
      </c>
      <c r="P54" s="267">
        <f t="shared" si="167"/>
        <v>0</v>
      </c>
      <c r="Q54" s="6">
        <f t="shared" si="168"/>
        <v>0.14584983508104082</v>
      </c>
      <c r="R54" s="273"/>
      <c r="S54" s="4">
        <f t="shared" si="184"/>
        <v>32.710947408563946</v>
      </c>
      <c r="T54" s="4">
        <f t="shared" si="184"/>
        <v>3.3155808219866203</v>
      </c>
      <c r="U54" s="4">
        <f t="shared" si="169"/>
        <v>166.82583178367611</v>
      </c>
      <c r="V54" s="267">
        <f t="shared" si="170"/>
        <v>14.373042863312</v>
      </c>
      <c r="W54" s="273"/>
      <c r="X54" s="4">
        <f t="shared" si="185"/>
        <v>31.260910568304517</v>
      </c>
      <c r="Y54" s="4">
        <f t="shared" si="185"/>
        <v>5.7145992634965612</v>
      </c>
      <c r="Z54" s="4">
        <f t="shared" si="171"/>
        <v>159.43064389835303</v>
      </c>
      <c r="AA54" s="267">
        <f t="shared" si="172"/>
        <v>24.772787807257593</v>
      </c>
      <c r="AB54" s="273"/>
      <c r="AC54" s="4">
        <f t="shared" si="186"/>
        <v>37.968209367334573</v>
      </c>
      <c r="AD54" s="4">
        <f t="shared" si="186"/>
        <v>11.816706036228013</v>
      </c>
      <c r="AE54" s="4">
        <f t="shared" si="173"/>
        <v>193.6378677734063</v>
      </c>
      <c r="AF54" s="267">
        <f t="shared" si="174"/>
        <v>51.225420667048432</v>
      </c>
      <c r="AG54" s="273"/>
      <c r="AH54" s="4">
        <f t="shared" si="187"/>
        <v>14.420351959709491</v>
      </c>
      <c r="AI54" s="4">
        <f t="shared" si="187"/>
        <v>24.429094575099249</v>
      </c>
      <c r="AJ54" s="4">
        <f t="shared" si="175"/>
        <v>73.543794994518393</v>
      </c>
      <c r="AK54" s="267">
        <f t="shared" si="176"/>
        <v>105.90012498305525</v>
      </c>
      <c r="AL54" s="273"/>
      <c r="AM54" s="4">
        <f t="shared" si="188"/>
        <v>10.326534782157484</v>
      </c>
      <c r="AN54" s="4">
        <f t="shared" si="188"/>
        <v>29.453187366571239</v>
      </c>
      <c r="AO54" s="4">
        <f t="shared" si="177"/>
        <v>52.665327389003167</v>
      </c>
      <c r="AP54" s="267">
        <f t="shared" si="178"/>
        <v>127.67956723408632</v>
      </c>
      <c r="AQ54" s="273"/>
      <c r="AR54" s="4">
        <f t="shared" si="189"/>
        <v>5.6804936821837559</v>
      </c>
      <c r="AS54" s="4">
        <f t="shared" si="189"/>
        <v>34.777338697193535</v>
      </c>
      <c r="AT54" s="4">
        <f t="shared" si="179"/>
        <v>28.970517779137154</v>
      </c>
      <c r="AU54" s="267">
        <f t="shared" si="180"/>
        <v>150.75976325233398</v>
      </c>
    </row>
    <row r="55" spans="1:47" x14ac:dyDescent="0.4">
      <c r="B55">
        <v>5</v>
      </c>
      <c r="C55" s="1">
        <v>5.9</v>
      </c>
      <c r="D55" s="1">
        <f t="shared" si="1"/>
        <v>5.0150000000000006</v>
      </c>
      <c r="E55" s="4">
        <v>27403</v>
      </c>
      <c r="F55" s="6">
        <v>0.10798743699780503</v>
      </c>
      <c r="H55" s="4">
        <f t="shared" si="181"/>
        <v>25.178940249034326</v>
      </c>
      <c r="I55" s="4">
        <f t="shared" si="182"/>
        <v>0</v>
      </c>
      <c r="J55" s="267">
        <f t="shared" si="183"/>
        <v>148.55574746930253</v>
      </c>
      <c r="K55" s="267">
        <f t="shared" si="4"/>
        <v>0</v>
      </c>
      <c r="L55" s="273"/>
      <c r="M55" s="4">
        <f t="shared" si="165"/>
        <v>25.942482659862129</v>
      </c>
      <c r="N55" s="4">
        <f t="shared" si="165"/>
        <v>0</v>
      </c>
      <c r="O55" s="4">
        <f>$C55*M55</f>
        <v>153.06064769318658</v>
      </c>
      <c r="P55" s="267">
        <f t="shared" ref="P55" si="190">$D55*N55</f>
        <v>0</v>
      </c>
      <c r="Q55" s="6">
        <f t="shared" si="168"/>
        <v>0.10798743699780503</v>
      </c>
      <c r="R55" s="273"/>
      <c r="S55" s="4">
        <f t="shared" si="184"/>
        <v>24.219234601520572</v>
      </c>
      <c r="T55" s="4">
        <f t="shared" si="184"/>
        <v>2.4548610214503626</v>
      </c>
      <c r="U55" s="4">
        <f t="shared" si="169"/>
        <v>142.8934841489714</v>
      </c>
      <c r="V55" s="267">
        <f t="shared" si="170"/>
        <v>12.31112802257357</v>
      </c>
      <c r="W55" s="273"/>
      <c r="X55" s="4">
        <f t="shared" si="185"/>
        <v>23.145625146665822</v>
      </c>
      <c r="Y55" s="4">
        <f t="shared" si="185"/>
        <v>4.231097879484377</v>
      </c>
      <c r="Z55" s="4">
        <f t="shared" si="171"/>
        <v>136.55918836532837</v>
      </c>
      <c r="AA55" s="267">
        <f t="shared" si="172"/>
        <v>21.218955865614152</v>
      </c>
      <c r="AB55" s="273"/>
      <c r="AC55" s="4">
        <f t="shared" si="186"/>
        <v>28.111719253548117</v>
      </c>
      <c r="AD55" s="4">
        <f t="shared" si="186"/>
        <v>8.749106900941781</v>
      </c>
      <c r="AE55" s="4">
        <f t="shared" si="173"/>
        <v>165.85914359593389</v>
      </c>
      <c r="AF55" s="267">
        <f t="shared" si="174"/>
        <v>43.876771108223039</v>
      </c>
      <c r="AG55" s="273"/>
      <c r="AH55" s="4">
        <f t="shared" si="187"/>
        <v>10.6768502540304</v>
      </c>
      <c r="AI55" s="4">
        <f t="shared" si="187"/>
        <v>18.087338322159486</v>
      </c>
      <c r="AJ55" s="4">
        <f t="shared" si="175"/>
        <v>62.993416498779368</v>
      </c>
      <c r="AK55" s="267">
        <f t="shared" si="176"/>
        <v>90.708001685629824</v>
      </c>
      <c r="AL55" s="273"/>
      <c r="AM55" s="4">
        <f t="shared" si="188"/>
        <v>7.6457818658091261</v>
      </c>
      <c r="AN55" s="4">
        <f t="shared" si="188"/>
        <v>21.807184172439321</v>
      </c>
      <c r="AO55" s="4">
        <f t="shared" si="177"/>
        <v>45.110113008273849</v>
      </c>
      <c r="AP55" s="267">
        <f t="shared" si="178"/>
        <v>109.36302862478321</v>
      </c>
      <c r="AQ55" s="273"/>
      <c r="AR55" s="4">
        <f t="shared" si="189"/>
        <v>4.2058460558450586</v>
      </c>
      <c r="AS55" s="4">
        <f t="shared" si="189"/>
        <v>25.749193815870807</v>
      </c>
      <c r="AT55" s="4">
        <f t="shared" si="179"/>
        <v>24.814491729485848</v>
      </c>
      <c r="AU55" s="267">
        <f t="shared" si="180"/>
        <v>129.13220698659211</v>
      </c>
    </row>
    <row r="56" spans="1:47" s="274" customFormat="1" x14ac:dyDescent="0.4">
      <c r="C56" s="275"/>
      <c r="D56" s="275"/>
      <c r="E56" s="276"/>
      <c r="F56" s="277"/>
      <c r="G56" s="276">
        <f>機器台数2!D20</f>
        <v>12.5</v>
      </c>
      <c r="H56" s="276">
        <f>G56*(1-G$3)</f>
        <v>12.5</v>
      </c>
      <c r="I56" s="276">
        <f>G56*G$3</f>
        <v>0</v>
      </c>
      <c r="J56" s="276">
        <f>SUM(J57:J63)</f>
        <v>33.599999999999994</v>
      </c>
      <c r="K56" s="278">
        <f t="shared" si="4"/>
        <v>0</v>
      </c>
      <c r="L56" s="279">
        <f>機器台数2!F20</f>
        <v>16.8</v>
      </c>
      <c r="M56" s="276">
        <f>L56*(1-L$3)</f>
        <v>16.8</v>
      </c>
      <c r="N56" s="276">
        <f>L56*L$3</f>
        <v>0</v>
      </c>
      <c r="O56" s="276">
        <f>SUM(O57:O63)</f>
        <v>45.158400000000007</v>
      </c>
      <c r="P56" s="276">
        <f>SUM(P57:P63)</f>
        <v>0</v>
      </c>
      <c r="Q56" s="277"/>
      <c r="R56" s="279">
        <f>機器台数2!H20</f>
        <v>23</v>
      </c>
      <c r="S56" s="276">
        <f>機器台数2!H21</f>
        <v>12.581235105624639</v>
      </c>
      <c r="T56" s="276">
        <f>機器台数2!H22</f>
        <v>10.418764894375361</v>
      </c>
      <c r="U56" s="276">
        <f>SUM(U57:U63)</f>
        <v>33.818359963919029</v>
      </c>
      <c r="V56" s="276">
        <f>SUM(V57:V63)</f>
        <v>23.804794030668827</v>
      </c>
      <c r="W56" s="279">
        <f>機器台数2!J20</f>
        <v>30.799999999999997</v>
      </c>
      <c r="X56" s="276">
        <f>機器台数2!J21</f>
        <v>9.8804373484445289</v>
      </c>
      <c r="Y56" s="276">
        <f>機器台数2!J22</f>
        <v>20.919562651555466</v>
      </c>
      <c r="Z56" s="276">
        <f>SUM(Z57:Z63)</f>
        <v>26.558615592618892</v>
      </c>
      <c r="AA56" s="276">
        <f>SUM(AA57:AA63)</f>
        <v>47.797016746273925</v>
      </c>
      <c r="AB56" s="279">
        <f>機器台数2!L20</f>
        <v>37.799999999999997</v>
      </c>
      <c r="AC56" s="276">
        <f>機器台数2!L21</f>
        <v>6.3622109001830305</v>
      </c>
      <c r="AD56" s="276">
        <f>機器台数2!L22</f>
        <v>31.437789099816964</v>
      </c>
      <c r="AE56" s="276">
        <f>SUM(AE57:AE63)</f>
        <v>17.101622899691986</v>
      </c>
      <c r="AF56" s="276">
        <f>SUM(AF57:AF63)</f>
        <v>71.829060535261803</v>
      </c>
      <c r="AG56" s="279">
        <f>機器台数2!N20</f>
        <v>47.999999999999986</v>
      </c>
      <c r="AH56" s="276">
        <f>機器台数2!N21</f>
        <v>6.1001029342796063</v>
      </c>
      <c r="AI56" s="276">
        <f>機器台数2!N22</f>
        <v>41.899897065720381</v>
      </c>
      <c r="AJ56" s="276">
        <f>SUM(AJ57:AJ63)</f>
        <v>16.397076687343585</v>
      </c>
      <c r="AK56" s="276">
        <f>SUM(AK57:AK63)</f>
        <v>95.732884815757913</v>
      </c>
      <c r="AL56" s="279">
        <f>機器台数2!S20</f>
        <v>0.35999999999999988</v>
      </c>
      <c r="AM56" s="276">
        <f>機器台数2!P21</f>
        <v>4.7774473165938796</v>
      </c>
      <c r="AN56" s="276">
        <f>機器台数2!P22</f>
        <v>52.222552683406107</v>
      </c>
      <c r="AO56" s="276">
        <f>SUM(AO57:AO63)</f>
        <v>12.841778387004348</v>
      </c>
      <c r="AP56" s="276">
        <f>SUM(AP57:AP63)</f>
        <v>119.31808837104627</v>
      </c>
      <c r="AQ56" s="279">
        <f>機器台数2!X20</f>
        <v>0</v>
      </c>
      <c r="AR56" s="276">
        <f>機器台数2!R21</f>
        <v>9.6882757065829672</v>
      </c>
      <c r="AS56" s="276">
        <f>機器台数2!R22</f>
        <v>62.311724293417008</v>
      </c>
      <c r="AT56" s="276">
        <f>SUM(AT57:AT63)</f>
        <v>26.042085099295015</v>
      </c>
      <c r="AU56" s="276">
        <f>SUM(AU57:AU63)</f>
        <v>142.36982766559916</v>
      </c>
    </row>
    <row r="57" spans="1:47" x14ac:dyDescent="0.4">
      <c r="A57" t="s">
        <v>12</v>
      </c>
      <c r="B57">
        <v>1.5</v>
      </c>
      <c r="C57" s="1">
        <v>2.15</v>
      </c>
      <c r="D57" s="1">
        <f t="shared" si="1"/>
        <v>1.8274999999999999</v>
      </c>
      <c r="E57" s="4">
        <f t="shared" ref="E57:E63" si="191">$A$59*Q57</f>
        <v>9000</v>
      </c>
      <c r="F57" s="6">
        <v>0.03</v>
      </c>
      <c r="H57" s="4">
        <f>F57*H$56</f>
        <v>0.375</v>
      </c>
      <c r="I57" s="4">
        <f>$F57*I$56</f>
        <v>0</v>
      </c>
      <c r="J57" s="267">
        <f>C57*H57</f>
        <v>0.80624999999999991</v>
      </c>
      <c r="K57" s="267">
        <f t="shared" si="4"/>
        <v>0</v>
      </c>
      <c r="L57" s="273">
        <f>SUM(M57:M63)</f>
        <v>16.8</v>
      </c>
      <c r="M57" s="4">
        <f>$F57*M$56</f>
        <v>0.504</v>
      </c>
      <c r="N57" s="4">
        <f>$F57*N$56</f>
        <v>0</v>
      </c>
      <c r="O57" s="4">
        <f>$C57*M57</f>
        <v>1.0835999999999999</v>
      </c>
      <c r="P57" s="267">
        <f t="shared" ref="P57" si="192">$D57*N57</f>
        <v>0</v>
      </c>
      <c r="Q57" s="6">
        <v>0.03</v>
      </c>
      <c r="R57" s="273">
        <f>SUM(S57:S63)</f>
        <v>12.581235105624639</v>
      </c>
      <c r="S57" s="4">
        <f>$F57*S$56</f>
        <v>0.37743705316873916</v>
      </c>
      <c r="T57" s="4">
        <f>$F57*T$56</f>
        <v>0.31256294683126079</v>
      </c>
      <c r="U57" s="4">
        <f t="shared" ref="U57:U63" si="193">$C57*S57</f>
        <v>0.81148966431278913</v>
      </c>
      <c r="V57" s="267">
        <f t="shared" ref="V57:V63" si="194">$D57*T57</f>
        <v>0.57120878533412911</v>
      </c>
      <c r="W57" s="273">
        <f>SUM(X57:X63)</f>
        <v>9.8804373484445307</v>
      </c>
      <c r="X57" s="4">
        <f>$F57*X$56</f>
        <v>0.29641312045333584</v>
      </c>
      <c r="Y57" s="4">
        <f>$F57*Y$56</f>
        <v>0.62758687954666392</v>
      </c>
      <c r="Z57" s="4">
        <f>$C57*X57</f>
        <v>0.63728820897467209</v>
      </c>
      <c r="AA57" s="267">
        <f t="shared" ref="AA57:AA63" si="195">$D57*Y57</f>
        <v>1.1469150223715283</v>
      </c>
      <c r="AB57" s="273">
        <f>SUM(AC57:AC63)</f>
        <v>6.3622109001830305</v>
      </c>
      <c r="AC57" s="4">
        <f>$F57*AC$56</f>
        <v>0.19086632700549092</v>
      </c>
      <c r="AD57" s="4">
        <f>$F57*AD$56</f>
        <v>0.9431336729945089</v>
      </c>
      <c r="AE57" s="4">
        <f>$C57*AC57</f>
        <v>0.41036260306180544</v>
      </c>
      <c r="AF57" s="267">
        <f t="shared" ref="AF57:AF63" si="196">$D57*AD57</f>
        <v>1.723576787397465</v>
      </c>
      <c r="AG57" s="273">
        <f>SUM(AH57:AH63)</f>
        <v>6.1001029342796071</v>
      </c>
      <c r="AH57" s="4">
        <f>$F57*AH$56</f>
        <v>0.18300308802838819</v>
      </c>
      <c r="AI57" s="4">
        <f>$F57*AI$56</f>
        <v>1.2569969119716113</v>
      </c>
      <c r="AJ57" s="4">
        <f>$C57*AH57</f>
        <v>0.39345663926103458</v>
      </c>
      <c r="AK57" s="267">
        <f t="shared" ref="AK57:AK63" si="197">$D57*AI57</f>
        <v>2.2971618566281196</v>
      </c>
      <c r="AL57" s="273">
        <f>SUM(AM57:AM63)</f>
        <v>4.7774473165938796</v>
      </c>
      <c r="AM57" s="4">
        <f>$F57*AM$56</f>
        <v>0.14332341949781638</v>
      </c>
      <c r="AN57" s="4">
        <f>$F57*AN$56</f>
        <v>1.5666765805021832</v>
      </c>
      <c r="AO57" s="4">
        <f>$C57*AM57</f>
        <v>0.30814535192030518</v>
      </c>
      <c r="AP57" s="267">
        <f t="shared" ref="AP57:AP63" si="198">$D57*AN57</f>
        <v>2.8631014508677395</v>
      </c>
      <c r="AQ57" s="273">
        <f>SUM(AR57:AR63)</f>
        <v>9.6882757065829672</v>
      </c>
      <c r="AR57" s="4">
        <f>$F57*AR$56</f>
        <v>0.29064827119748898</v>
      </c>
      <c r="AS57" s="4">
        <f>$F57*AS$56</f>
        <v>1.8693517288025101</v>
      </c>
      <c r="AT57" s="4">
        <f>$C57*AR57</f>
        <v>0.62489378307460131</v>
      </c>
      <c r="AU57" s="267">
        <f t="shared" ref="AU57:AU63" si="199">$D57*AS57</f>
        <v>3.4162402843865869</v>
      </c>
    </row>
    <row r="58" spans="1:47" x14ac:dyDescent="0.4">
      <c r="A58" t="s">
        <v>13</v>
      </c>
      <c r="B58">
        <v>2</v>
      </c>
      <c r="C58" s="1">
        <v>2.15</v>
      </c>
      <c r="D58" s="1">
        <f t="shared" si="1"/>
        <v>1.8274999999999999</v>
      </c>
      <c r="E58" s="4">
        <f t="shared" si="191"/>
        <v>45000</v>
      </c>
      <c r="F58" s="6">
        <v>0.15</v>
      </c>
      <c r="H58" s="4">
        <f t="shared" ref="H58:H63" si="200">F58*H$56</f>
        <v>1.875</v>
      </c>
      <c r="I58" s="4">
        <f t="shared" ref="I58:I63" si="201">$F58*I$56</f>
        <v>0</v>
      </c>
      <c r="J58" s="267">
        <f t="shared" ref="J58:J63" si="202">C58*H58</f>
        <v>4.03125</v>
      </c>
      <c r="K58" s="267">
        <f t="shared" si="4"/>
        <v>0</v>
      </c>
      <c r="L58" s="273"/>
      <c r="M58" s="4">
        <f t="shared" ref="M58:N63" si="203">$F58*M$56</f>
        <v>2.52</v>
      </c>
      <c r="N58" s="4">
        <f t="shared" si="203"/>
        <v>0</v>
      </c>
      <c r="O58" s="4">
        <f t="shared" ref="O58:O63" si="204">$C58*M58</f>
        <v>5.4180000000000001</v>
      </c>
      <c r="P58" s="267">
        <f t="shared" ref="P58:P63" si="205">$D58*N58</f>
        <v>0</v>
      </c>
      <c r="Q58" s="6">
        <v>0.15</v>
      </c>
      <c r="R58" s="273"/>
      <c r="S58" s="4">
        <f t="shared" ref="S58:T63" si="206">$F58*S$56</f>
        <v>1.8871852658436958</v>
      </c>
      <c r="T58" s="4">
        <f t="shared" si="206"/>
        <v>1.5628147341563041</v>
      </c>
      <c r="U58" s="4">
        <f t="shared" si="193"/>
        <v>4.0574483215639461</v>
      </c>
      <c r="V58" s="267">
        <f t="shared" si="194"/>
        <v>2.8560439266706457</v>
      </c>
      <c r="W58" s="273"/>
      <c r="X58" s="4">
        <f t="shared" ref="X58:Y63" si="207">$F58*X$56</f>
        <v>1.4820656022666794</v>
      </c>
      <c r="Y58" s="4">
        <f t="shared" si="207"/>
        <v>3.1379343977333201</v>
      </c>
      <c r="Z58" s="4">
        <f t="shared" ref="Z58:Z63" si="208">$C58*X58</f>
        <v>3.1864410448733604</v>
      </c>
      <c r="AA58" s="267">
        <f t="shared" si="195"/>
        <v>5.7345751118576418</v>
      </c>
      <c r="AB58" s="273"/>
      <c r="AC58" s="4">
        <f t="shared" ref="AC58:AD63" si="209">$F58*AC$56</f>
        <v>0.95433163502745455</v>
      </c>
      <c r="AD58" s="4">
        <f t="shared" si="209"/>
        <v>4.7156683649725446</v>
      </c>
      <c r="AE58" s="4">
        <f t="shared" ref="AE58:AE63" si="210">$C58*AC58</f>
        <v>2.051813015309027</v>
      </c>
      <c r="AF58" s="267">
        <f t="shared" si="196"/>
        <v>8.6178839369873241</v>
      </c>
      <c r="AG58" s="273"/>
      <c r="AH58" s="4">
        <f t="shared" ref="AH58:AI63" si="211">$F58*AH$56</f>
        <v>0.91501544014194092</v>
      </c>
      <c r="AI58" s="4">
        <f t="shared" si="211"/>
        <v>6.2849845598580574</v>
      </c>
      <c r="AJ58" s="4">
        <f t="shared" ref="AJ58:AJ63" si="212">$C58*AH58</f>
        <v>1.9672831963051729</v>
      </c>
      <c r="AK58" s="267">
        <f t="shared" si="197"/>
        <v>11.485809283140599</v>
      </c>
      <c r="AL58" s="273"/>
      <c r="AM58" s="4">
        <f t="shared" ref="AM58:AN63" si="213">$F58*AM$56</f>
        <v>0.71661709748908187</v>
      </c>
      <c r="AN58" s="4">
        <f t="shared" si="213"/>
        <v>7.8333829025109161</v>
      </c>
      <c r="AO58" s="4">
        <f t="shared" ref="AO58:AO63" si="214">$C58*AM58</f>
        <v>1.5407267596015259</v>
      </c>
      <c r="AP58" s="267">
        <f t="shared" si="198"/>
        <v>14.315507254338698</v>
      </c>
      <c r="AQ58" s="273"/>
      <c r="AR58" s="4">
        <f t="shared" ref="AR58:AS63" si="215">$F58*AR$56</f>
        <v>1.4532413559874451</v>
      </c>
      <c r="AS58" s="4">
        <f t="shared" si="215"/>
        <v>9.3467586440125512</v>
      </c>
      <c r="AT58" s="4">
        <f t="shared" ref="AT58:AT63" si="216">$C58*AR58</f>
        <v>3.124468915373007</v>
      </c>
      <c r="AU58" s="267">
        <f t="shared" si="199"/>
        <v>17.081201421932935</v>
      </c>
    </row>
    <row r="59" spans="1:47" x14ac:dyDescent="0.4">
      <c r="A59" s="7">
        <v>300000</v>
      </c>
      <c r="B59">
        <v>2.5</v>
      </c>
      <c r="C59" s="1">
        <v>2.25</v>
      </c>
      <c r="D59" s="1">
        <f t="shared" si="1"/>
        <v>1.9124999999999999</v>
      </c>
      <c r="E59" s="4">
        <f t="shared" si="191"/>
        <v>51000.000000000007</v>
      </c>
      <c r="F59" s="6">
        <v>0.17</v>
      </c>
      <c r="H59" s="4">
        <f t="shared" si="200"/>
        <v>2.125</v>
      </c>
      <c r="I59" s="4">
        <f t="shared" si="201"/>
        <v>0</v>
      </c>
      <c r="J59" s="267">
        <f t="shared" si="202"/>
        <v>4.78125</v>
      </c>
      <c r="K59" s="267">
        <f t="shared" si="4"/>
        <v>0</v>
      </c>
      <c r="L59" s="273"/>
      <c r="M59" s="4">
        <f t="shared" si="203"/>
        <v>2.8560000000000003</v>
      </c>
      <c r="N59" s="4">
        <f t="shared" si="203"/>
        <v>0</v>
      </c>
      <c r="O59" s="4">
        <f t="shared" si="204"/>
        <v>6.426000000000001</v>
      </c>
      <c r="P59" s="267">
        <f t="shared" si="205"/>
        <v>0</v>
      </c>
      <c r="Q59" s="6">
        <v>0.17</v>
      </c>
      <c r="R59" s="273"/>
      <c r="S59" s="4">
        <f t="shared" si="206"/>
        <v>2.1388099679561887</v>
      </c>
      <c r="T59" s="4">
        <f t="shared" si="206"/>
        <v>1.7711900320438114</v>
      </c>
      <c r="U59" s="4">
        <f t="shared" si="193"/>
        <v>4.8123224279014245</v>
      </c>
      <c r="V59" s="267">
        <f t="shared" si="194"/>
        <v>3.3874009362837891</v>
      </c>
      <c r="W59" s="273"/>
      <c r="X59" s="4">
        <f t="shared" si="207"/>
        <v>1.6796743492355701</v>
      </c>
      <c r="Y59" s="4">
        <f t="shared" si="207"/>
        <v>3.5563256507644296</v>
      </c>
      <c r="Z59" s="4">
        <f t="shared" si="208"/>
        <v>3.7792672857800329</v>
      </c>
      <c r="AA59" s="267">
        <f t="shared" si="195"/>
        <v>6.801472807086971</v>
      </c>
      <c r="AB59" s="273"/>
      <c r="AC59" s="4">
        <f t="shared" si="209"/>
        <v>1.0815758530311153</v>
      </c>
      <c r="AD59" s="4">
        <f t="shared" si="209"/>
        <v>5.3444241469688842</v>
      </c>
      <c r="AE59" s="4">
        <f t="shared" si="210"/>
        <v>2.4335456693200093</v>
      </c>
      <c r="AF59" s="267">
        <f t="shared" si="196"/>
        <v>10.22121118107799</v>
      </c>
      <c r="AG59" s="273"/>
      <c r="AH59" s="4">
        <f t="shared" si="211"/>
        <v>1.0370174988275331</v>
      </c>
      <c r="AI59" s="4">
        <f t="shared" si="211"/>
        <v>7.1229825011724657</v>
      </c>
      <c r="AJ59" s="4">
        <f t="shared" si="212"/>
        <v>2.3332893723619494</v>
      </c>
      <c r="AK59" s="267">
        <f t="shared" si="197"/>
        <v>13.62270403349234</v>
      </c>
      <c r="AL59" s="273"/>
      <c r="AM59" s="4">
        <f t="shared" si="213"/>
        <v>0.81216604382095958</v>
      </c>
      <c r="AN59" s="4">
        <f t="shared" si="213"/>
        <v>8.8778339561790389</v>
      </c>
      <c r="AO59" s="4">
        <f t="shared" si="214"/>
        <v>1.8273735985971591</v>
      </c>
      <c r="AP59" s="267">
        <f t="shared" si="198"/>
        <v>16.97885744119241</v>
      </c>
      <c r="AQ59" s="273"/>
      <c r="AR59" s="4">
        <f t="shared" si="215"/>
        <v>1.6470068701191045</v>
      </c>
      <c r="AS59" s="4">
        <f t="shared" si="215"/>
        <v>10.592993129880892</v>
      </c>
      <c r="AT59" s="4">
        <f t="shared" si="216"/>
        <v>3.7057654577679853</v>
      </c>
      <c r="AU59" s="267">
        <f t="shared" si="199"/>
        <v>20.259099360897203</v>
      </c>
    </row>
    <row r="60" spans="1:47" x14ac:dyDescent="0.4">
      <c r="B60">
        <v>3</v>
      </c>
      <c r="C60" s="1">
        <v>2.4</v>
      </c>
      <c r="D60" s="1">
        <f t="shared" si="1"/>
        <v>2.04</v>
      </c>
      <c r="E60" s="4">
        <f t="shared" si="191"/>
        <v>78000</v>
      </c>
      <c r="F60" s="6">
        <v>0.26</v>
      </c>
      <c r="H60" s="4">
        <f t="shared" si="200"/>
        <v>3.25</v>
      </c>
      <c r="I60" s="4">
        <f t="shared" si="201"/>
        <v>0</v>
      </c>
      <c r="J60" s="267">
        <f t="shared" si="202"/>
        <v>7.8</v>
      </c>
      <c r="K60" s="267">
        <f t="shared" si="4"/>
        <v>0</v>
      </c>
      <c r="L60" s="273"/>
      <c r="M60" s="4">
        <f t="shared" si="203"/>
        <v>4.3680000000000003</v>
      </c>
      <c r="N60" s="4">
        <f t="shared" si="203"/>
        <v>0</v>
      </c>
      <c r="O60" s="4">
        <f t="shared" si="204"/>
        <v>10.4832</v>
      </c>
      <c r="P60" s="267">
        <f t="shared" si="205"/>
        <v>0</v>
      </c>
      <c r="Q60" s="6">
        <v>0.26</v>
      </c>
      <c r="R60" s="273"/>
      <c r="S60" s="4">
        <f t="shared" si="206"/>
        <v>3.2711211274624064</v>
      </c>
      <c r="T60" s="4">
        <f t="shared" si="206"/>
        <v>2.7088788725375941</v>
      </c>
      <c r="U60" s="4">
        <f t="shared" si="193"/>
        <v>7.8506907059097752</v>
      </c>
      <c r="V60" s="267">
        <f t="shared" si="194"/>
        <v>5.5261128999766918</v>
      </c>
      <c r="W60" s="273"/>
      <c r="X60" s="4">
        <f t="shared" si="207"/>
        <v>2.5689137105955777</v>
      </c>
      <c r="Y60" s="4">
        <f t="shared" si="207"/>
        <v>5.4390862894044218</v>
      </c>
      <c r="Z60" s="4">
        <f t="shared" si="208"/>
        <v>6.1653929054293863</v>
      </c>
      <c r="AA60" s="267">
        <f t="shared" si="195"/>
        <v>11.095736030385021</v>
      </c>
      <c r="AB60" s="273"/>
      <c r="AC60" s="4">
        <f t="shared" si="209"/>
        <v>1.6541748340475879</v>
      </c>
      <c r="AD60" s="4">
        <f t="shared" si="209"/>
        <v>8.1738251659524117</v>
      </c>
      <c r="AE60" s="4">
        <f t="shared" si="210"/>
        <v>3.9700196017142106</v>
      </c>
      <c r="AF60" s="267">
        <f t="shared" si="196"/>
        <v>16.674603338542919</v>
      </c>
      <c r="AG60" s="273"/>
      <c r="AH60" s="4">
        <f t="shared" si="211"/>
        <v>1.5860267629126976</v>
      </c>
      <c r="AI60" s="4">
        <f t="shared" si="211"/>
        <v>10.8939732370873</v>
      </c>
      <c r="AJ60" s="4">
        <f t="shared" si="212"/>
        <v>3.8064642309904739</v>
      </c>
      <c r="AK60" s="267">
        <f t="shared" si="197"/>
        <v>22.223705403658091</v>
      </c>
      <c r="AL60" s="273"/>
      <c r="AM60" s="4">
        <f t="shared" si="213"/>
        <v>1.2421363023144087</v>
      </c>
      <c r="AN60" s="4">
        <f t="shared" si="213"/>
        <v>13.577863697685588</v>
      </c>
      <c r="AO60" s="4">
        <f t="shared" si="214"/>
        <v>2.9811271255545808</v>
      </c>
      <c r="AP60" s="267">
        <f t="shared" si="198"/>
        <v>27.698841943278602</v>
      </c>
      <c r="AQ60" s="273"/>
      <c r="AR60" s="4">
        <f t="shared" si="215"/>
        <v>2.5189516837115717</v>
      </c>
      <c r="AS60" s="4">
        <f t="shared" si="215"/>
        <v>16.201048316288421</v>
      </c>
      <c r="AT60" s="4">
        <f t="shared" si="216"/>
        <v>6.0454840409077724</v>
      </c>
      <c r="AU60" s="267">
        <f t="shared" si="199"/>
        <v>33.05013856522838</v>
      </c>
    </row>
    <row r="61" spans="1:47" x14ac:dyDescent="0.4">
      <c r="B61">
        <v>3.5</v>
      </c>
      <c r="C61" s="1">
        <v>3.15</v>
      </c>
      <c r="D61" s="1">
        <f t="shared" si="1"/>
        <v>2.6774999999999998</v>
      </c>
      <c r="E61" s="4">
        <f t="shared" si="191"/>
        <v>30000</v>
      </c>
      <c r="F61" s="6">
        <v>0.1</v>
      </c>
      <c r="H61" s="4">
        <f t="shared" si="200"/>
        <v>1.25</v>
      </c>
      <c r="I61" s="4">
        <f t="shared" si="201"/>
        <v>0</v>
      </c>
      <c r="J61" s="267">
        <f t="shared" si="202"/>
        <v>3.9375</v>
      </c>
      <c r="K61" s="267">
        <f t="shared" si="4"/>
        <v>0</v>
      </c>
      <c r="L61" s="273"/>
      <c r="M61" s="4">
        <f t="shared" si="203"/>
        <v>1.6800000000000002</v>
      </c>
      <c r="N61" s="4">
        <f t="shared" si="203"/>
        <v>0</v>
      </c>
      <c r="O61" s="4">
        <f t="shared" si="204"/>
        <v>5.2920000000000007</v>
      </c>
      <c r="P61" s="267">
        <f t="shared" si="205"/>
        <v>0</v>
      </c>
      <c r="Q61" s="6">
        <v>0.1</v>
      </c>
      <c r="R61" s="273"/>
      <c r="S61" s="4">
        <f t="shared" si="206"/>
        <v>1.258123510562464</v>
      </c>
      <c r="T61" s="4">
        <f t="shared" si="206"/>
        <v>1.0418764894375361</v>
      </c>
      <c r="U61" s="4">
        <f t="shared" si="193"/>
        <v>3.9630890582717613</v>
      </c>
      <c r="V61" s="267">
        <f t="shared" si="194"/>
        <v>2.7896243004690024</v>
      </c>
      <c r="W61" s="273"/>
      <c r="X61" s="4">
        <f t="shared" si="207"/>
        <v>0.98804373484445296</v>
      </c>
      <c r="Y61" s="4">
        <f t="shared" si="207"/>
        <v>2.0919562651555466</v>
      </c>
      <c r="Z61" s="4">
        <f t="shared" si="208"/>
        <v>3.1123377647600265</v>
      </c>
      <c r="AA61" s="267">
        <f t="shared" si="195"/>
        <v>5.6012128999539756</v>
      </c>
      <c r="AB61" s="273"/>
      <c r="AC61" s="4">
        <f t="shared" si="209"/>
        <v>0.63622109001830307</v>
      </c>
      <c r="AD61" s="4">
        <f t="shared" si="209"/>
        <v>3.1437789099816964</v>
      </c>
      <c r="AE61" s="4">
        <f t="shared" si="210"/>
        <v>2.0040964335576548</v>
      </c>
      <c r="AF61" s="267">
        <f t="shared" si="196"/>
        <v>8.4174680314759911</v>
      </c>
      <c r="AG61" s="273"/>
      <c r="AH61" s="4">
        <f t="shared" si="211"/>
        <v>0.61001029342796065</v>
      </c>
      <c r="AI61" s="4">
        <f t="shared" si="211"/>
        <v>4.189989706572038</v>
      </c>
      <c r="AJ61" s="4">
        <f t="shared" si="212"/>
        <v>1.921532424298076</v>
      </c>
      <c r="AK61" s="267">
        <f t="shared" si="197"/>
        <v>11.218697439346631</v>
      </c>
      <c r="AL61" s="273"/>
      <c r="AM61" s="4">
        <f t="shared" si="213"/>
        <v>0.47774473165938797</v>
      </c>
      <c r="AN61" s="4">
        <f t="shared" si="213"/>
        <v>5.2222552683406107</v>
      </c>
      <c r="AO61" s="4">
        <f t="shared" si="214"/>
        <v>1.504895904727072</v>
      </c>
      <c r="AP61" s="267">
        <f t="shared" si="198"/>
        <v>13.982588480981985</v>
      </c>
      <c r="AQ61" s="273"/>
      <c r="AR61" s="4">
        <f t="shared" si="215"/>
        <v>0.96882757065829672</v>
      </c>
      <c r="AS61" s="4">
        <f t="shared" si="215"/>
        <v>6.2311724293417008</v>
      </c>
      <c r="AT61" s="4">
        <f t="shared" si="216"/>
        <v>3.0518068475736344</v>
      </c>
      <c r="AU61" s="267">
        <f t="shared" si="199"/>
        <v>16.683964179562402</v>
      </c>
    </row>
    <row r="62" spans="1:47" x14ac:dyDescent="0.4">
      <c r="B62">
        <v>4</v>
      </c>
      <c r="C62" s="1">
        <v>3.15</v>
      </c>
      <c r="D62" s="1">
        <f t="shared" si="1"/>
        <v>2.6774999999999998</v>
      </c>
      <c r="E62" s="4">
        <f t="shared" si="191"/>
        <v>51000.000000000007</v>
      </c>
      <c r="F62" s="6">
        <v>0.17</v>
      </c>
      <c r="H62" s="4">
        <f t="shared" si="200"/>
        <v>2.125</v>
      </c>
      <c r="I62" s="4">
        <f t="shared" si="201"/>
        <v>0</v>
      </c>
      <c r="J62" s="267">
        <f t="shared" si="202"/>
        <v>6.6937499999999996</v>
      </c>
      <c r="K62" s="267">
        <f t="shared" si="4"/>
        <v>0</v>
      </c>
      <c r="L62" s="273"/>
      <c r="M62" s="4">
        <f t="shared" si="203"/>
        <v>2.8560000000000003</v>
      </c>
      <c r="N62" s="4">
        <f t="shared" si="203"/>
        <v>0</v>
      </c>
      <c r="O62" s="4">
        <f t="shared" si="204"/>
        <v>8.9964000000000013</v>
      </c>
      <c r="P62" s="267">
        <f t="shared" si="205"/>
        <v>0</v>
      </c>
      <c r="Q62" s="6">
        <v>0.17</v>
      </c>
      <c r="R62" s="273"/>
      <c r="S62" s="4">
        <f t="shared" si="206"/>
        <v>2.1388099679561887</v>
      </c>
      <c r="T62" s="4">
        <f t="shared" si="206"/>
        <v>1.7711900320438114</v>
      </c>
      <c r="U62" s="4">
        <f t="shared" si="193"/>
        <v>6.7372513990619947</v>
      </c>
      <c r="V62" s="267">
        <f t="shared" si="194"/>
        <v>4.7423613107973051</v>
      </c>
      <c r="W62" s="273"/>
      <c r="X62" s="4">
        <f t="shared" si="207"/>
        <v>1.6796743492355701</v>
      </c>
      <c r="Y62" s="4">
        <f t="shared" si="207"/>
        <v>3.5563256507644296</v>
      </c>
      <c r="Z62" s="4">
        <f t="shared" si="208"/>
        <v>5.2909742000920454</v>
      </c>
      <c r="AA62" s="267">
        <f t="shared" si="195"/>
        <v>9.5220619299217599</v>
      </c>
      <c r="AB62" s="273"/>
      <c r="AC62" s="4">
        <f t="shared" si="209"/>
        <v>1.0815758530311153</v>
      </c>
      <c r="AD62" s="4">
        <f t="shared" si="209"/>
        <v>5.3444241469688842</v>
      </c>
      <c r="AE62" s="4">
        <f t="shared" si="210"/>
        <v>3.4069639370480131</v>
      </c>
      <c r="AF62" s="267">
        <f t="shared" si="196"/>
        <v>14.309695653509186</v>
      </c>
      <c r="AG62" s="273"/>
      <c r="AH62" s="4">
        <f t="shared" si="211"/>
        <v>1.0370174988275331</v>
      </c>
      <c r="AI62" s="4">
        <f t="shared" si="211"/>
        <v>7.1229825011724657</v>
      </c>
      <c r="AJ62" s="4">
        <f t="shared" si="212"/>
        <v>3.2666051213067293</v>
      </c>
      <c r="AK62" s="267">
        <f t="shared" si="197"/>
        <v>19.071785646889275</v>
      </c>
      <c r="AL62" s="273"/>
      <c r="AM62" s="4">
        <f t="shared" si="213"/>
        <v>0.81216604382095958</v>
      </c>
      <c r="AN62" s="4">
        <f t="shared" si="213"/>
        <v>8.8778339561790389</v>
      </c>
      <c r="AO62" s="4">
        <f t="shared" si="214"/>
        <v>2.5583230380360225</v>
      </c>
      <c r="AP62" s="267">
        <f t="shared" si="198"/>
        <v>23.770400417669375</v>
      </c>
      <c r="AQ62" s="273"/>
      <c r="AR62" s="4">
        <f t="shared" si="215"/>
        <v>1.6470068701191045</v>
      </c>
      <c r="AS62" s="4">
        <f t="shared" si="215"/>
        <v>10.592993129880892</v>
      </c>
      <c r="AT62" s="4">
        <f t="shared" si="216"/>
        <v>5.1880716408751795</v>
      </c>
      <c r="AU62" s="267">
        <f t="shared" si="199"/>
        <v>28.362739105256086</v>
      </c>
    </row>
    <row r="63" spans="1:47" x14ac:dyDescent="0.4">
      <c r="B63">
        <v>5</v>
      </c>
      <c r="C63" s="1">
        <v>3.7</v>
      </c>
      <c r="D63" s="1">
        <f t="shared" si="1"/>
        <v>3.145</v>
      </c>
      <c r="E63" s="4">
        <f t="shared" si="191"/>
        <v>36000</v>
      </c>
      <c r="F63" s="6">
        <v>0.12</v>
      </c>
      <c r="H63" s="4">
        <f t="shared" si="200"/>
        <v>1.5</v>
      </c>
      <c r="I63" s="4">
        <f t="shared" si="201"/>
        <v>0</v>
      </c>
      <c r="J63" s="267">
        <f t="shared" si="202"/>
        <v>5.5500000000000007</v>
      </c>
      <c r="K63" s="267">
        <f t="shared" si="4"/>
        <v>0</v>
      </c>
      <c r="L63" s="273"/>
      <c r="M63" s="4">
        <f t="shared" si="203"/>
        <v>2.016</v>
      </c>
      <c r="N63" s="4">
        <f t="shared" si="203"/>
        <v>0</v>
      </c>
      <c r="O63" s="4">
        <f t="shared" si="204"/>
        <v>7.4592000000000001</v>
      </c>
      <c r="P63" s="267">
        <f t="shared" si="205"/>
        <v>0</v>
      </c>
      <c r="Q63" s="6">
        <v>0.12</v>
      </c>
      <c r="R63" s="273"/>
      <c r="S63" s="4">
        <f t="shared" si="206"/>
        <v>1.5097482126749566</v>
      </c>
      <c r="T63" s="4">
        <f t="shared" si="206"/>
        <v>1.2502517873250432</v>
      </c>
      <c r="U63" s="4">
        <f t="shared" si="193"/>
        <v>5.58606838689734</v>
      </c>
      <c r="V63" s="267">
        <f t="shared" si="194"/>
        <v>3.9320418711372609</v>
      </c>
      <c r="W63" s="273"/>
      <c r="X63" s="4">
        <f t="shared" si="207"/>
        <v>1.1856524818133434</v>
      </c>
      <c r="Y63" s="4">
        <f t="shared" si="207"/>
        <v>2.5103475181866557</v>
      </c>
      <c r="Z63" s="4">
        <f t="shared" si="208"/>
        <v>4.3869141827093703</v>
      </c>
      <c r="AA63" s="267">
        <f t="shared" si="195"/>
        <v>7.8950429446970318</v>
      </c>
      <c r="AB63" s="273"/>
      <c r="AC63" s="4">
        <f t="shared" si="209"/>
        <v>0.76346530802196366</v>
      </c>
      <c r="AD63" s="4">
        <f t="shared" si="209"/>
        <v>3.7725346919780356</v>
      </c>
      <c r="AE63" s="4">
        <f t="shared" si="210"/>
        <v>2.8248216396812658</v>
      </c>
      <c r="AF63" s="267">
        <f t="shared" si="196"/>
        <v>11.864621606270923</v>
      </c>
      <c r="AG63" s="273"/>
      <c r="AH63" s="4">
        <f t="shared" si="211"/>
        <v>0.73201235211355276</v>
      </c>
      <c r="AI63" s="4">
        <f t="shared" si="211"/>
        <v>5.0279876478864454</v>
      </c>
      <c r="AJ63" s="4">
        <f t="shared" si="212"/>
        <v>2.7084457028201454</v>
      </c>
      <c r="AK63" s="267">
        <f t="shared" si="197"/>
        <v>15.81302115260287</v>
      </c>
      <c r="AL63" s="273"/>
      <c r="AM63" s="4">
        <f t="shared" si="213"/>
        <v>0.57329367799126552</v>
      </c>
      <c r="AN63" s="4">
        <f t="shared" si="213"/>
        <v>6.2667063220087327</v>
      </c>
      <c r="AO63" s="4">
        <f t="shared" si="214"/>
        <v>2.1211866085676827</v>
      </c>
      <c r="AP63" s="267">
        <f t="shared" si="198"/>
        <v>19.708791382717465</v>
      </c>
      <c r="AQ63" s="273"/>
      <c r="AR63" s="4">
        <f t="shared" si="215"/>
        <v>1.1625930847899559</v>
      </c>
      <c r="AS63" s="4">
        <f t="shared" si="215"/>
        <v>7.4774069152100404</v>
      </c>
      <c r="AT63" s="4">
        <f t="shared" si="216"/>
        <v>4.301594413722837</v>
      </c>
      <c r="AU63" s="267">
        <f t="shared" si="199"/>
        <v>23.516444748335577</v>
      </c>
    </row>
    <row r="64" spans="1:47" x14ac:dyDescent="0.4">
      <c r="F64" s="6"/>
      <c r="G64" s="4">
        <f>機器台数2!D36</f>
        <v>48.339180399999996</v>
      </c>
      <c r="H64" s="4">
        <f>G64*(1-G$3)</f>
        <v>48.339180399999996</v>
      </c>
      <c r="I64" s="4">
        <f>G64*G$3</f>
        <v>0</v>
      </c>
      <c r="J64" s="4">
        <f>SUM(J65:J68)</f>
        <v>216.23421067137684</v>
      </c>
      <c r="K64" s="267">
        <f t="shared" si="4"/>
        <v>0</v>
      </c>
      <c r="L64" s="273">
        <f>機器台数2!F36</f>
        <v>49.805048858918624</v>
      </c>
      <c r="M64" s="4">
        <f>L64*(1-L$3)</f>
        <v>49.805048858918624</v>
      </c>
      <c r="N64" s="4">
        <f>L64*L$3</f>
        <v>0</v>
      </c>
      <c r="O64" s="4">
        <f>SUM(O65:O68)</f>
        <v>222.79143622918414</v>
      </c>
      <c r="P64" s="4">
        <f>SUM(P65:P68)</f>
        <v>0</v>
      </c>
      <c r="Q64" s="6"/>
      <c r="R64" s="273">
        <f>機器台数2!H36</f>
        <v>46.496712688204802</v>
      </c>
      <c r="S64" s="4">
        <f>R64*(1-R$3)</f>
        <v>46.496712688204802</v>
      </c>
      <c r="T64" s="4">
        <f>機器台数2!H46</f>
        <v>4.712905650481793</v>
      </c>
      <c r="U64" s="4">
        <f>SUM(U65:U68)</f>
        <v>207.99235493342701</v>
      </c>
      <c r="V64" s="4">
        <f>SUM(V65:V68)</f>
        <v>17.919784968168639</v>
      </c>
      <c r="W64" s="273">
        <f>機器台数2!J36</f>
        <v>44.435569502507782</v>
      </c>
      <c r="X64" s="4">
        <f>W64*(1-W$3)</f>
        <v>44.435569502507782</v>
      </c>
      <c r="Y64" s="4">
        <f>機器台数2!J46</f>
        <v>8.1229710886778435</v>
      </c>
      <c r="Z64" s="4">
        <f>SUM(Z65:Z68)</f>
        <v>198.77230473497801</v>
      </c>
      <c r="AA64" s="4">
        <f>SUM(AA65:AA68)</f>
        <v>30.885807187096368</v>
      </c>
      <c r="AB64" s="273">
        <f>機器台数2!L36+機器台数2!L46</f>
        <v>70.766366953957188</v>
      </c>
      <c r="AC64" s="4">
        <f>機器台数2!L36</f>
        <v>53.969605349197842</v>
      </c>
      <c r="AD64" s="4">
        <f>機器台数2!L46</f>
        <v>16.79676160475935</v>
      </c>
      <c r="AE64" s="4">
        <f>SUM(AE65:AE68)</f>
        <v>241.42062228530281</v>
      </c>
      <c r="AF64" s="4">
        <f>SUM(AF65:AF68)</f>
        <v>63.865983841222985</v>
      </c>
      <c r="AG64" s="273">
        <f>機器台数2!N36</f>
        <v>20.497693128810511</v>
      </c>
      <c r="AH64" s="4">
        <f>機器台数2!N36</f>
        <v>20.497693128810511</v>
      </c>
      <c r="AI64" s="4">
        <f>機器台数2!N46</f>
        <v>34.724539693215775</v>
      </c>
      <c r="AJ64" s="4">
        <f>SUM(AJ65:AJ68)</f>
        <v>91.691717931825877</v>
      </c>
      <c r="AK64" s="4">
        <f>SUM(AK65:AK68)</f>
        <v>132.03240857525992</v>
      </c>
      <c r="AL64" s="273">
        <f>機器台数2!S36</f>
        <v>3.4000000000000002E-2</v>
      </c>
      <c r="AM64" s="4">
        <f>機器台数2!P36</f>
        <v>14.678569679856587</v>
      </c>
      <c r="AN64" s="4">
        <f>機器台数2!P46</f>
        <v>41.865995919665359</v>
      </c>
      <c r="AO64" s="4">
        <f>SUM(AO65:AO68)</f>
        <v>65.661206959739715</v>
      </c>
      <c r="AP64" s="4">
        <f>SUM(AP65:AP68)</f>
        <v>159.18622183364394</v>
      </c>
      <c r="AQ64" s="273">
        <f>機器台数2!X36</f>
        <v>0</v>
      </c>
      <c r="AR64" s="4">
        <f>機器台数2!R36</f>
        <v>8.0744919848610408</v>
      </c>
      <c r="AS64" s="4">
        <f>機器台数2!R46</f>
        <v>49.433967939444173</v>
      </c>
      <c r="AT64" s="4">
        <f>SUM(AT65:AT68)</f>
        <v>36.119383623616137</v>
      </c>
      <c r="AU64" s="4">
        <f>SUM(AU65:AU68)</f>
        <v>187.96176738815541</v>
      </c>
    </row>
    <row r="65" spans="1:47" x14ac:dyDescent="0.4">
      <c r="A65" t="s">
        <v>14</v>
      </c>
      <c r="B65">
        <v>2</v>
      </c>
      <c r="C65" s="1">
        <v>3.3</v>
      </c>
      <c r="D65" s="1">
        <f t="shared" si="1"/>
        <v>2.8049999999999997</v>
      </c>
      <c r="E65" s="4">
        <v>6624</v>
      </c>
      <c r="F65" s="6">
        <v>0.13006597549481622</v>
      </c>
      <c r="H65" s="4">
        <f>F65*H$64</f>
        <v>6.2872826533459003</v>
      </c>
      <c r="I65" s="4">
        <f>$F65*I$64</f>
        <v>0</v>
      </c>
      <c r="J65" s="267">
        <f>C65*H65</f>
        <v>20.748032756041471</v>
      </c>
      <c r="K65" s="267">
        <f t="shared" si="4"/>
        <v>0</v>
      </c>
      <c r="L65" s="273">
        <f>SUM(M65:M68)</f>
        <v>49.805048858918624</v>
      </c>
      <c r="M65" s="4">
        <f>$F65*M$64</f>
        <v>6.477942264402234</v>
      </c>
      <c r="N65" s="4">
        <f>$F65*N$64</f>
        <v>0</v>
      </c>
      <c r="O65" s="4">
        <f>$C65*M65</f>
        <v>21.377209472527372</v>
      </c>
      <c r="P65" s="267">
        <f>$D65*N65</f>
        <v>0</v>
      </c>
      <c r="Q65" s="6">
        <f>E65/$A$67</f>
        <v>0.13006597549481622</v>
      </c>
      <c r="R65" s="273">
        <f>SUM(S65:S68)</f>
        <v>46.496712688204809</v>
      </c>
      <c r="S65" s="4">
        <f>$F65*S$64</f>
        <v>6.047640293093556</v>
      </c>
      <c r="T65" s="4">
        <f>$F65*T$64</f>
        <v>0.61298867084494579</v>
      </c>
      <c r="U65" s="4">
        <f t="shared" ref="U65:U68" si="217">$C65*S65</f>
        <v>19.957212967208733</v>
      </c>
      <c r="V65" s="267">
        <f t="shared" ref="V65:V68" si="218">$D65*T65</f>
        <v>1.7194332217200727</v>
      </c>
      <c r="W65" s="273">
        <f>SUM(X65:X68)</f>
        <v>44.435569502507782</v>
      </c>
      <c r="X65" s="4">
        <f>$F65*X$64</f>
        <v>5.7795556940113801</v>
      </c>
      <c r="Y65" s="4">
        <f>$F65*Y$64</f>
        <v>1.056522158565073</v>
      </c>
      <c r="Z65" s="4">
        <f>$C65*X65</f>
        <v>19.072533790237554</v>
      </c>
      <c r="AA65" s="267">
        <f>$D65*Y65</f>
        <v>2.9635446547750295</v>
      </c>
      <c r="AB65" s="273">
        <f>SUM(AC65:AC68)</f>
        <v>53.969605349197842</v>
      </c>
      <c r="AC65" s="4">
        <f>$F65*AC$64</f>
        <v>7.0196093668136683</v>
      </c>
      <c r="AD65" s="4">
        <f>$F65*AD$64</f>
        <v>2.1846871832768997</v>
      </c>
      <c r="AE65" s="4">
        <f>$C65*AC65</f>
        <v>23.164710910485105</v>
      </c>
      <c r="AF65" s="267">
        <f>$D65*AD65</f>
        <v>6.1280475490917032</v>
      </c>
      <c r="AG65" s="273">
        <f>SUM(AH65:AH68)</f>
        <v>20.497693128810511</v>
      </c>
      <c r="AH65" s="4">
        <f>$F65*AH$64</f>
        <v>2.6660524521921305</v>
      </c>
      <c r="AI65" s="4">
        <f>$F65*AI$64</f>
        <v>4.5164811288065758</v>
      </c>
      <c r="AJ65" s="4">
        <f>$C65*AH65</f>
        <v>8.7979730922340309</v>
      </c>
      <c r="AK65" s="267">
        <f>$D65*AI65</f>
        <v>12.668729566302444</v>
      </c>
      <c r="AL65" s="273">
        <f>SUM(AM65:AM68)</f>
        <v>14.678569679856587</v>
      </c>
      <c r="AM65" s="4">
        <f>$F65*AM$64</f>
        <v>1.9091824842791791</v>
      </c>
      <c r="AN65" s="4">
        <f>$F65*AN$64</f>
        <v>5.4453415993532701</v>
      </c>
      <c r="AO65" s="4">
        <f>$C65*AM65</f>
        <v>6.3003021981212912</v>
      </c>
      <c r="AP65" s="267">
        <f>$D65*AN65</f>
        <v>15.274183186185921</v>
      </c>
      <c r="AQ65" s="273">
        <f>SUM(AR65:AR68)</f>
        <v>8.0744919848610408</v>
      </c>
      <c r="AR65" s="4">
        <f>$F65*AR$64</f>
        <v>1.0502166766360261</v>
      </c>
      <c r="AS65" s="4">
        <f>$F65*AS$64</f>
        <v>6.4296772626232759</v>
      </c>
      <c r="AT65" s="4">
        <f>$C65*AR65</f>
        <v>3.4657150328988862</v>
      </c>
      <c r="AU65" s="267">
        <f>$D65*AS65</f>
        <v>18.035244721658287</v>
      </c>
    </row>
    <row r="66" spans="1:47" x14ac:dyDescent="0.4">
      <c r="A66" t="s">
        <v>15</v>
      </c>
      <c r="B66">
        <v>3</v>
      </c>
      <c r="C66" s="1">
        <v>3.3</v>
      </c>
      <c r="D66" s="1">
        <f t="shared" si="1"/>
        <v>2.8049999999999997</v>
      </c>
      <c r="E66" s="4">
        <v>19777</v>
      </c>
      <c r="F66" s="6">
        <v>0.38833254791077598</v>
      </c>
      <c r="H66" s="4">
        <f t="shared" ref="H66:H68" si="219">F66*H$64</f>
        <v>18.771677088650641</v>
      </c>
      <c r="I66" s="4">
        <f t="shared" ref="I66:I68" si="220">$F66*I$64</f>
        <v>0</v>
      </c>
      <c r="J66" s="267">
        <f t="shared" ref="J66:J68" si="221">C66*H66</f>
        <v>61.946534392547115</v>
      </c>
      <c r="K66" s="267">
        <f t="shared" si="4"/>
        <v>0</v>
      </c>
      <c r="L66" s="273"/>
      <c r="M66" s="4">
        <f t="shared" ref="M66:N68" si="222">$F66*M$64</f>
        <v>19.340921522204557</v>
      </c>
      <c r="N66" s="4">
        <f t="shared" si="222"/>
        <v>0</v>
      </c>
      <c r="O66" s="4">
        <f t="shared" ref="O66:O68" si="223">$C66*M66</f>
        <v>63.825041023275034</v>
      </c>
      <c r="P66" s="267">
        <f t="shared" ref="P66:P68" si="224">$D66*N66</f>
        <v>0</v>
      </c>
      <c r="Q66" s="6">
        <f>E66/$A$67</f>
        <v>0.38833254791077598</v>
      </c>
      <c r="R66" s="273"/>
      <c r="S66" s="4">
        <f t="shared" ref="S66:T68" si="225">$F66*S$64</f>
        <v>18.056186907685877</v>
      </c>
      <c r="T66" s="4">
        <f t="shared" si="225"/>
        <v>1.8301746593146877</v>
      </c>
      <c r="U66" s="4">
        <f t="shared" si="217"/>
        <v>59.585416795363393</v>
      </c>
      <c r="V66" s="267">
        <f t="shared" si="218"/>
        <v>5.1336399193776989</v>
      </c>
      <c r="W66" s="273"/>
      <c r="X66" s="4">
        <f t="shared" ref="X66:Y68" si="226">$F66*X$64</f>
        <v>17.25577792277522</v>
      </c>
      <c r="Y66" s="4">
        <f t="shared" si="226"/>
        <v>3.1544140594718368</v>
      </c>
      <c r="Z66" s="4">
        <f t="shared" ref="Z66:Z68" si="227">$C66*X66</f>
        <v>56.944067145158222</v>
      </c>
      <c r="AA66" s="267">
        <f t="shared" ref="AA66:AA68" si="228">$D66*Y66</f>
        <v>8.8481314368185018</v>
      </c>
      <c r="AB66" s="273"/>
      <c r="AC66" s="4">
        <f t="shared" ref="AC66:AD68" si="229">$F66*AC$64</f>
        <v>20.958154354993042</v>
      </c>
      <c r="AD66" s="4">
        <f t="shared" si="229"/>
        <v>6.5227292306260924</v>
      </c>
      <c r="AE66" s="4">
        <f t="shared" ref="AE66:AE68" si="230">$C66*AC66</f>
        <v>69.161909371477037</v>
      </c>
      <c r="AF66" s="267">
        <f t="shared" ref="AF66:AF68" si="231">$D66*AD66</f>
        <v>18.296255491906187</v>
      </c>
      <c r="AG66" s="273"/>
      <c r="AH66" s="4">
        <f t="shared" ref="AH66:AI68" si="232">$F66*AH$64</f>
        <v>7.959921399004191</v>
      </c>
      <c r="AI66" s="4">
        <f t="shared" si="232"/>
        <v>13.484668974095356</v>
      </c>
      <c r="AJ66" s="4">
        <f t="shared" ref="AJ66:AJ68" si="233">$C66*AH66</f>
        <v>26.26774061671383</v>
      </c>
      <c r="AK66" s="267">
        <f t="shared" ref="AK66:AK68" si="234">$D66*AI66</f>
        <v>37.824496472337472</v>
      </c>
      <c r="AL66" s="273"/>
      <c r="AM66" s="4">
        <f t="shared" ref="AM66:AN68" si="235">$F66*AM$64</f>
        <v>5.7001663634645716</v>
      </c>
      <c r="AN66" s="4">
        <f t="shared" si="235"/>
        <v>16.2579288663058</v>
      </c>
      <c r="AO66" s="4">
        <f t="shared" ref="AO66:AO68" si="236">$C66*AM66</f>
        <v>18.810548999433085</v>
      </c>
      <c r="AP66" s="267">
        <f t="shared" ref="AP66:AP68" si="237">$D66*AN66</f>
        <v>45.603490469987761</v>
      </c>
      <c r="AQ66" s="273"/>
      <c r="AR66" s="4">
        <f t="shared" ref="AR66:AS68" si="238">$F66*AR$64</f>
        <v>3.1355880455662266</v>
      </c>
      <c r="AS66" s="4">
        <f t="shared" si="238"/>
        <v>19.19681872326397</v>
      </c>
      <c r="AT66" s="4">
        <f t="shared" ref="AT66:AT68" si="239">$C66*AR66</f>
        <v>10.347440550368548</v>
      </c>
      <c r="AU66" s="267">
        <f t="shared" ref="AU66:AU68" si="240">$D66*AS66</f>
        <v>53.847076518755429</v>
      </c>
    </row>
    <row r="67" spans="1:47" x14ac:dyDescent="0.4">
      <c r="A67" s="5">
        <f>SUM(E65:E68)</f>
        <v>50928</v>
      </c>
      <c r="B67">
        <v>4</v>
      </c>
      <c r="C67" s="1">
        <v>5.7</v>
      </c>
      <c r="D67" s="1">
        <f t="shared" si="1"/>
        <v>4.8449999999999998</v>
      </c>
      <c r="E67" s="4">
        <v>15652</v>
      </c>
      <c r="F67" s="6">
        <v>0.30733584668551683</v>
      </c>
      <c r="H67" s="4">
        <f t="shared" si="219"/>
        <v>14.856362936317939</v>
      </c>
      <c r="I67" s="4">
        <f t="shared" si="220"/>
        <v>0</v>
      </c>
      <c r="J67" s="267">
        <f t="shared" si="221"/>
        <v>84.68126873701226</v>
      </c>
      <c r="K67" s="267">
        <f t="shared" si="4"/>
        <v>0</v>
      </c>
      <c r="L67" s="273"/>
      <c r="M67" s="4">
        <f t="shared" si="222"/>
        <v>15.30687686026929</v>
      </c>
      <c r="N67" s="4">
        <f t="shared" si="222"/>
        <v>0</v>
      </c>
      <c r="O67" s="4">
        <f t="shared" si="223"/>
        <v>87.249198103534951</v>
      </c>
      <c r="P67" s="267">
        <f t="shared" si="224"/>
        <v>0</v>
      </c>
      <c r="Q67" s="6">
        <f>E67/$A$67</f>
        <v>0.30733584668551683</v>
      </c>
      <c r="R67" s="273"/>
      <c r="S67" s="4">
        <f t="shared" si="225"/>
        <v>14.290106562122636</v>
      </c>
      <c r="T67" s="4">
        <f t="shared" si="225"/>
        <v>1.4484448484397783</v>
      </c>
      <c r="U67" s="4">
        <f t="shared" si="217"/>
        <v>81.453607404099031</v>
      </c>
      <c r="V67" s="267">
        <f t="shared" si="218"/>
        <v>7.0177152906907256</v>
      </c>
      <c r="W67" s="273"/>
      <c r="X67" s="4">
        <f t="shared" si="226"/>
        <v>13.656643376006359</v>
      </c>
      <c r="Y67" s="4">
        <f t="shared" si="226"/>
        <v>2.4964801971407793</v>
      </c>
      <c r="Z67" s="4">
        <f t="shared" si="227"/>
        <v>77.842867243236256</v>
      </c>
      <c r="AA67" s="267">
        <f t="shared" si="228"/>
        <v>12.095446555147076</v>
      </c>
      <c r="AB67" s="273"/>
      <c r="AC67" s="4">
        <f t="shared" si="229"/>
        <v>16.586794355278919</v>
      </c>
      <c r="AD67" s="4">
        <f t="shared" si="229"/>
        <v>5.162246949373495</v>
      </c>
      <c r="AE67" s="4">
        <f t="shared" si="230"/>
        <v>94.544727825089836</v>
      </c>
      <c r="AF67" s="267">
        <f t="shared" si="231"/>
        <v>25.011086469714581</v>
      </c>
      <c r="AG67" s="273"/>
      <c r="AH67" s="4">
        <f t="shared" si="232"/>
        <v>6.2996758728428786</v>
      </c>
      <c r="AI67" s="4">
        <f t="shared" si="232"/>
        <v>10.672095807379307</v>
      </c>
      <c r="AJ67" s="4">
        <f t="shared" si="233"/>
        <v>35.90815247520441</v>
      </c>
      <c r="AK67" s="267">
        <f t="shared" si="234"/>
        <v>51.706304186752739</v>
      </c>
      <c r="AL67" s="273"/>
      <c r="AM67" s="4">
        <f t="shared" si="235"/>
        <v>4.5112506406910802</v>
      </c>
      <c r="AN67" s="4">
        <f t="shared" si="235"/>
        <v>12.866921303302746</v>
      </c>
      <c r="AO67" s="4">
        <f t="shared" si="236"/>
        <v>25.714128651939159</v>
      </c>
      <c r="AP67" s="267">
        <f t="shared" si="237"/>
        <v>62.3402337145018</v>
      </c>
      <c r="AQ67" s="273"/>
      <c r="AR67" s="4">
        <f t="shared" si="238"/>
        <v>2.4815808307226872</v>
      </c>
      <c r="AS67" s="4">
        <f t="shared" si="238"/>
        <v>15.19283039169377</v>
      </c>
      <c r="AT67" s="4">
        <f t="shared" si="239"/>
        <v>14.145010735119318</v>
      </c>
      <c r="AU67" s="267">
        <f t="shared" si="240"/>
        <v>73.609263247756317</v>
      </c>
    </row>
    <row r="68" spans="1:47" x14ac:dyDescent="0.4">
      <c r="A68" s="237">
        <f>A67/$E$75</f>
        <v>3.366911211996803E-2</v>
      </c>
      <c r="B68">
        <v>5</v>
      </c>
      <c r="C68" s="1">
        <v>5.8</v>
      </c>
      <c r="D68" s="1">
        <f t="shared" si="1"/>
        <v>4.93</v>
      </c>
      <c r="E68" s="4">
        <v>8875</v>
      </c>
      <c r="F68" s="6">
        <v>0.174265629908891</v>
      </c>
      <c r="H68" s="4">
        <f t="shared" si="219"/>
        <v>8.4238577216855166</v>
      </c>
      <c r="I68" s="4">
        <f t="shared" si="220"/>
        <v>0</v>
      </c>
      <c r="J68" s="267">
        <f t="shared" si="221"/>
        <v>48.858374785775993</v>
      </c>
      <c r="K68" s="267">
        <f t="shared" si="4"/>
        <v>0</v>
      </c>
      <c r="L68" s="273"/>
      <c r="M68" s="4">
        <f t="shared" si="222"/>
        <v>8.679308212042546</v>
      </c>
      <c r="N68" s="4">
        <f t="shared" si="222"/>
        <v>0</v>
      </c>
      <c r="O68" s="4">
        <f t="shared" si="223"/>
        <v>50.339987629846767</v>
      </c>
      <c r="P68" s="267">
        <f t="shared" si="224"/>
        <v>0</v>
      </c>
      <c r="Q68" s="6">
        <f>E68/$A$67</f>
        <v>0.174265629908891</v>
      </c>
      <c r="R68" s="273"/>
      <c r="S68" s="4">
        <f t="shared" si="225"/>
        <v>8.1027789253027347</v>
      </c>
      <c r="T68" s="4">
        <f t="shared" si="225"/>
        <v>0.82129747188238134</v>
      </c>
      <c r="U68" s="4">
        <f t="shared" si="217"/>
        <v>46.996117766755859</v>
      </c>
      <c r="V68" s="267">
        <f t="shared" si="218"/>
        <v>4.0489965363801401</v>
      </c>
      <c r="W68" s="273"/>
      <c r="X68" s="4">
        <f t="shared" si="226"/>
        <v>7.7435925097148246</v>
      </c>
      <c r="Y68" s="4">
        <f t="shared" si="226"/>
        <v>1.4155546735001545</v>
      </c>
      <c r="Z68" s="4">
        <f t="shared" si="227"/>
        <v>44.912836556345979</v>
      </c>
      <c r="AA68" s="267">
        <f t="shared" si="228"/>
        <v>6.9786845403557614</v>
      </c>
      <c r="AB68" s="273"/>
      <c r="AC68" s="4">
        <f t="shared" si="229"/>
        <v>9.4050472721122151</v>
      </c>
      <c r="AD68" s="4">
        <f t="shared" si="229"/>
        <v>2.927098241482863</v>
      </c>
      <c r="AE68" s="4">
        <f t="shared" si="230"/>
        <v>54.549274178250847</v>
      </c>
      <c r="AF68" s="267">
        <f t="shared" si="231"/>
        <v>14.430594330510514</v>
      </c>
      <c r="AG68" s="273"/>
      <c r="AH68" s="4">
        <f t="shared" si="232"/>
        <v>3.5720434047713105</v>
      </c>
      <c r="AI68" s="4">
        <f t="shared" si="232"/>
        <v>6.0512937829345352</v>
      </c>
      <c r="AJ68" s="4">
        <f t="shared" si="233"/>
        <v>20.717851747673599</v>
      </c>
      <c r="AK68" s="267">
        <f t="shared" si="234"/>
        <v>29.832878349867258</v>
      </c>
      <c r="AL68" s="273"/>
      <c r="AM68" s="4">
        <f t="shared" si="235"/>
        <v>2.5579701914217563</v>
      </c>
      <c r="AN68" s="4">
        <f t="shared" si="235"/>
        <v>7.2958041507035443</v>
      </c>
      <c r="AO68" s="4">
        <f t="shared" si="236"/>
        <v>14.836227110246186</v>
      </c>
      <c r="AP68" s="267">
        <f t="shared" si="237"/>
        <v>35.968314462968472</v>
      </c>
      <c r="AQ68" s="273"/>
      <c r="AR68" s="4">
        <f t="shared" si="238"/>
        <v>1.4071064319361009</v>
      </c>
      <c r="AS68" s="4">
        <f t="shared" si="238"/>
        <v>8.6146415618631611</v>
      </c>
      <c r="AT68" s="4">
        <f t="shared" si="239"/>
        <v>8.1612173052293855</v>
      </c>
      <c r="AU68" s="267">
        <f t="shared" si="240"/>
        <v>42.470182899985382</v>
      </c>
    </row>
    <row r="69" spans="1:47" x14ac:dyDescent="0.4">
      <c r="A69" s="237"/>
      <c r="F69" s="6"/>
      <c r="G69" s="4">
        <f>機器台数2!D37</f>
        <v>4.2652218</v>
      </c>
      <c r="H69" s="4">
        <f>G69*(1-G$3)</f>
        <v>4.2652218</v>
      </c>
      <c r="I69" s="4">
        <f>G69*G$3</f>
        <v>0</v>
      </c>
      <c r="J69" s="4">
        <f>SUM(J70:J73)</f>
        <v>24.945318341192117</v>
      </c>
      <c r="K69" s="267">
        <f t="shared" ref="K69:K73" si="241">D69*I69</f>
        <v>0</v>
      </c>
      <c r="L69" s="273">
        <f>機器台数2!F37</f>
        <v>4.3945631346104665</v>
      </c>
      <c r="M69" s="4">
        <f>L69*(1-L$3)</f>
        <v>4.3945631346104665</v>
      </c>
      <c r="N69" s="4">
        <f>L69*L$3</f>
        <v>0</v>
      </c>
      <c r="O69" s="4">
        <f>SUM(O70:O73)</f>
        <v>25.701776250727498</v>
      </c>
      <c r="P69" s="4">
        <f>SUM(P70:P73)</f>
        <v>0</v>
      </c>
      <c r="Q69" s="6"/>
      <c r="R69" s="273">
        <f>機器台数2!H37</f>
        <v>4.102651119547482</v>
      </c>
      <c r="S69" s="4">
        <f>R69*(1-R$3)</f>
        <v>4.102651119547482</v>
      </c>
      <c r="T69" s="4">
        <f>機器台数2!H47</f>
        <v>0.41584461621898172</v>
      </c>
      <c r="U69" s="4">
        <f>SUM(U70:U73)</f>
        <v>23.994517288634359</v>
      </c>
      <c r="V69" s="4">
        <f>SUM(V70:V73)</f>
        <v>2.0672711281381329</v>
      </c>
      <c r="W69" s="273">
        <f>機器台数2!J37</f>
        <v>3.9207855443389219</v>
      </c>
      <c r="X69" s="4">
        <f>W69*(1-W$3)</f>
        <v>3.9207855443389219</v>
      </c>
      <c r="Y69" s="4">
        <f>機器台数2!J47</f>
        <v>0.71673274311863322</v>
      </c>
      <c r="Z69" s="4">
        <f>SUM(Z70:Z73)</f>
        <v>22.930869281189224</v>
      </c>
      <c r="AA69" s="4">
        <f>SUM(AA70:AA73)</f>
        <v>3.5630638191553485</v>
      </c>
      <c r="AB69" s="273">
        <f>機器台数2!L37+機器台数2!L47</f>
        <v>6.2440912018197521</v>
      </c>
      <c r="AC69" s="4">
        <f>機器台数2!L37</f>
        <v>4.7620240013998094</v>
      </c>
      <c r="AD69" s="4">
        <f>機器台数2!L47</f>
        <v>1.4820672004199427</v>
      </c>
      <c r="AE69" s="4">
        <f>SUM(AE70:AE73)</f>
        <v>27.850885659291091</v>
      </c>
      <c r="AF69" s="4">
        <f>SUM(AF70:AF73)</f>
        <v>7.3677393283246415</v>
      </c>
      <c r="AG69" s="273">
        <f>機器台数2!N37</f>
        <v>1.8086199819538686</v>
      </c>
      <c r="AH69" s="4">
        <f>機器台数2!N37</f>
        <v>1.8086199819538686</v>
      </c>
      <c r="AI69" s="4">
        <f>機器台数2!N47</f>
        <v>3.0639299729308034</v>
      </c>
      <c r="AJ69" s="4">
        <f>SUM(AJ70:AJ73)</f>
        <v>10.577785476028559</v>
      </c>
      <c r="AK69" s="4">
        <f>SUM(AK70:AK73)</f>
        <v>15.231588253487118</v>
      </c>
      <c r="AL69" s="273">
        <f>機器台数2!S37</f>
        <v>3.0000000000000001E-3</v>
      </c>
      <c r="AM69" s="4">
        <f>機器台数2!P37</f>
        <v>1.2951679129285223</v>
      </c>
      <c r="AN69" s="4">
        <f>機器台数2!P47</f>
        <v>3.6940584634998843</v>
      </c>
      <c r="AO69" s="4">
        <f>SUM(AO70:AO73)</f>
        <v>7.5748407487974898</v>
      </c>
      <c r="AP69" s="4">
        <f>SUM(AP70:AP73)</f>
        <v>18.364119936630889</v>
      </c>
      <c r="AQ69" s="273">
        <f>機器台数2!X37</f>
        <v>0</v>
      </c>
      <c r="AR69" s="4">
        <f>機器台数2!R37</f>
        <v>0.71245517513479772</v>
      </c>
      <c r="AS69" s="4">
        <f>機器台数2!R47</f>
        <v>4.3618207005391909</v>
      </c>
      <c r="AT69" s="4">
        <f>SUM(AT70:AT73)</f>
        <v>4.1668222617560735</v>
      </c>
      <c r="AU69" s="4">
        <f>SUM(AU70:AU73)</f>
        <v>21.683738705881357</v>
      </c>
    </row>
    <row r="70" spans="1:47" x14ac:dyDescent="0.4">
      <c r="A70" t="s">
        <v>16</v>
      </c>
      <c r="B70">
        <v>2</v>
      </c>
      <c r="C70" s="1">
        <v>4.3</v>
      </c>
      <c r="D70" s="1">
        <f t="shared" si="1"/>
        <v>3.6549999999999998</v>
      </c>
      <c r="E70" s="4">
        <v>700</v>
      </c>
      <c r="F70" s="6">
        <v>0.16623129897886488</v>
      </c>
      <c r="H70" s="4">
        <f>F70*H$69</f>
        <v>0.70901336024697226</v>
      </c>
      <c r="I70" s="4">
        <f>$F70*I$69</f>
        <v>0</v>
      </c>
      <c r="J70" s="267">
        <f>C70*H70</f>
        <v>3.0487574490619807</v>
      </c>
      <c r="K70" s="267">
        <f t="shared" si="241"/>
        <v>0</v>
      </c>
      <c r="L70" s="273">
        <f>SUM(M70:M73)</f>
        <v>4.3945631346104665</v>
      </c>
      <c r="M70" s="4">
        <f>$F70*M$69</f>
        <v>0.73051393831093003</v>
      </c>
      <c r="N70" s="4">
        <f>$F70*N$69</f>
        <v>0</v>
      </c>
      <c r="O70" s="4">
        <f>$C70*M70</f>
        <v>3.1412099347369988</v>
      </c>
      <c r="P70" s="267">
        <f>$D70*N70</f>
        <v>0</v>
      </c>
      <c r="Q70" s="6">
        <f>E70/$A$71</f>
        <v>0.16623129897886488</v>
      </c>
      <c r="R70" s="273">
        <f>SUM(S70:S73)</f>
        <v>4.102651119547482</v>
      </c>
      <c r="S70" s="4">
        <f>$F70*S$69</f>
        <v>0.68198902485947221</v>
      </c>
      <c r="T70" s="4">
        <f>$F70*T$69</f>
        <v>6.9126390727448875E-2</v>
      </c>
      <c r="U70" s="4">
        <f>$C70*S70</f>
        <v>2.9325528068957305</v>
      </c>
      <c r="V70" s="267">
        <f t="shared" ref="V70:V73" si="242">$D70*T70</f>
        <v>0.2526569581088256</v>
      </c>
      <c r="W70" s="273">
        <f>SUM(X70:X73)</f>
        <v>3.9207855443389219</v>
      </c>
      <c r="X70" s="4">
        <f>$F70*X$69</f>
        <v>0.65175727405301476</v>
      </c>
      <c r="Y70" s="4">
        <f>$F70*Y$69</f>
        <v>0.11914341490929548</v>
      </c>
      <c r="Z70" s="4">
        <f>$C70*X70</f>
        <v>2.8025562784279634</v>
      </c>
      <c r="AA70" s="267">
        <f>$D70*Y70</f>
        <v>0.43546918149347497</v>
      </c>
      <c r="AB70" s="273">
        <f>SUM(AC70:AC73)</f>
        <v>4.7620240013998085</v>
      </c>
      <c r="AC70" s="4">
        <f>$F70*AC$69</f>
        <v>0.79159743552122219</v>
      </c>
      <c r="AD70" s="4">
        <f>$F70*AD$69</f>
        <v>0.24636595589977675</v>
      </c>
      <c r="AE70" s="4">
        <f>$C70*AC70</f>
        <v>3.4038689727412552</v>
      </c>
      <c r="AF70" s="267">
        <f>$D70*AD70</f>
        <v>0.90046756881368395</v>
      </c>
      <c r="AG70" s="273">
        <f>SUM(AH70:AH73)</f>
        <v>1.8086199819538686</v>
      </c>
      <c r="AH70" s="4">
        <f>$F70*AH$69</f>
        <v>0.30064924895932271</v>
      </c>
      <c r="AI70" s="4">
        <f>$F70*AI$69</f>
        <v>0.50932105938056571</v>
      </c>
      <c r="AJ70" s="4">
        <f>$C70*AH70</f>
        <v>1.2927917705250875</v>
      </c>
      <c r="AK70" s="267">
        <f>$D70*AI70</f>
        <v>1.8615684720359675</v>
      </c>
      <c r="AL70" s="273">
        <f>SUM(AM70:AM73)</f>
        <v>1.2951679129285223</v>
      </c>
      <c r="AM70" s="4">
        <f>$F70*AM$69</f>
        <v>0.21529744456185362</v>
      </c>
      <c r="AN70" s="4">
        <f>$F70*AN$69</f>
        <v>0.61406813689145545</v>
      </c>
      <c r="AO70" s="4">
        <f>$C70*AM70</f>
        <v>0.92577901161597054</v>
      </c>
      <c r="AP70" s="267">
        <f>$D70*AN70</f>
        <v>2.2444190403382698</v>
      </c>
      <c r="AQ70" s="273">
        <f>SUM(AR70:AR73)</f>
        <v>0.71245517513479772</v>
      </c>
      <c r="AR70" s="4">
        <f>$F70*AR$69</f>
        <v>0.1184323492268721</v>
      </c>
      <c r="AS70" s="4">
        <f>$F70*AS$69</f>
        <v>0.7250711209635321</v>
      </c>
      <c r="AT70" s="4">
        <f>$C70*AR70</f>
        <v>0.50925910167555</v>
      </c>
      <c r="AU70" s="267">
        <f>$D70*AS70</f>
        <v>2.6501349471217095</v>
      </c>
    </row>
    <row r="71" spans="1:47" x14ac:dyDescent="0.4">
      <c r="A71" s="5">
        <f>SUM(E70:E73)</f>
        <v>4211</v>
      </c>
      <c r="B71">
        <v>3</v>
      </c>
      <c r="C71" s="1">
        <v>4.4000000000000004</v>
      </c>
      <c r="D71" s="1">
        <f t="shared" si="1"/>
        <v>3.74</v>
      </c>
      <c r="E71" s="4">
        <v>1138</v>
      </c>
      <c r="F71" s="6">
        <v>0.27024459748278318</v>
      </c>
      <c r="H71" s="4">
        <f t="shared" ref="H71:H73" si="243">F71*H$69</f>
        <v>1.1526531485157918</v>
      </c>
      <c r="I71" s="4">
        <f t="shared" ref="I71:I73" si="244">$F71*I$69</f>
        <v>0</v>
      </c>
      <c r="J71" s="267">
        <f t="shared" ref="J71:J73" si="245">C71*H71</f>
        <v>5.0716738534694841</v>
      </c>
      <c r="K71" s="267">
        <f t="shared" si="241"/>
        <v>0</v>
      </c>
      <c r="L71" s="273"/>
      <c r="M71" s="4">
        <f t="shared" ref="M71:N73" si="246">$F71*M$69</f>
        <v>1.1876069454254834</v>
      </c>
      <c r="N71" s="4">
        <f t="shared" si="246"/>
        <v>0</v>
      </c>
      <c r="O71" s="4">
        <f t="shared" ref="O71:O73" si="247">$C71*M71</f>
        <v>5.2254705598721269</v>
      </c>
      <c r="P71" s="267">
        <f t="shared" ref="P71:P73" si="248">$D71*N71</f>
        <v>0</v>
      </c>
      <c r="Q71" s="6">
        <f>E71/$A$71</f>
        <v>0.27024459748278318</v>
      </c>
      <c r="R71" s="273"/>
      <c r="S71" s="4">
        <f t="shared" ref="S71:T73" si="249">$F71*S$69</f>
        <v>1.1087193004143989</v>
      </c>
      <c r="T71" s="4">
        <f t="shared" si="249"/>
        <v>0.11237976092548116</v>
      </c>
      <c r="U71" s="4">
        <f t="shared" ref="U71:U73" si="250">$C71*S71</f>
        <v>4.8783649218233558</v>
      </c>
      <c r="V71" s="267">
        <f t="shared" si="242"/>
        <v>0.42030030586129957</v>
      </c>
      <c r="W71" s="273"/>
      <c r="X71" s="4">
        <f t="shared" ref="X71:Y73" si="251">$F71*X$69</f>
        <v>1.059571111246187</v>
      </c>
      <c r="Y71" s="4">
        <f t="shared" si="251"/>
        <v>0.19369315166682607</v>
      </c>
      <c r="Z71" s="4">
        <f t="shared" ref="Z71:Z73" si="252">$C71*X71</f>
        <v>4.6621128894832227</v>
      </c>
      <c r="AA71" s="267">
        <f t="shared" ref="AA71:AA73" si="253">$D71*Y71</f>
        <v>0.72441238723392953</v>
      </c>
      <c r="AB71" s="273"/>
      <c r="AC71" s="4">
        <f t="shared" ref="AC71:AD73" si="254">$F71*AC$69</f>
        <v>1.2869112594616441</v>
      </c>
      <c r="AD71" s="4">
        <f t="shared" si="254"/>
        <v>0.40052065401992276</v>
      </c>
      <c r="AE71" s="4">
        <f t="shared" ref="AE71:AE73" si="255">$C71*AC71</f>
        <v>5.6624095416312343</v>
      </c>
      <c r="AF71" s="267">
        <f t="shared" ref="AF71:AF73" si="256">$D71*AD71</f>
        <v>1.4979472460345111</v>
      </c>
      <c r="AG71" s="273"/>
      <c r="AH71" s="4">
        <f t="shared" ref="AH71:AI73" si="257">$F71*AH$69</f>
        <v>0.48876977902244179</v>
      </c>
      <c r="AI71" s="4">
        <f t="shared" si="257"/>
        <v>0.82801052225011973</v>
      </c>
      <c r="AJ71" s="4">
        <f t="shared" ref="AJ71:AJ73" si="258">$C71*AH71</f>
        <v>2.150587027698744</v>
      </c>
      <c r="AK71" s="267">
        <f t="shared" ref="AK71:AK73" si="259">$D71*AI71</f>
        <v>3.096759353215448</v>
      </c>
      <c r="AL71" s="273"/>
      <c r="AM71" s="4">
        <f t="shared" ref="AM71:AN73" si="260">$F71*AM$69</f>
        <v>0.35001213130198489</v>
      </c>
      <c r="AN71" s="4">
        <f t="shared" si="260"/>
        <v>0.99829934254639474</v>
      </c>
      <c r="AO71" s="4">
        <f t="shared" ref="AO71:AO73" si="261">$C71*AM71</f>
        <v>1.5400533777287335</v>
      </c>
      <c r="AP71" s="267">
        <f t="shared" ref="AP71:AP73" si="262">$D71*AN71</f>
        <v>3.7336395411235164</v>
      </c>
      <c r="AQ71" s="273"/>
      <c r="AR71" s="4">
        <f t="shared" ref="AR71:AS73" si="263">$F71*AR$69</f>
        <v>0.1925371620288292</v>
      </c>
      <c r="AS71" s="4">
        <f t="shared" si="263"/>
        <v>1.1787584795092849</v>
      </c>
      <c r="AT71" s="4">
        <f t="shared" ref="AT71:AT73" si="264">$C71*AR71</f>
        <v>0.84716351292684855</v>
      </c>
      <c r="AU71" s="267">
        <f t="shared" ref="AU71:AU73" si="265">$D71*AS71</f>
        <v>4.4085567133647254</v>
      </c>
    </row>
    <row r="72" spans="1:47" x14ac:dyDescent="0.4">
      <c r="A72" s="237">
        <f>A71/$E$75</f>
        <v>2.7839426472114626E-3</v>
      </c>
      <c r="B72">
        <v>4</v>
      </c>
      <c r="C72" s="1">
        <v>7</v>
      </c>
      <c r="D72" s="1">
        <f t="shared" si="1"/>
        <v>5.95</v>
      </c>
      <c r="E72" s="4">
        <v>1229</v>
      </c>
      <c r="F72" s="6">
        <v>0.2918546663500356</v>
      </c>
      <c r="H72" s="4">
        <f t="shared" si="243"/>
        <v>1.2448248853478983</v>
      </c>
      <c r="I72" s="4">
        <f t="shared" si="244"/>
        <v>0</v>
      </c>
      <c r="J72" s="267">
        <f t="shared" si="245"/>
        <v>8.7137741974352885</v>
      </c>
      <c r="K72" s="267">
        <f t="shared" si="241"/>
        <v>0</v>
      </c>
      <c r="L72" s="273"/>
      <c r="M72" s="4">
        <f t="shared" si="246"/>
        <v>1.2825737574059042</v>
      </c>
      <c r="N72" s="4">
        <f t="shared" si="246"/>
        <v>0</v>
      </c>
      <c r="O72" s="4">
        <f t="shared" si="247"/>
        <v>8.978016301841329</v>
      </c>
      <c r="P72" s="267">
        <f t="shared" si="248"/>
        <v>0</v>
      </c>
      <c r="Q72" s="6">
        <f>E72/$A$71</f>
        <v>0.2918546663500356</v>
      </c>
      <c r="R72" s="273"/>
      <c r="S72" s="4">
        <f t="shared" si="249"/>
        <v>1.1973778736461302</v>
      </c>
      <c r="T72" s="4">
        <f t="shared" si="249"/>
        <v>0.12136619172004952</v>
      </c>
      <c r="U72" s="4">
        <f t="shared" si="250"/>
        <v>8.381645115522911</v>
      </c>
      <c r="V72" s="267">
        <f t="shared" si="242"/>
        <v>0.72212884073429462</v>
      </c>
      <c r="W72" s="273"/>
      <c r="X72" s="4">
        <f t="shared" si="251"/>
        <v>1.1442995568730787</v>
      </c>
      <c r="Y72" s="4">
        <f t="shared" si="251"/>
        <v>0.20918179560503447</v>
      </c>
      <c r="Z72" s="4">
        <f t="shared" si="252"/>
        <v>8.0100968981115503</v>
      </c>
      <c r="AA72" s="267">
        <f t="shared" si="253"/>
        <v>1.2446316838499552</v>
      </c>
      <c r="AB72" s="273"/>
      <c r="AC72" s="4">
        <f t="shared" si="254"/>
        <v>1.3898189260794027</v>
      </c>
      <c r="AD72" s="4">
        <f t="shared" si="254"/>
        <v>0.43254822828689371</v>
      </c>
      <c r="AE72" s="4">
        <f t="shared" si="255"/>
        <v>9.7287324825558184</v>
      </c>
      <c r="AF72" s="267">
        <f t="shared" si="256"/>
        <v>2.5736619583070177</v>
      </c>
      <c r="AG72" s="273"/>
      <c r="AH72" s="4">
        <f t="shared" si="257"/>
        <v>0.52785418138715379</v>
      </c>
      <c r="AI72" s="4">
        <f t="shared" si="257"/>
        <v>0.89422225996959326</v>
      </c>
      <c r="AJ72" s="4">
        <f t="shared" si="258"/>
        <v>3.6949792697100765</v>
      </c>
      <c r="AK72" s="267">
        <f t="shared" si="259"/>
        <v>5.3206224468190797</v>
      </c>
      <c r="AL72" s="273"/>
      <c r="AM72" s="4">
        <f t="shared" si="260"/>
        <v>0.37800079909502582</v>
      </c>
      <c r="AN72" s="4">
        <f t="shared" si="260"/>
        <v>1.0781282003422838</v>
      </c>
      <c r="AO72" s="4">
        <f t="shared" si="261"/>
        <v>2.6460055936651807</v>
      </c>
      <c r="AP72" s="267">
        <f t="shared" si="262"/>
        <v>6.4148627920365895</v>
      </c>
      <c r="AQ72" s="273"/>
      <c r="AR72" s="4">
        <f t="shared" si="263"/>
        <v>0.20793336742832258</v>
      </c>
      <c r="AS72" s="4">
        <f t="shared" si="263"/>
        <v>1.273017725234544</v>
      </c>
      <c r="AT72" s="4">
        <f t="shared" si="264"/>
        <v>1.4555335719982581</v>
      </c>
      <c r="AU72" s="267">
        <f t="shared" si="265"/>
        <v>7.5744554651455376</v>
      </c>
    </row>
    <row r="73" spans="1:47" x14ac:dyDescent="0.4">
      <c r="B73">
        <v>5</v>
      </c>
      <c r="C73" s="1">
        <v>7</v>
      </c>
      <c r="D73" s="1">
        <f t="shared" si="1"/>
        <v>5.95</v>
      </c>
      <c r="E73" s="4">
        <v>1144</v>
      </c>
      <c r="F73" s="6">
        <v>0.27166943718831632</v>
      </c>
      <c r="H73" s="4">
        <f t="shared" si="243"/>
        <v>1.1587304058893375</v>
      </c>
      <c r="I73" s="4">
        <f t="shared" si="244"/>
        <v>0</v>
      </c>
      <c r="J73" s="267">
        <f t="shared" si="245"/>
        <v>8.1111128412253635</v>
      </c>
      <c r="K73" s="267">
        <f t="shared" si="241"/>
        <v>0</v>
      </c>
      <c r="L73" s="273"/>
      <c r="M73" s="4">
        <f t="shared" si="246"/>
        <v>1.1938684934681487</v>
      </c>
      <c r="N73" s="4">
        <f t="shared" si="246"/>
        <v>0</v>
      </c>
      <c r="O73" s="4">
        <f t="shared" si="247"/>
        <v>8.3570794542770415</v>
      </c>
      <c r="P73" s="267">
        <f t="shared" si="248"/>
        <v>0</v>
      </c>
      <c r="Q73" s="6">
        <f>E73/$A$71</f>
        <v>0.27166943718831632</v>
      </c>
      <c r="R73" s="273"/>
      <c r="S73" s="4">
        <f t="shared" si="249"/>
        <v>1.1145649206274804</v>
      </c>
      <c r="T73" s="4">
        <f t="shared" si="249"/>
        <v>0.11297227284600216</v>
      </c>
      <c r="U73" s="4">
        <f t="shared" si="250"/>
        <v>7.8019544443923623</v>
      </c>
      <c r="V73" s="267">
        <f t="shared" si="242"/>
        <v>0.67218502343371289</v>
      </c>
      <c r="W73" s="273"/>
      <c r="X73" s="4">
        <f t="shared" si="251"/>
        <v>1.0651576021666413</v>
      </c>
      <c r="Y73" s="4">
        <f t="shared" si="251"/>
        <v>0.19471438093747717</v>
      </c>
      <c r="Z73" s="4">
        <f t="shared" si="252"/>
        <v>7.4561032151664897</v>
      </c>
      <c r="AA73" s="267">
        <f t="shared" si="253"/>
        <v>1.1585505665779892</v>
      </c>
      <c r="AB73" s="273"/>
      <c r="AC73" s="4">
        <f t="shared" si="254"/>
        <v>1.2936963803375403</v>
      </c>
      <c r="AD73" s="4">
        <f t="shared" si="254"/>
        <v>0.40263236221334942</v>
      </c>
      <c r="AE73" s="4">
        <f t="shared" si="255"/>
        <v>9.0558746623627826</v>
      </c>
      <c r="AF73" s="267">
        <f t="shared" si="256"/>
        <v>2.3956625551694293</v>
      </c>
      <c r="AG73" s="273"/>
      <c r="AH73" s="4">
        <f t="shared" si="257"/>
        <v>0.4913467725849503</v>
      </c>
      <c r="AI73" s="4">
        <f t="shared" si="257"/>
        <v>0.83237613133052457</v>
      </c>
      <c r="AJ73" s="4">
        <f t="shared" si="258"/>
        <v>3.4394274080946521</v>
      </c>
      <c r="AK73" s="267">
        <f t="shared" si="259"/>
        <v>4.952637981416621</v>
      </c>
      <c r="AL73" s="273"/>
      <c r="AM73" s="4">
        <f t="shared" si="260"/>
        <v>0.35185753796965791</v>
      </c>
      <c r="AN73" s="4">
        <f t="shared" si="260"/>
        <v>1.0035627837197501</v>
      </c>
      <c r="AO73" s="4">
        <f t="shared" si="261"/>
        <v>2.4630027657876052</v>
      </c>
      <c r="AP73" s="267">
        <f t="shared" si="262"/>
        <v>5.9711985631325133</v>
      </c>
      <c r="AQ73" s="273"/>
      <c r="AR73" s="4">
        <f t="shared" si="263"/>
        <v>0.19355229645077385</v>
      </c>
      <c r="AS73" s="4">
        <f t="shared" si="263"/>
        <v>1.1849733748318296</v>
      </c>
      <c r="AT73" s="4">
        <f t="shared" si="264"/>
        <v>1.3548660751554169</v>
      </c>
      <c r="AU73" s="267">
        <f t="shared" si="265"/>
        <v>7.0505915802493861</v>
      </c>
    </row>
    <row r="74" spans="1:47" x14ac:dyDescent="0.4">
      <c r="A74" t="s">
        <v>20</v>
      </c>
      <c r="D74" s="1">
        <f t="shared" si="1"/>
        <v>0</v>
      </c>
      <c r="E74" s="4">
        <f>SUM(E4:E73)</f>
        <v>1812603</v>
      </c>
      <c r="F74" s="6">
        <v>1</v>
      </c>
      <c r="H74" s="267">
        <f>SUM(H3,H11,H19,H27,H35,H43,H48,H56,H64,H69)</f>
        <v>1434.2406000000001</v>
      </c>
      <c r="I74" s="267">
        <f>SUM(I3,I12,I19,I27,I35,I43,I48,I56,I64,I69)</f>
        <v>0</v>
      </c>
      <c r="J74" s="267">
        <f>SUM(J3,J11,J19,J27,J35,J43,J48,J56,J64,J69)</f>
        <v>4101.8064678471865</v>
      </c>
      <c r="K74" s="267">
        <f>SUM(K3,K11,K19,K27,K35,K43,K48,K56,K64,K69)</f>
        <v>0</v>
      </c>
      <c r="L74" s="273"/>
      <c r="M74" s="267">
        <f>SUM(M3,M11,M19,M27,M35,M43,M48,M56,M64,M69)</f>
        <v>1481.6543782034887</v>
      </c>
      <c r="N74" s="267">
        <f>SUM(N3,N12,N19,N27,N35,N43,N48,N56,N64,N69)</f>
        <v>0</v>
      </c>
      <c r="O74" s="4">
        <f>SUM(O3,O11,O19,O27,O35,O43,O48,O56,O64,O69)</f>
        <v>4236.7317825577629</v>
      </c>
      <c r="P74" s="267">
        <f>SUM(P3,P11,P19,P27,P35,P43,P48,P56,P64,P69)</f>
        <v>0</v>
      </c>
      <c r="Q74" s="6">
        <f>E74/$E$74</f>
        <v>1</v>
      </c>
      <c r="R74" s="273"/>
      <c r="S74" s="267">
        <f>SUM(S3,S11,S19,S27,S35,S43,S48,S56,S64,S69)</f>
        <v>1380.131608288119</v>
      </c>
      <c r="T74" s="267">
        <f>SUM(T3,T12,T19,T27,T35,T43,T48,T56,T64,T69)</f>
        <v>140.71443356746383</v>
      </c>
      <c r="U74" s="4">
        <f>SUM(U3,U11,U19,U27,U35,U43,U48,U56,U64,U69)</f>
        <v>3946.9634676494261</v>
      </c>
      <c r="V74" s="267">
        <f>SUM(V3,V11,V19,V27,V35,V43,V48,V56,V64,V69)</f>
        <v>360.94564183447324</v>
      </c>
      <c r="W74" s="273"/>
      <c r="X74" s="267">
        <f>SUM(X3,X11,X19,X27,X35,X43,X48,X56,X64,X69)</f>
        <v>1316.8089521280854</v>
      </c>
      <c r="Y74" s="267">
        <f>SUM(Y3,Y12,Y19,Y27,Y35,Y43,Y48,Y56,Y64,Y69)</f>
        <v>245.49183888697038</v>
      </c>
      <c r="Z74" s="4">
        <f>SUM(Z3,Z11,Z19,Z27,Z35,Z43,Z48,Z56,Z64,Z69)</f>
        <v>3766.2387209792505</v>
      </c>
      <c r="AA74" s="267">
        <f>SUM(AA3,AA11,AA19,AA27,AA35,AA43,AA48,AA56,AA64,AA69)</f>
        <v>628.87916916379129</v>
      </c>
      <c r="AB74" s="273"/>
      <c r="AC74" s="267">
        <f>SUM(AC3,AC11,AC19,AC27,AC35,AC43,AC48,AC56,AC64,AC69)</f>
        <v>1258.2623350050724</v>
      </c>
      <c r="AD74" s="267">
        <f>SUM(AD3,AD11,AD19,AD27,AD35,AD43,AD48,AD56,AD64,AD69)</f>
        <v>525.46018923979784</v>
      </c>
      <c r="AE74" s="4">
        <f>SUM(AE3,AE11,AE19,AE27,AE35,AE43,AE48,AE56,AE64,AE69)</f>
        <v>3673.7770826668607</v>
      </c>
      <c r="AF74" s="267">
        <f>SUM(AF3,AF11,AF19,AF27,AF35,AF43,AF48,AF56,AF64,AF69)</f>
        <v>1273.3966003412095</v>
      </c>
      <c r="AG74" s="273"/>
      <c r="AH74" s="267">
        <f>SUM(AH3,AH11,AH19,AH27,AH35,AH43,AH48,AH56,AH64,AH69)</f>
        <v>608.97343025223574</v>
      </c>
      <c r="AI74" s="267">
        <f>SUM(AI3,AI11,AI19,AI27,AI35,AI43,AI48,AI56,AI64,AI69)</f>
        <v>1063.2098880426547</v>
      </c>
      <c r="AJ74" s="4">
        <f>SUM(AJ3,AJ11,AJ19,AJ27,AJ35,AJ43,AJ48,AJ56,AJ64,AJ69)</f>
        <v>1741.4748929130767</v>
      </c>
      <c r="AK74" s="267">
        <f>SUM(AK3,AK11,AK19,AK27,AK35,AK43,AK48,AK56,AK64,AK69)</f>
        <v>2579.7759826381875</v>
      </c>
      <c r="AL74" s="273"/>
      <c r="AM74" s="267">
        <f>SUM(AM3,AM11,AM19,AM27,AM35,AM43,AM48,AM56,AM64,AM69)</f>
        <v>436.50008495943473</v>
      </c>
      <c r="AN74" s="267">
        <f>SUM(AN3,AN11,AN19,AN27,AN35,AN43,AN48,AN56,AN64,AN69)</f>
        <v>1283.5753738500341</v>
      </c>
      <c r="AO74" s="4">
        <f>SUM(AO3,AO11,AO19,AO27,AO35,AO43,AO48,AO56,AO64,AO69)</f>
        <v>1248.1844469262949</v>
      </c>
      <c r="AP74" s="267">
        <f>SUM(AP3,AP11,AP19,AP27,AP35,AP43,AP48,AP56,AP64,AP69)</f>
        <v>3114.230018565037</v>
      </c>
      <c r="AQ74" s="273"/>
      <c r="AR74" s="267">
        <f>SUM(AR3,AR11,AR19,AR27,AR35,AR43,AR48,AR56,AR64,AR69)</f>
        <v>247.17333408484885</v>
      </c>
      <c r="AS74" s="267">
        <f>SUM(AS3,AS11,AS19,AS27,AS35,AS43,AS48,AS56,AS64,AS69)</f>
        <v>1516.2519578064807</v>
      </c>
      <c r="AT74" s="4">
        <f>SUM(AT3,AT11,AT19,AT27,AT35,AT43,AT48,AT56,AT64,AT69)</f>
        <v>705.58816439922373</v>
      </c>
      <c r="AU74" s="267">
        <f>SUM(AU3,AU11,AU19,AU27,AU35,AU43,AU48,AU56,AU64,AU69)</f>
        <v>3678.6616818652546</v>
      </c>
    </row>
    <row r="75" spans="1:47" x14ac:dyDescent="0.4">
      <c r="A75" t="s">
        <v>74</v>
      </c>
      <c r="D75" s="1">
        <f t="shared" si="1"/>
        <v>0</v>
      </c>
      <c r="E75" s="4">
        <f>E74-A59</f>
        <v>1512603</v>
      </c>
      <c r="J75" s="267"/>
      <c r="K75" s="267"/>
      <c r="AC75" s="172">
        <f>AC74+AD74</f>
        <v>1783.7225242448703</v>
      </c>
      <c r="AH75" s="172">
        <f>AH74-AH56</f>
        <v>602.87332731795618</v>
      </c>
      <c r="AI75" s="172">
        <f>AI74-AI56</f>
        <v>1021.3099909769344</v>
      </c>
      <c r="AM75" s="172">
        <f>AM74-AM56</f>
        <v>431.72263764284082</v>
      </c>
      <c r="AN75" s="172">
        <f>AN74-AN56</f>
        <v>1231.352821166628</v>
      </c>
      <c r="AR75" s="172">
        <f>AR74-AR56</f>
        <v>237.48505837826588</v>
      </c>
      <c r="AS75" s="172">
        <f>AS74-AS56</f>
        <v>1453.9402335130637</v>
      </c>
    </row>
    <row r="76" spans="1:47" x14ac:dyDescent="0.4">
      <c r="J76" s="267"/>
      <c r="AH76" s="172">
        <f>AH74+AI74</f>
        <v>1672.1833182948903</v>
      </c>
      <c r="AM76" s="172">
        <f>AM74+AN74</f>
        <v>1720.0754588094687</v>
      </c>
      <c r="AR76" s="172">
        <f>AR74+AS74</f>
        <v>1763.4252918913296</v>
      </c>
    </row>
  </sheetData>
  <phoneticPr fontId="2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D9159-D897-46D4-AA98-F746D5B1231F}">
  <dimension ref="A1:AT82"/>
  <sheetViews>
    <sheetView topLeftCell="A31" workbookViewId="0"/>
  </sheetViews>
  <sheetFormatPr defaultRowHeight="15" x14ac:dyDescent="0.4"/>
  <cols>
    <col min="1" max="1" width="19.25" bestFit="1" customWidth="1"/>
    <col min="3" max="3" width="17.125" style="1" bestFit="1" customWidth="1"/>
    <col min="4" max="4" width="17.125" style="1" customWidth="1"/>
    <col min="5" max="5" width="9.375" style="4" hidden="1" customWidth="1"/>
    <col min="6" max="6" width="8.75" style="4"/>
    <col min="7" max="7" width="7.25" style="4" customWidth="1"/>
    <col min="8" max="8" width="10.375" style="4" bestFit="1" customWidth="1"/>
    <col min="9" max="9" width="8.25" style="4" bestFit="1" customWidth="1"/>
    <col min="10" max="10" width="12.375" style="4" bestFit="1" customWidth="1"/>
    <col min="11" max="11" width="8.75" style="4"/>
    <col min="16" max="16" width="8.75" style="302"/>
  </cols>
  <sheetData>
    <row r="1" spans="1:46" x14ac:dyDescent="0.4">
      <c r="A1" s="8" t="s">
        <v>23</v>
      </c>
      <c r="C1" s="1" t="s">
        <v>29</v>
      </c>
      <c r="E1" s="4" t="s">
        <v>18</v>
      </c>
      <c r="G1" s="4" t="s">
        <v>42</v>
      </c>
      <c r="L1" s="4" t="s">
        <v>64</v>
      </c>
      <c r="M1" s="4"/>
      <c r="N1" s="4"/>
      <c r="O1" s="4"/>
      <c r="P1" s="297"/>
      <c r="Q1" s="4" t="s">
        <v>19</v>
      </c>
      <c r="R1" s="4"/>
      <c r="S1" s="4"/>
      <c r="T1" s="4"/>
      <c r="U1" s="297"/>
      <c r="V1" s="4" t="s">
        <v>32</v>
      </c>
      <c r="W1" s="4"/>
      <c r="X1" s="4"/>
      <c r="Y1" s="4"/>
      <c r="Z1" s="297"/>
      <c r="AA1" s="4" t="s">
        <v>172</v>
      </c>
      <c r="AB1" s="4"/>
      <c r="AC1" s="4"/>
      <c r="AD1" s="4"/>
      <c r="AE1" s="297"/>
      <c r="AF1" s="4" t="s">
        <v>173</v>
      </c>
      <c r="AG1" s="4"/>
      <c r="AH1" s="4"/>
      <c r="AI1" s="4"/>
      <c r="AJ1" s="297"/>
      <c r="AK1" s="4" t="s">
        <v>174</v>
      </c>
      <c r="AL1" s="4"/>
      <c r="AM1" s="4"/>
      <c r="AN1" s="4"/>
      <c r="AO1" s="297"/>
      <c r="AP1" s="4" t="s">
        <v>43</v>
      </c>
      <c r="AQ1" s="4"/>
      <c r="AR1" s="4"/>
      <c r="AS1" s="4"/>
      <c r="AT1" s="297"/>
    </row>
    <row r="2" spans="1:46" ht="18" customHeight="1" x14ac:dyDescent="0.4">
      <c r="C2" s="2" t="s">
        <v>4</v>
      </c>
      <c r="D2" s="2" t="s">
        <v>175</v>
      </c>
      <c r="E2" s="4" t="s">
        <v>19</v>
      </c>
      <c r="H2" s="4" t="s">
        <v>169</v>
      </c>
      <c r="I2" s="4" t="s">
        <v>170</v>
      </c>
      <c r="J2" s="4" t="s">
        <v>171</v>
      </c>
      <c r="K2" s="4" t="s">
        <v>84</v>
      </c>
      <c r="L2" s="4"/>
      <c r="M2" s="4" t="s">
        <v>169</v>
      </c>
      <c r="N2" s="4" t="s">
        <v>170</v>
      </c>
      <c r="O2" s="4" t="s">
        <v>171</v>
      </c>
      <c r="P2" s="297" t="s">
        <v>84</v>
      </c>
      <c r="Q2" s="4"/>
      <c r="R2" s="4" t="s">
        <v>169</v>
      </c>
      <c r="S2" s="4" t="s">
        <v>170</v>
      </c>
      <c r="T2" s="4" t="s">
        <v>171</v>
      </c>
      <c r="U2" s="297" t="s">
        <v>84</v>
      </c>
      <c r="V2" s="4"/>
      <c r="W2" s="4" t="s">
        <v>169</v>
      </c>
      <c r="X2" s="4" t="s">
        <v>170</v>
      </c>
      <c r="Y2" s="4" t="s">
        <v>171</v>
      </c>
      <c r="Z2" s="297" t="s">
        <v>84</v>
      </c>
      <c r="AA2" s="4"/>
      <c r="AB2" s="4" t="s">
        <v>169</v>
      </c>
      <c r="AC2" s="4" t="s">
        <v>170</v>
      </c>
      <c r="AD2" s="4" t="s">
        <v>171</v>
      </c>
      <c r="AE2" s="297" t="s">
        <v>84</v>
      </c>
      <c r="AF2" s="4"/>
      <c r="AG2" s="4" t="s">
        <v>169</v>
      </c>
      <c r="AH2" s="4" t="s">
        <v>170</v>
      </c>
      <c r="AI2" s="4" t="s">
        <v>171</v>
      </c>
      <c r="AJ2" s="297" t="s">
        <v>84</v>
      </c>
      <c r="AK2" s="4"/>
      <c r="AL2" s="4" t="s">
        <v>169</v>
      </c>
      <c r="AM2" s="4" t="s">
        <v>170</v>
      </c>
      <c r="AN2" s="4" t="s">
        <v>171</v>
      </c>
      <c r="AO2" s="297" t="s">
        <v>84</v>
      </c>
      <c r="AP2" s="4"/>
      <c r="AQ2" s="4" t="s">
        <v>169</v>
      </c>
      <c r="AR2" s="4" t="s">
        <v>170</v>
      </c>
      <c r="AS2" s="4" t="s">
        <v>171</v>
      </c>
      <c r="AT2" s="297" t="s">
        <v>84</v>
      </c>
    </row>
    <row r="3" spans="1:46" x14ac:dyDescent="0.4">
      <c r="B3" t="s">
        <v>2</v>
      </c>
      <c r="C3" s="3" t="s">
        <v>8</v>
      </c>
      <c r="D3" s="3"/>
      <c r="F3" s="4" t="s">
        <v>21</v>
      </c>
      <c r="H3" s="4">
        <f>機器台数2!D62</f>
        <v>357.32467767552151</v>
      </c>
      <c r="I3" s="4">
        <f>機器台数2!D69</f>
        <v>0</v>
      </c>
      <c r="J3" s="4">
        <f>SUM(J4:J10)</f>
        <v>1389.5086506188145</v>
      </c>
      <c r="K3" s="4">
        <f>SUM(K4:K10)</f>
        <v>0</v>
      </c>
      <c r="L3" s="4"/>
      <c r="M3" s="4">
        <f>機器台数2!F62</f>
        <v>385.9459490891378</v>
      </c>
      <c r="N3" s="4">
        <f>機器台数2!F68</f>
        <v>0</v>
      </c>
      <c r="O3" s="4">
        <f>SUM(O4:O10)</f>
        <v>1500.8066009301067</v>
      </c>
      <c r="P3" s="297">
        <f>SUM(P4:P10)</f>
        <v>0</v>
      </c>
      <c r="Q3" s="4"/>
      <c r="R3" s="4">
        <f>機器台数2!H62</f>
        <v>377.40167936233792</v>
      </c>
      <c r="S3" s="4">
        <f>機器台数2!H69</f>
        <v>38.253424905440426</v>
      </c>
      <c r="T3" s="4">
        <f>SUM(T4:T10)</f>
        <v>1467.5809732577022</v>
      </c>
      <c r="U3" s="297">
        <f>SUM(U4:U10)</f>
        <v>126.44087554358059</v>
      </c>
      <c r="V3" s="4"/>
      <c r="W3" s="4">
        <f>機器台数2!J62</f>
        <v>377.49430240882003</v>
      </c>
      <c r="X3" s="4">
        <f>機器台数2!J69</f>
        <v>69.007224143586157</v>
      </c>
      <c r="Y3" s="4">
        <f>SUM(Y4:Y10)</f>
        <v>1467.9411513600676</v>
      </c>
      <c r="Z3" s="297">
        <f>SUM(Z4:Z10)</f>
        <v>228.09287955563494</v>
      </c>
      <c r="AA3" s="4"/>
      <c r="AB3" s="4">
        <f>機器台数2!L62</f>
        <v>330.29445362322065</v>
      </c>
      <c r="AC3" s="4">
        <f>機器台数2!L69</f>
        <v>149.2454339793014</v>
      </c>
      <c r="AD3" s="4">
        <f>SUM(AD4:AD10)</f>
        <v>1284.3977179142362</v>
      </c>
      <c r="AE3" s="297">
        <f>SUM(AE4:AE10)</f>
        <v>493.30807345673026</v>
      </c>
      <c r="AF3" s="4"/>
      <c r="AG3" s="4">
        <f>機器台数2!N62</f>
        <v>190.37073560845499</v>
      </c>
      <c r="AH3" s="4">
        <f>機器台数2!N69</f>
        <v>322.5014699713231</v>
      </c>
      <c r="AI3" s="4">
        <f>SUM(AI4:AI10)</f>
        <v>740.28411827973889</v>
      </c>
      <c r="AJ3" s="297">
        <f>SUM(AJ4:AJ10)</f>
        <v>1065.9795385135953</v>
      </c>
      <c r="AK3" s="4"/>
      <c r="AL3" s="4">
        <f>機器台数2!P62</f>
        <v>142.41206338730305</v>
      </c>
      <c r="AM3" s="4">
        <f>機器台数2!P69</f>
        <v>406.18554768765495</v>
      </c>
      <c r="AN3" s="4">
        <f>SUM(AN4:AN10)</f>
        <v>553.78989023765496</v>
      </c>
      <c r="AO3" s="297">
        <f>SUM(AO4:AO10)</f>
        <v>1342.5845243852052</v>
      </c>
      <c r="AP3" s="4"/>
      <c r="AQ3" s="4">
        <f>機器台数2!R62</f>
        <v>81.793142796032399</v>
      </c>
      <c r="AR3" s="4">
        <f>機器台数2!R69</f>
        <v>500.75715057075877</v>
      </c>
      <c r="AS3" s="4">
        <f>SUM(AS4:AS10)</f>
        <v>318.06445671684628</v>
      </c>
      <c r="AT3" s="297">
        <f>SUM(AT4:AT10)</f>
        <v>1655.1765680952267</v>
      </c>
    </row>
    <row r="4" spans="1:46" s="287" customFormat="1" x14ac:dyDescent="0.4">
      <c r="A4" s="287" t="s">
        <v>6</v>
      </c>
      <c r="B4" s="287">
        <v>1.5</v>
      </c>
      <c r="C4" s="288">
        <v>3</v>
      </c>
      <c r="D4" s="288">
        <f>C4*0.85</f>
        <v>2.5499999999999998</v>
      </c>
      <c r="E4" s="114">
        <v>35090</v>
      </c>
      <c r="F4" s="289">
        <f t="shared" ref="F4:F10" si="0">E4/$A$6</f>
        <v>9.3588806682704875E-2</v>
      </c>
      <c r="G4" s="114">
        <f>SUM(H4:H10)</f>
        <v>357.32467767552157</v>
      </c>
      <c r="H4" s="114">
        <f t="shared" ref="H4:H10" si="1">F4*H$3</f>
        <v>33.441590181934217</v>
      </c>
      <c r="I4" s="114">
        <f>$F4*I$3</f>
        <v>0</v>
      </c>
      <c r="J4" s="290">
        <f>C4*H4</f>
        <v>100.32477054580265</v>
      </c>
      <c r="K4" s="290">
        <f>D4*I4</f>
        <v>0</v>
      </c>
      <c r="L4" s="114"/>
      <c r="M4" s="114">
        <f>$F4*M$3</f>
        <v>36.120220819276376</v>
      </c>
      <c r="N4" s="114">
        <f>$F4*N$3</f>
        <v>0</v>
      </c>
      <c r="O4" s="290">
        <f>$C4*M4</f>
        <v>108.36066245782914</v>
      </c>
      <c r="P4" s="298">
        <f>$D4*N4</f>
        <v>0</v>
      </c>
      <c r="Q4" s="114"/>
      <c r="R4" s="114">
        <f>$F4*R$3</f>
        <v>35.320572811570017</v>
      </c>
      <c r="S4" s="114">
        <f>$F4*S$3</f>
        <v>3.5800923884266318</v>
      </c>
      <c r="T4" s="290">
        <f>$C4*R4</f>
        <v>105.96171843471005</v>
      </c>
      <c r="U4" s="298">
        <f>$D4*S4</f>
        <v>9.1292355904879106</v>
      </c>
      <c r="V4" s="114"/>
      <c r="W4" s="114">
        <f>$F4*W$3</f>
        <v>35.329241291961594</v>
      </c>
      <c r="X4" s="114">
        <f>$F4*X$3</f>
        <v>6.4583037600841697</v>
      </c>
      <c r="Y4" s="290">
        <f>$C4*W4</f>
        <v>105.98772387588478</v>
      </c>
      <c r="Z4" s="298">
        <f>$D4*X4</f>
        <v>16.468674588214633</v>
      </c>
      <c r="AA4" s="114"/>
      <c r="AB4" s="114">
        <f>$F4*AB$3</f>
        <v>30.911863768513228</v>
      </c>
      <c r="AC4" s="114">
        <f>$F4*AC$3</f>
        <v>13.967702068965231</v>
      </c>
      <c r="AD4" s="290">
        <f>$C4*AB4</f>
        <v>92.735591305539685</v>
      </c>
      <c r="AE4" s="298">
        <f>$D4*AC4</f>
        <v>35.617640275861334</v>
      </c>
      <c r="AF4" s="114">
        <f>SUM(AG4:AG10)</f>
        <v>190.37073560845499</v>
      </c>
      <c r="AG4" s="114">
        <f>$F4*AG$3</f>
        <v>17.816569972904016</v>
      </c>
      <c r="AH4" s="114">
        <f>$F4*AH$3</f>
        <v>30.182527728034309</v>
      </c>
      <c r="AI4" s="290">
        <f>$C4*AG4</f>
        <v>53.449709918712045</v>
      </c>
      <c r="AJ4" s="298">
        <f>$D4*AH4</f>
        <v>76.965445706487486</v>
      </c>
      <c r="AK4" s="114">
        <f>SUM(AL4:AL10)</f>
        <v>142.41206338730308</v>
      </c>
      <c r="AL4" s="114">
        <f>$F4*AL$3</f>
        <v>13.328175069639418</v>
      </c>
      <c r="AM4" s="114">
        <f>$F4*AM$3</f>
        <v>38.014420699848543</v>
      </c>
      <c r="AN4" s="290">
        <f>$C4*AL4</f>
        <v>39.984525208918257</v>
      </c>
      <c r="AO4" s="298">
        <f>$D4*AM4</f>
        <v>96.93677278461378</v>
      </c>
      <c r="AP4" s="114"/>
      <c r="AQ4" s="114">
        <f>$F4*AQ$3</f>
        <v>7.6549226291087509</v>
      </c>
      <c r="AR4" s="114">
        <f>$F4*AR$3</f>
        <v>46.865264159748882</v>
      </c>
      <c r="AS4" s="290">
        <f>$C4*AQ4</f>
        <v>22.964767887326254</v>
      </c>
      <c r="AT4" s="298">
        <f>$D4*AR4</f>
        <v>119.50642360735964</v>
      </c>
    </row>
    <row r="5" spans="1:46" x14ac:dyDescent="0.4">
      <c r="A5" t="s">
        <v>30</v>
      </c>
      <c r="B5">
        <v>2</v>
      </c>
      <c r="C5" s="1">
        <v>3.3</v>
      </c>
      <c r="D5" s="1">
        <f t="shared" ref="D5:D53" si="2">C5*0.85</f>
        <v>2.8049999999999997</v>
      </c>
      <c r="E5" s="4">
        <v>99152</v>
      </c>
      <c r="F5" s="6">
        <f t="shared" si="0"/>
        <v>0.26444905557718879</v>
      </c>
      <c r="H5" s="4">
        <f t="shared" si="1"/>
        <v>94.494173545715057</v>
      </c>
      <c r="I5" s="4">
        <f>$F5*I$3</f>
        <v>0</v>
      </c>
      <c r="J5" s="267">
        <f t="shared" ref="J5:J10" si="3">C5*H5</f>
        <v>311.83077270085965</v>
      </c>
      <c r="K5" s="267">
        <f t="shared" ref="K5:K22" si="4">D5*I5</f>
        <v>0</v>
      </c>
      <c r="L5" s="4"/>
      <c r="M5" s="4">
        <f t="shared" ref="M5:N10" si="5">$F5*M$3</f>
        <v>102.06304174046427</v>
      </c>
      <c r="N5" s="4">
        <f t="shared" si="5"/>
        <v>0</v>
      </c>
      <c r="O5" s="267">
        <f t="shared" ref="O5:O10" si="6">$C5*M5</f>
        <v>336.80803774353205</v>
      </c>
      <c r="P5" s="299">
        <f t="shared" ref="P5:P10" si="7">$D5*N5</f>
        <v>0</v>
      </c>
      <c r="Q5" s="4"/>
      <c r="R5" s="4">
        <f t="shared" ref="R5:S10" si="8">$F5*R$3</f>
        <v>99.803517680615286</v>
      </c>
      <c r="S5" s="4">
        <f t="shared" si="8"/>
        <v>10.116082088836633</v>
      </c>
      <c r="T5" s="267">
        <f t="shared" ref="T5" si="9">$C5*R5</f>
        <v>329.35160834603045</v>
      </c>
      <c r="U5" s="299">
        <f t="shared" ref="U5:U10" si="10">$D5*S5</f>
        <v>28.37561025918675</v>
      </c>
      <c r="V5" s="4"/>
      <c r="W5" s="4">
        <f t="shared" ref="W5:X10" si="11">$F5*W$3</f>
        <v>99.828011757782164</v>
      </c>
      <c r="X5" s="4">
        <f t="shared" si="11"/>
        <v>18.248895252774741</v>
      </c>
      <c r="Y5" s="267">
        <f t="shared" ref="Y5" si="12">$C5*W5</f>
        <v>329.4324388006811</v>
      </c>
      <c r="Z5" s="299">
        <f t="shared" ref="Z5:Z10" si="13">$D5*X5</f>
        <v>51.188151184033146</v>
      </c>
      <c r="AA5" s="4"/>
      <c r="AB5" s="4">
        <f t="shared" ref="AB5:AC10" si="14">$F5*AB$3</f>
        <v>87.34605632304428</v>
      </c>
      <c r="AC5" s="4">
        <f t="shared" si="14"/>
        <v>39.467814065033934</v>
      </c>
      <c r="AD5" s="267">
        <f t="shared" ref="AD5" si="15">$C5*AB5</f>
        <v>288.24198586604609</v>
      </c>
      <c r="AE5" s="299">
        <f t="shared" ref="AE5:AE10" si="16">$D5*AC5</f>
        <v>110.70721845242018</v>
      </c>
      <c r="AF5" s="4"/>
      <c r="AG5" s="4">
        <f t="shared" ref="AG5:AH10" si="17">$F5*AG$3</f>
        <v>50.343361241190628</v>
      </c>
      <c r="AH5" s="4">
        <f t="shared" si="17"/>
        <v>85.285209156171504</v>
      </c>
      <c r="AI5" s="267">
        <f t="shared" ref="AI5" si="18">$C5*AG5</f>
        <v>166.13309209592907</v>
      </c>
      <c r="AJ5" s="299">
        <f t="shared" ref="AJ5:AJ10" si="19">$D5*AH5</f>
        <v>239.22501168306104</v>
      </c>
      <c r="AK5" s="4"/>
      <c r="AL5" s="4">
        <f>$F5*AL$3</f>
        <v>37.660735665571039</v>
      </c>
      <c r="AM5" s="4">
        <f t="shared" ref="AL5:AM10" si="20">$F5*AM$3</f>
        <v>107.41538447510352</v>
      </c>
      <c r="AN5" s="267">
        <f t="shared" ref="AN5" si="21">$C5*AL5</f>
        <v>124.28042769638442</v>
      </c>
      <c r="AO5" s="299">
        <f t="shared" ref="AO5:AO10" si="22">$D5*AM5</f>
        <v>301.30015345266537</v>
      </c>
      <c r="AP5" s="4"/>
      <c r="AQ5" s="4">
        <f t="shared" ref="AQ5:AR10" si="23">$F5*AQ$3</f>
        <v>21.63011936510091</v>
      </c>
      <c r="AR5" s="4">
        <f t="shared" si="23"/>
        <v>132.42475554196128</v>
      </c>
      <c r="AS5" s="267">
        <f t="shared" ref="AS5" si="24">$C5*AQ5</f>
        <v>71.379393904832995</v>
      </c>
      <c r="AT5" s="299">
        <f t="shared" ref="AT5:AT10" si="25">$D5*AR5</f>
        <v>371.45143929520134</v>
      </c>
    </row>
    <row r="6" spans="1:46" x14ac:dyDescent="0.4">
      <c r="A6" s="5">
        <f>SUM(E4:E10)</f>
        <v>374938</v>
      </c>
      <c r="B6">
        <v>2.5</v>
      </c>
      <c r="C6" s="1">
        <v>3.4</v>
      </c>
      <c r="D6" s="1">
        <f t="shared" si="2"/>
        <v>2.8899999999999997</v>
      </c>
      <c r="E6" s="4">
        <v>75562</v>
      </c>
      <c r="F6" s="6">
        <f t="shared" si="0"/>
        <v>0.20153198662178815</v>
      </c>
      <c r="H6" s="4">
        <f t="shared" si="1"/>
        <v>72.012352160937965</v>
      </c>
      <c r="I6" s="4">
        <f t="shared" ref="I6:I10" si="26">$F6*I$3</f>
        <v>0</v>
      </c>
      <c r="J6" s="267">
        <f t="shared" si="3"/>
        <v>244.84199734718908</v>
      </c>
      <c r="K6" s="267">
        <f t="shared" si="4"/>
        <v>0</v>
      </c>
      <c r="L6" s="4"/>
      <c r="M6" s="4">
        <f t="shared" si="5"/>
        <v>77.780453848565443</v>
      </c>
      <c r="N6" s="4">
        <f t="shared" si="5"/>
        <v>0</v>
      </c>
      <c r="O6" s="267">
        <f>$C6*M6</f>
        <v>264.45354308512248</v>
      </c>
      <c r="P6" s="299">
        <f t="shared" si="7"/>
        <v>0</v>
      </c>
      <c r="Q6" s="4"/>
      <c r="R6" s="4">
        <f t="shared" si="8"/>
        <v>76.058510196291067</v>
      </c>
      <c r="S6" s="4">
        <f t="shared" si="8"/>
        <v>7.7092887162807973</v>
      </c>
      <c r="T6" s="267">
        <f>$C6*R6</f>
        <v>258.59893466738964</v>
      </c>
      <c r="U6" s="299">
        <f t="shared" si="10"/>
        <v>22.279844390051501</v>
      </c>
      <c r="V6" s="4"/>
      <c r="W6" s="4">
        <f t="shared" si="11"/>
        <v>76.077176702855567</v>
      </c>
      <c r="X6" s="4">
        <f t="shared" si="11"/>
        <v>13.907162972911941</v>
      </c>
      <c r="Y6" s="267">
        <f>$C6*W6</f>
        <v>258.6624007897089</v>
      </c>
      <c r="Z6" s="299">
        <f t="shared" si="13"/>
        <v>40.191700991715507</v>
      </c>
      <c r="AA6" s="4"/>
      <c r="AB6" s="4">
        <f t="shared" si="14"/>
        <v>66.564897408845724</v>
      </c>
      <c r="AC6" s="4">
        <f t="shared" si="14"/>
        <v>30.077728804079534</v>
      </c>
      <c r="AD6" s="267">
        <f>$C6*AB6</f>
        <v>226.32065119007547</v>
      </c>
      <c r="AE6" s="299">
        <f t="shared" si="16"/>
        <v>86.924636243789848</v>
      </c>
      <c r="AF6" s="4"/>
      <c r="AG6" s="4">
        <f t="shared" si="17"/>
        <v>38.365792541823119</v>
      </c>
      <c r="AH6" s="4">
        <f t="shared" si="17"/>
        <v>64.994361931767699</v>
      </c>
      <c r="AI6" s="267">
        <f>$C6*AG6</f>
        <v>130.44369464219861</v>
      </c>
      <c r="AJ6" s="299">
        <f t="shared" si="19"/>
        <v>187.83370598280862</v>
      </c>
      <c r="AK6" s="4"/>
      <c r="AL6" s="4">
        <f>$F6*AL$3</f>
        <v>28.700586053351202</v>
      </c>
      <c r="AM6" s="4">
        <f t="shared" si="20"/>
        <v>81.859380362552173</v>
      </c>
      <c r="AN6" s="267">
        <f>$C6*AL6</f>
        <v>97.58199258139409</v>
      </c>
      <c r="AO6" s="299">
        <f t="shared" si="22"/>
        <v>236.57360924777575</v>
      </c>
      <c r="AP6" s="4"/>
      <c r="AQ6" s="4">
        <f t="shared" si="23"/>
        <v>16.483934559724009</v>
      </c>
      <c r="AR6" s="4">
        <f t="shared" si="23"/>
        <v>100.91858336959091</v>
      </c>
      <c r="AS6" s="267">
        <f>$C6*AQ6</f>
        <v>56.04537750306163</v>
      </c>
      <c r="AT6" s="299">
        <f t="shared" si="25"/>
        <v>291.65470593811767</v>
      </c>
    </row>
    <row r="7" spans="1:46" x14ac:dyDescent="0.4">
      <c r="A7" s="6">
        <f>A6/$E$51</f>
        <v>0.58643438981969243</v>
      </c>
      <c r="B7">
        <v>3</v>
      </c>
      <c r="C7" s="1">
        <v>3.2</v>
      </c>
      <c r="D7" s="1">
        <f t="shared" si="2"/>
        <v>2.72</v>
      </c>
      <c r="E7" s="4">
        <v>80334</v>
      </c>
      <c r="F7" s="6">
        <f t="shared" si="0"/>
        <v>0.21425942422480518</v>
      </c>
      <c r="H7" s="4">
        <f t="shared" si="1"/>
        <v>76.56017970007133</v>
      </c>
      <c r="I7" s="4">
        <f t="shared" si="26"/>
        <v>0</v>
      </c>
      <c r="J7" s="267">
        <f t="shared" si="3"/>
        <v>244.99257504022827</v>
      </c>
      <c r="K7" s="267">
        <f t="shared" si="4"/>
        <v>0</v>
      </c>
      <c r="L7" s="4"/>
      <c r="M7" s="4">
        <f t="shared" si="5"/>
        <v>82.692556833734642</v>
      </c>
      <c r="N7" s="4">
        <f t="shared" si="5"/>
        <v>0</v>
      </c>
      <c r="O7" s="267">
        <f t="shared" si="6"/>
        <v>264.61618186795084</v>
      </c>
      <c r="P7" s="299">
        <f t="shared" si="7"/>
        <v>0</v>
      </c>
      <c r="Q7" s="4"/>
      <c r="R7" s="4">
        <f t="shared" si="8"/>
        <v>80.861866521649063</v>
      </c>
      <c r="S7" s="4">
        <f t="shared" si="8"/>
        <v>8.1961567948664875</v>
      </c>
      <c r="T7" s="267">
        <f t="shared" ref="T7:T10" si="27">$C7*R7</f>
        <v>258.75797286927701</v>
      </c>
      <c r="U7" s="299">
        <f t="shared" si="10"/>
        <v>22.293546482036849</v>
      </c>
      <c r="V7" s="4"/>
      <c r="W7" s="4">
        <f t="shared" si="11"/>
        <v>80.881711882258273</v>
      </c>
      <c r="X7" s="4">
        <f t="shared" si="11"/>
        <v>14.785448112356844</v>
      </c>
      <c r="Y7" s="267">
        <f t="shared" ref="Y7:Y10" si="28">$C7*W7</f>
        <v>258.82147802322646</v>
      </c>
      <c r="Z7" s="299">
        <f t="shared" si="13"/>
        <v>40.216418865610621</v>
      </c>
      <c r="AA7" s="4"/>
      <c r="AB7" s="4">
        <f t="shared" si="14"/>
        <v>70.768699457957879</v>
      </c>
      <c r="AC7" s="4">
        <f t="shared" si="14"/>
        <v>31.97724075258629</v>
      </c>
      <c r="AD7" s="267">
        <f t="shared" ref="AD7:AD10" si="29">$C7*AB7</f>
        <v>226.45983826546524</v>
      </c>
      <c r="AE7" s="299">
        <f t="shared" si="16"/>
        <v>86.978094847034711</v>
      </c>
      <c r="AF7" s="4"/>
      <c r="AG7" s="4">
        <f t="shared" si="17"/>
        <v>40.788724200720182</v>
      </c>
      <c r="AH7" s="4">
        <f t="shared" si="17"/>
        <v>69.098979267708984</v>
      </c>
      <c r="AI7" s="267">
        <f t="shared" ref="AI7:AI10" si="30">$C7*AG7</f>
        <v>130.52391744230459</v>
      </c>
      <c r="AJ7" s="299">
        <f t="shared" si="19"/>
        <v>187.94922360816844</v>
      </c>
      <c r="AK7" s="4"/>
      <c r="AL7" s="4">
        <f>$F7*AL$3</f>
        <v>30.513126704030011</v>
      </c>
      <c r="AM7" s="4">
        <f t="shared" si="20"/>
        <v>87.029081575994098</v>
      </c>
      <c r="AN7" s="267">
        <f t="shared" ref="AN7:AN10" si="31">$C7*AL7</f>
        <v>97.642005452896043</v>
      </c>
      <c r="AO7" s="299">
        <f t="shared" si="22"/>
        <v>236.71910188670395</v>
      </c>
      <c r="AP7" s="4"/>
      <c r="AQ7" s="4">
        <f t="shared" si="23"/>
        <v>17.524951681015175</v>
      </c>
      <c r="AR7" s="4">
        <f t="shared" si="23"/>
        <v>107.29193875774484</v>
      </c>
      <c r="AS7" s="267">
        <f t="shared" ref="AS7:AS10" si="32">$C7*AQ7</f>
        <v>56.07984537924856</v>
      </c>
      <c r="AT7" s="299">
        <f t="shared" si="25"/>
        <v>291.83407342106602</v>
      </c>
    </row>
    <row r="8" spans="1:46" x14ac:dyDescent="0.4">
      <c r="A8" s="6"/>
      <c r="B8">
        <v>3.5</v>
      </c>
      <c r="C8" s="1">
        <v>4.7</v>
      </c>
      <c r="D8" s="1">
        <f t="shared" si="2"/>
        <v>3.9950000000000001</v>
      </c>
      <c r="E8" s="4">
        <v>31154</v>
      </c>
      <c r="F8" s="6">
        <f t="shared" si="0"/>
        <v>8.3091071057081439E-2</v>
      </c>
      <c r="H8" s="4">
        <f t="shared" si="1"/>
        <v>29.690490183185481</v>
      </c>
      <c r="I8" s="4">
        <f t="shared" si="26"/>
        <v>0</v>
      </c>
      <c r="J8" s="267">
        <f t="shared" si="3"/>
        <v>139.54530386097176</v>
      </c>
      <c r="K8" s="267">
        <f t="shared" si="4"/>
        <v>0</v>
      </c>
      <c r="L8" s="4"/>
      <c r="M8" s="4">
        <f t="shared" si="5"/>
        <v>32.068662279958282</v>
      </c>
      <c r="N8" s="4">
        <f t="shared" si="5"/>
        <v>0</v>
      </c>
      <c r="O8" s="267">
        <f t="shared" si="6"/>
        <v>150.72271271580394</v>
      </c>
      <c r="P8" s="299">
        <f t="shared" si="7"/>
        <v>0</v>
      </c>
      <c r="Q8" s="4"/>
      <c r="R8" s="4">
        <f t="shared" si="8"/>
        <v>31.358709756957886</v>
      </c>
      <c r="S8" s="4">
        <f t="shared" si="8"/>
        <v>3.1785180469946792</v>
      </c>
      <c r="T8" s="267">
        <f t="shared" si="27"/>
        <v>147.38593585770207</v>
      </c>
      <c r="U8" s="299">
        <f t="shared" si="10"/>
        <v>12.698179597743744</v>
      </c>
      <c r="V8" s="4"/>
      <c r="W8" s="4">
        <f t="shared" si="11"/>
        <v>31.366405905094656</v>
      </c>
      <c r="X8" s="4">
        <f t="shared" si="11"/>
        <v>5.7338841647666632</v>
      </c>
      <c r="Y8" s="267">
        <f t="shared" si="28"/>
        <v>147.42210775394489</v>
      </c>
      <c r="Z8" s="299">
        <f t="shared" si="13"/>
        <v>22.906867238242821</v>
      </c>
      <c r="AA8" s="4"/>
      <c r="AB8" s="4">
        <f t="shared" si="14"/>
        <v>27.444519915766918</v>
      </c>
      <c r="AC8" s="4">
        <f t="shared" si="14"/>
        <v>12.40096295971909</v>
      </c>
      <c r="AD8" s="267">
        <f t="shared" si="29"/>
        <v>128.98924360410453</v>
      </c>
      <c r="AE8" s="299">
        <f t="shared" si="16"/>
        <v>49.541847024077768</v>
      </c>
      <c r="AF8" s="4"/>
      <c r="AG8" s="4">
        <f t="shared" si="17"/>
        <v>15.818108319630998</v>
      </c>
      <c r="AH8" s="4">
        <f t="shared" si="17"/>
        <v>26.796992557400426</v>
      </c>
      <c r="AI8" s="267">
        <f t="shared" si="30"/>
        <v>74.345109102265695</v>
      </c>
      <c r="AJ8" s="299">
        <f t="shared" si="19"/>
        <v>107.05398526681471</v>
      </c>
      <c r="AK8" s="4"/>
      <c r="AL8" s="4">
        <f t="shared" si="20"/>
        <v>11.833170878299983</v>
      </c>
      <c r="AM8" s="4">
        <f t="shared" si="20"/>
        <v>33.75039220527448</v>
      </c>
      <c r="AN8" s="267">
        <f t="shared" si="31"/>
        <v>55.615903128009919</v>
      </c>
      <c r="AO8" s="299">
        <f t="shared" si="22"/>
        <v>134.83281686007155</v>
      </c>
      <c r="AP8" s="4"/>
      <c r="AQ8" s="4">
        <f t="shared" si="23"/>
        <v>6.7962798400471369</v>
      </c>
      <c r="AR8" s="4">
        <f t="shared" si="23"/>
        <v>41.60844798041655</v>
      </c>
      <c r="AS8" s="267">
        <f t="shared" si="32"/>
        <v>31.942515248221543</v>
      </c>
      <c r="AT8" s="299">
        <f t="shared" si="25"/>
        <v>166.22574968176411</v>
      </c>
    </row>
    <row r="9" spans="1:46" x14ac:dyDescent="0.4">
      <c r="B9">
        <v>4</v>
      </c>
      <c r="C9" s="1">
        <v>6.3</v>
      </c>
      <c r="D9" s="1">
        <f t="shared" si="2"/>
        <v>5.3549999999999995</v>
      </c>
      <c r="E9" s="4">
        <v>34249</v>
      </c>
      <c r="F9" s="6">
        <f t="shared" si="0"/>
        <v>9.1345769167168966E-2</v>
      </c>
      <c r="H9" s="4">
        <f t="shared" si="1"/>
        <v>32.640097524681245</v>
      </c>
      <c r="I9" s="4">
        <f t="shared" si="26"/>
        <v>0</v>
      </c>
      <c r="J9" s="267">
        <f t="shared" si="3"/>
        <v>205.63261440549184</v>
      </c>
      <c r="K9" s="267">
        <f t="shared" si="4"/>
        <v>0</v>
      </c>
      <c r="L9" s="4"/>
      <c r="M9" s="4">
        <f t="shared" si="5"/>
        <v>35.254529576500325</v>
      </c>
      <c r="N9" s="4">
        <f t="shared" si="5"/>
        <v>0</v>
      </c>
      <c r="O9" s="267">
        <f t="shared" si="6"/>
        <v>222.10353633195203</v>
      </c>
      <c r="P9" s="299">
        <f t="shared" si="7"/>
        <v>0</v>
      </c>
      <c r="Q9" s="4"/>
      <c r="R9" s="4">
        <f t="shared" si="8"/>
        <v>34.474046686334034</v>
      </c>
      <c r="S9" s="4">
        <f t="shared" si="8"/>
        <v>3.4942885212659935</v>
      </c>
      <c r="T9" s="267">
        <f t="shared" si="27"/>
        <v>217.18649412390442</v>
      </c>
      <c r="U9" s="299">
        <f t="shared" si="10"/>
        <v>18.711915031379394</v>
      </c>
      <c r="V9" s="4"/>
      <c r="W9" s="4">
        <f t="shared" si="11"/>
        <v>34.482507409757552</v>
      </c>
      <c r="X9" s="4">
        <f t="shared" si="11"/>
        <v>6.3035179674871102</v>
      </c>
      <c r="Y9" s="267">
        <f t="shared" si="28"/>
        <v>217.23979668147257</v>
      </c>
      <c r="Z9" s="299">
        <f t="shared" si="13"/>
        <v>33.755338715893473</v>
      </c>
      <c r="AA9" s="4"/>
      <c r="AB9" s="4">
        <f t="shared" si="14"/>
        <v>30.171000917862909</v>
      </c>
      <c r="AC9" s="4">
        <f t="shared" si="14"/>
        <v>13.632938961527222</v>
      </c>
      <c r="AD9" s="267">
        <f t="shared" si="29"/>
        <v>190.07730578253631</v>
      </c>
      <c r="AE9" s="299">
        <f t="shared" si="16"/>
        <v>73.004388138978271</v>
      </c>
      <c r="AF9" s="4"/>
      <c r="AG9" s="4">
        <f t="shared" si="17"/>
        <v>17.389561271074083</v>
      </c>
      <c r="AH9" s="4">
        <f t="shared" si="17"/>
        <v>29.459144832073154</v>
      </c>
      <c r="AI9" s="267">
        <f t="shared" si="30"/>
        <v>109.55423600776672</v>
      </c>
      <c r="AJ9" s="299">
        <f t="shared" si="19"/>
        <v>157.75372057575171</v>
      </c>
      <c r="AK9" s="4"/>
      <c r="AL9" s="4">
        <f t="shared" si="20"/>
        <v>13.008739468796819</v>
      </c>
      <c r="AM9" s="4">
        <f t="shared" si="20"/>
        <v>37.103331278116634</v>
      </c>
      <c r="AN9" s="267">
        <f t="shared" si="31"/>
        <v>81.955058653419954</v>
      </c>
      <c r="AO9" s="299">
        <f t="shared" si="22"/>
        <v>198.68833899431456</v>
      </c>
      <c r="AP9" s="4"/>
      <c r="AQ9" s="4">
        <f t="shared" si="23"/>
        <v>7.471457541303665</v>
      </c>
      <c r="AR9" s="4">
        <f t="shared" si="23"/>
        <v>45.742047084845801</v>
      </c>
      <c r="AS9" s="267">
        <f t="shared" si="32"/>
        <v>47.070182510213087</v>
      </c>
      <c r="AT9" s="299">
        <f t="shared" si="25"/>
        <v>244.94866213934924</v>
      </c>
    </row>
    <row r="10" spans="1:46" x14ac:dyDescent="0.4">
      <c r="B10">
        <v>5</v>
      </c>
      <c r="C10" s="1">
        <v>7.7</v>
      </c>
      <c r="D10" s="1">
        <f t="shared" si="2"/>
        <v>6.5449999999999999</v>
      </c>
      <c r="E10" s="4">
        <v>19397</v>
      </c>
      <c r="F10" s="6">
        <f t="shared" si="0"/>
        <v>5.1733886669262652E-2</v>
      </c>
      <c r="H10" s="4">
        <f t="shared" si="1"/>
        <v>18.485794378996236</v>
      </c>
      <c r="I10" s="4">
        <f t="shared" si="26"/>
        <v>0</v>
      </c>
      <c r="J10" s="267">
        <f t="shared" si="3"/>
        <v>142.34061671827101</v>
      </c>
      <c r="K10" s="267">
        <f t="shared" si="4"/>
        <v>0</v>
      </c>
      <c r="L10" s="4"/>
      <c r="M10" s="4">
        <f t="shared" si="5"/>
        <v>19.966483990638469</v>
      </c>
      <c r="N10" s="4">
        <f t="shared" si="5"/>
        <v>0</v>
      </c>
      <c r="O10" s="267">
        <f t="shared" si="6"/>
        <v>153.74192672791622</v>
      </c>
      <c r="P10" s="299">
        <f t="shared" si="7"/>
        <v>0</v>
      </c>
      <c r="Q10" s="4"/>
      <c r="R10" s="4">
        <f t="shared" si="8"/>
        <v>19.524455708920591</v>
      </c>
      <c r="S10" s="4">
        <f t="shared" si="8"/>
        <v>1.9789983487692044</v>
      </c>
      <c r="T10" s="267">
        <f t="shared" si="27"/>
        <v>150.33830895868854</v>
      </c>
      <c r="U10" s="299">
        <f t="shared" si="10"/>
        <v>12.952544192694443</v>
      </c>
      <c r="V10" s="4"/>
      <c r="W10" s="4">
        <f t="shared" si="11"/>
        <v>19.529247459110259</v>
      </c>
      <c r="X10" s="4">
        <f t="shared" si="11"/>
        <v>3.5700119132046919</v>
      </c>
      <c r="Y10" s="267">
        <f t="shared" si="28"/>
        <v>150.37520543514898</v>
      </c>
      <c r="Z10" s="299">
        <f t="shared" si="13"/>
        <v>23.365727971924709</v>
      </c>
      <c r="AA10" s="4"/>
      <c r="AB10" s="4">
        <f t="shared" si="14"/>
        <v>17.087415831229727</v>
      </c>
      <c r="AC10" s="4">
        <f t="shared" si="14"/>
        <v>7.7210463673901</v>
      </c>
      <c r="AD10" s="267">
        <f t="shared" si="29"/>
        <v>131.57310190046891</v>
      </c>
      <c r="AE10" s="299">
        <f t="shared" si="16"/>
        <v>50.534248474568201</v>
      </c>
      <c r="AF10" s="4"/>
      <c r="AG10" s="4">
        <f t="shared" si="17"/>
        <v>9.8486180611119742</v>
      </c>
      <c r="AH10" s="4">
        <f t="shared" si="17"/>
        <v>16.684254498167043</v>
      </c>
      <c r="AI10" s="267">
        <f t="shared" si="30"/>
        <v>75.834359070562201</v>
      </c>
      <c r="AJ10" s="299">
        <f t="shared" si="19"/>
        <v>109.19844569050329</v>
      </c>
      <c r="AK10" s="4"/>
      <c r="AL10" s="4">
        <f t="shared" si="20"/>
        <v>7.367529547614585</v>
      </c>
      <c r="AM10" s="4">
        <f t="shared" si="20"/>
        <v>21.01355709076552</v>
      </c>
      <c r="AN10" s="267">
        <f t="shared" si="31"/>
        <v>56.729977516632303</v>
      </c>
      <c r="AO10" s="299">
        <f t="shared" si="22"/>
        <v>137.53373115906032</v>
      </c>
      <c r="AP10" s="4"/>
      <c r="AQ10" s="4">
        <f t="shared" si="23"/>
        <v>4.2314771797327566</v>
      </c>
      <c r="AR10" s="4">
        <f t="shared" si="23"/>
        <v>25.906113676450527</v>
      </c>
      <c r="AS10" s="267">
        <f t="shared" si="32"/>
        <v>32.582374283942229</v>
      </c>
      <c r="AT10" s="299">
        <f t="shared" si="25"/>
        <v>169.55551401236869</v>
      </c>
    </row>
    <row r="11" spans="1:46" s="287" customFormat="1" x14ac:dyDescent="0.4">
      <c r="C11" s="288"/>
      <c r="D11" s="288"/>
      <c r="E11" s="114"/>
      <c r="F11" s="289">
        <f>SUM(F4:F10)</f>
        <v>1</v>
      </c>
      <c r="G11" s="114"/>
      <c r="H11" s="114">
        <f>機器台数2!D63</f>
        <v>31.488845289292914</v>
      </c>
      <c r="I11" s="114">
        <f>機器台数2!D70</f>
        <v>0</v>
      </c>
      <c r="J11" s="114">
        <f>SUM(J12:J18)</f>
        <v>126.54358718339822</v>
      </c>
      <c r="K11" s="114">
        <f>SUM(K12:K18)</f>
        <v>0</v>
      </c>
      <c r="L11" s="114"/>
      <c r="M11" s="114">
        <f>機器台数2!F63</f>
        <v>34.011063439433187</v>
      </c>
      <c r="N11" s="114">
        <f>機器台数2!F70</f>
        <v>0</v>
      </c>
      <c r="O11" s="114">
        <f>SUM(O12:O18)</f>
        <v>136.67957437014817</v>
      </c>
      <c r="P11" s="300">
        <f>SUM(P12:P18)</f>
        <v>0</v>
      </c>
      <c r="Q11" s="114"/>
      <c r="R11" s="114">
        <f>機器台数2!H63</f>
        <v>33.258109041524243</v>
      </c>
      <c r="S11" s="114">
        <f>機器台数2!H70</f>
        <v>3.3710411115988701</v>
      </c>
      <c r="T11" s="114">
        <f>SUM(T12:T18)</f>
        <v>133.65369172435575</v>
      </c>
      <c r="U11" s="300">
        <f>SUM(U12:U18)</f>
        <v>11.515064660280169</v>
      </c>
      <c r="V11" s="114"/>
      <c r="W11" s="114">
        <f>機器台数2!J63</f>
        <v>33.266271345902048</v>
      </c>
      <c r="X11" s="114">
        <f>機器台数2!J70</f>
        <v>6.0811859372169002</v>
      </c>
      <c r="Y11" s="114">
        <f>SUM(Y12:Y18)</f>
        <v>133.68649341226018</v>
      </c>
      <c r="Z11" s="300">
        <f>SUM(Z12:Z18)</f>
        <v>20.772588336968223</v>
      </c>
      <c r="AA11" s="114"/>
      <c r="AB11" s="114">
        <f>機器台数2!L63</f>
        <v>29.106836442731417</v>
      </c>
      <c r="AC11" s="114">
        <f>機器台数2!L70</f>
        <v>13.152090169868345</v>
      </c>
      <c r="AD11" s="114">
        <f>SUM(AD12:AD18)</f>
        <v>116.97105629580247</v>
      </c>
      <c r="AE11" s="300">
        <f>SUM(AE12:AE18)</f>
        <v>44.925933475797471</v>
      </c>
      <c r="AF11" s="114"/>
      <c r="AG11" s="114">
        <f>機器台数2!N63</f>
        <v>16.776212267732163</v>
      </c>
      <c r="AH11" s="114">
        <f>機器台数2!N70</f>
        <v>28.420088306126576</v>
      </c>
      <c r="AI11" s="114">
        <f>SUM(AI12:AI18)</f>
        <v>67.418225730583146</v>
      </c>
      <c r="AJ11" s="300">
        <f>SUM(AJ12:AJ18)</f>
        <v>97.079550103944669</v>
      </c>
      <c r="AK11" s="114"/>
      <c r="AL11" s="114">
        <f>機器台数2!P63</f>
        <v>12.54990688161744</v>
      </c>
      <c r="AM11" s="114">
        <f>機器台数2!P70</f>
        <v>35.794655866164021</v>
      </c>
      <c r="AN11" s="114">
        <f>SUM(AN12:AN18)</f>
        <v>50.434057553627973</v>
      </c>
      <c r="AO11" s="300">
        <f>SUM(AO12:AO18)</f>
        <v>122.27017207626442</v>
      </c>
      <c r="AP11" s="114"/>
      <c r="AQ11" s="114">
        <f>機器台数2!R63</f>
        <v>7.2079309942542675</v>
      </c>
      <c r="AR11" s="114">
        <f>機器台数2!R70</f>
        <v>44.128674639562917</v>
      </c>
      <c r="AS11" s="114">
        <f>SUM(AS12:AS18)</f>
        <v>28.966366845261181</v>
      </c>
      <c r="AT11" s="300">
        <f>SUM(AT12:AT18)</f>
        <v>150.73816219524596</v>
      </c>
    </row>
    <row r="12" spans="1:46" x14ac:dyDescent="0.4">
      <c r="A12" t="s">
        <v>6</v>
      </c>
      <c r="B12">
        <v>1.5</v>
      </c>
      <c r="C12" s="1">
        <v>3</v>
      </c>
      <c r="D12" s="1">
        <f t="shared" si="2"/>
        <v>2.5499999999999998</v>
      </c>
      <c r="E12" s="4">
        <v>1882</v>
      </c>
      <c r="F12" s="6">
        <f>E12/A14</f>
        <v>5.6959535123028961E-2</v>
      </c>
      <c r="G12" s="4">
        <f>機器台数2!D63</f>
        <v>31.488845289292914</v>
      </c>
      <c r="H12" s="4">
        <f>F12*H$11</f>
        <v>1.7935899892391047</v>
      </c>
      <c r="I12" s="4">
        <f>$F12*I$11</f>
        <v>0</v>
      </c>
      <c r="J12" s="4">
        <f t="shared" ref="J12:J18" si="33">C12*H12</f>
        <v>5.3807699677173142</v>
      </c>
      <c r="K12" s="267">
        <f t="shared" si="4"/>
        <v>0</v>
      </c>
      <c r="L12" s="4">
        <f>機器台数2!I63</f>
        <v>5.1678887373465633E-2</v>
      </c>
      <c r="M12" s="4">
        <f>$F12*M$11</f>
        <v>1.9372543625499608</v>
      </c>
      <c r="N12" s="4">
        <f>$F12*N$11</f>
        <v>0</v>
      </c>
      <c r="O12" s="267">
        <f>$C12*M12</f>
        <v>5.811763087649882</v>
      </c>
      <c r="P12" s="299">
        <f>$D12*N12</f>
        <v>0</v>
      </c>
      <c r="Q12" s="4">
        <f>機器台数2!N63</f>
        <v>16.776212267732163</v>
      </c>
      <c r="R12" s="4">
        <f>$F12*R$11</f>
        <v>1.8943664300762271</v>
      </c>
      <c r="S12" s="4">
        <f>$F12*S$11</f>
        <v>0.19201293459729044</v>
      </c>
      <c r="T12" s="267">
        <f>$C12*R12</f>
        <v>5.6830992902286814</v>
      </c>
      <c r="U12" s="299">
        <f>$D12*S12</f>
        <v>0.48963298322309057</v>
      </c>
      <c r="V12" s="4">
        <f>機器台数2!S63</f>
        <v>5.1678887373465633E-2</v>
      </c>
      <c r="W12" s="4">
        <f>$F12*W$11</f>
        <v>1.8948313511391195</v>
      </c>
      <c r="X12" s="4">
        <f>$F12*X$11</f>
        <v>0.34638152398057581</v>
      </c>
      <c r="Y12" s="267">
        <f>$C12*W12</f>
        <v>5.6844940534173585</v>
      </c>
      <c r="Z12" s="299">
        <f>$D12*X12</f>
        <v>0.88327288615046828</v>
      </c>
      <c r="AA12" s="4">
        <f>機器台数2!X63</f>
        <v>0</v>
      </c>
      <c r="AB12" s="4">
        <f>$F12*AB$11</f>
        <v>1.6579118726800195</v>
      </c>
      <c r="AC12" s="4">
        <f>$F12*AC$11</f>
        <v>0.74913694197185987</v>
      </c>
      <c r="AD12" s="267">
        <f>$C12*AB12</f>
        <v>4.9737356180400587</v>
      </c>
      <c r="AE12" s="299">
        <f>$D12*AC12</f>
        <v>1.9102992020282425</v>
      </c>
      <c r="AF12" s="114">
        <f>SUM(AG12:AG18)</f>
        <v>16.776212267732163</v>
      </c>
      <c r="AG12" s="4">
        <f>$F12*AG$11</f>
        <v>0.95556525189527941</v>
      </c>
      <c r="AH12" s="4">
        <f>$F12*AH$11</f>
        <v>1.6187950180724013</v>
      </c>
      <c r="AI12" s="267">
        <f>$C12*AG12</f>
        <v>2.8666957556858383</v>
      </c>
      <c r="AJ12" s="299">
        <f>$D12*AH12</f>
        <v>4.1279272960846232</v>
      </c>
      <c r="AK12" s="114">
        <f>SUM(AL12:AL18)</f>
        <v>12.549906881617442</v>
      </c>
      <c r="AL12" s="4">
        <f>$F12*AL$11</f>
        <v>0.71483686181423145</v>
      </c>
      <c r="AM12" s="4">
        <f>$F12*AM$11</f>
        <v>2.0388469580255042</v>
      </c>
      <c r="AN12" s="267">
        <f>$C12*AL12</f>
        <v>2.1445105854426942</v>
      </c>
      <c r="AO12" s="299">
        <f>$D12*AM12</f>
        <v>5.1990597429650354</v>
      </c>
      <c r="AP12" s="4">
        <f>機器台数2!AM63</f>
        <v>0</v>
      </c>
      <c r="AQ12" s="4">
        <f>$F12*AQ$11</f>
        <v>0.41056039863159499</v>
      </c>
      <c r="AR12" s="4">
        <f>$F12*AR$11</f>
        <v>2.5135487930649014</v>
      </c>
      <c r="AS12" s="267">
        <f>$C12*AQ12</f>
        <v>1.2316811958947849</v>
      </c>
      <c r="AT12" s="299">
        <f>$D12*AR12</f>
        <v>6.4095494223154983</v>
      </c>
    </row>
    <row r="13" spans="1:46" x14ac:dyDescent="0.4">
      <c r="A13" t="s">
        <v>5</v>
      </c>
      <c r="B13">
        <v>2</v>
      </c>
      <c r="C13" s="1">
        <v>3.3</v>
      </c>
      <c r="D13" s="1">
        <f t="shared" si="2"/>
        <v>2.8049999999999997</v>
      </c>
      <c r="E13" s="4">
        <v>7623</v>
      </c>
      <c r="F13" s="6">
        <f>E13/$A$14</f>
        <v>0.23071335613328894</v>
      </c>
      <c r="H13" s="4">
        <f t="shared" ref="H13:H18" si="34">F13*H$11</f>
        <v>7.2648971774546744</v>
      </c>
      <c r="I13" s="4">
        <f t="shared" ref="I13:I20" si="35">$F13*I$11</f>
        <v>0</v>
      </c>
      <c r="J13" s="267">
        <f t="shared" si="33"/>
        <v>23.974160685600424</v>
      </c>
      <c r="K13" s="267">
        <f t="shared" si="4"/>
        <v>0</v>
      </c>
      <c r="L13" s="4"/>
      <c r="M13" s="4">
        <f t="shared" ref="M13:M18" si="36">$F13*M$11</f>
        <v>7.8468065917738317</v>
      </c>
      <c r="N13" s="4">
        <f t="shared" ref="N13:N18" si="37">$F13*N$11</f>
        <v>0</v>
      </c>
      <c r="O13" s="267">
        <f t="shared" ref="O13:O18" si="38">$C13*M13</f>
        <v>25.894461752853644</v>
      </c>
      <c r="P13" s="299">
        <f t="shared" ref="P13:P18" si="39">$D13*N13</f>
        <v>0</v>
      </c>
      <c r="Q13" s="4"/>
      <c r="R13" s="4">
        <f t="shared" ref="R13:R18" si="40">$F13*R$11</f>
        <v>7.6730899556169394</v>
      </c>
      <c r="S13" s="4">
        <f t="shared" ref="S13:S18" si="41">$F13*S$11</f>
        <v>0.77774420852026838</v>
      </c>
      <c r="T13" s="267">
        <f t="shared" ref="T13:T18" si="42">$C13*R13</f>
        <v>25.321196853535898</v>
      </c>
      <c r="U13" s="299">
        <f t="shared" ref="U13:U18" si="43">$D13*S13</f>
        <v>2.1815725048993526</v>
      </c>
      <c r="V13" s="4"/>
      <c r="W13" s="4">
        <f t="shared" ref="W13:W18" si="44">$F13*W$11</f>
        <v>7.6749731082537247</v>
      </c>
      <c r="X13" s="4">
        <f t="shared" ref="X13:X18" si="45">$F13*X$11</f>
        <v>1.4030108168458713</v>
      </c>
      <c r="Y13" s="267">
        <f t="shared" ref="Y13:Y18" si="46">$C13*W13</f>
        <v>25.327411257237291</v>
      </c>
      <c r="Z13" s="299">
        <f t="shared" ref="Z13:Z18" si="47">$D13*X13</f>
        <v>3.9354453412526684</v>
      </c>
      <c r="AA13" s="4"/>
      <c r="AB13" s="4">
        <f t="shared" ref="AB13:AB18" si="48">$F13*AB$11</f>
        <v>6.7153359221252868</v>
      </c>
      <c r="AC13" s="4">
        <f t="shared" ref="AC13:AC18" si="49">$F13*AC$11</f>
        <v>3.034362863257964</v>
      </c>
      <c r="AD13" s="267">
        <f t="shared" ref="AD13:AD18" si="50">$C13*AB13</f>
        <v>22.160608543013446</v>
      </c>
      <c r="AE13" s="299">
        <f t="shared" ref="AE13:AE18" si="51">$D13*AC13</f>
        <v>8.5113878314385882</v>
      </c>
      <c r="AF13" s="4"/>
      <c r="AG13" s="4">
        <f t="shared" ref="AG13:AG18" si="52">$F13*AG$11</f>
        <v>3.8704962354929413</v>
      </c>
      <c r="AH13" s="4">
        <f t="shared" ref="AH13:AH18" si="53">$F13*AH$11</f>
        <v>6.5568939547109011</v>
      </c>
      <c r="AI13" s="267">
        <f t="shared" ref="AI13:AI18" si="54">$C13*AG13</f>
        <v>12.772637577126705</v>
      </c>
      <c r="AJ13" s="299">
        <f t="shared" ref="AJ13:AJ18" si="55">$D13*AH13</f>
        <v>18.392087542964077</v>
      </c>
      <c r="AK13" s="4"/>
      <c r="AL13" s="4">
        <f t="shared" ref="AL13:AL18" si="56">$F13*AL$11</f>
        <v>2.8954311358182183</v>
      </c>
      <c r="AM13" s="4">
        <f t="shared" ref="AM13:AM18" si="57">$F13*AM$11</f>
        <v>8.25830518651882</v>
      </c>
      <c r="AN13" s="267">
        <f t="shared" ref="AN13:AN18" si="58">$C13*AL13</f>
        <v>9.55492274820012</v>
      </c>
      <c r="AO13" s="299">
        <f t="shared" ref="AO13:AO18" si="59">$D13*AM13</f>
        <v>23.164546048185287</v>
      </c>
      <c r="AP13" s="4"/>
      <c r="AQ13" s="4">
        <f t="shared" ref="AQ13:AQ18" si="60">$F13*AQ$11</f>
        <v>1.6629659504615564</v>
      </c>
      <c r="AR13" s="4">
        <f t="shared" ref="AR13:AR18" si="61">$F13*AR$11</f>
        <v>10.181074627807515</v>
      </c>
      <c r="AS13" s="267">
        <f t="shared" ref="AS13:AS18" si="62">$C13*AQ13</f>
        <v>5.4877876365231355</v>
      </c>
      <c r="AT13" s="299">
        <f t="shared" ref="AT13:AT18" si="63">$D13*AR13</f>
        <v>28.557914331000077</v>
      </c>
    </row>
    <row r="14" spans="1:46" x14ac:dyDescent="0.4">
      <c r="A14" s="5">
        <f>SUM(E12:E18)</f>
        <v>33041</v>
      </c>
      <c r="B14">
        <v>2.5</v>
      </c>
      <c r="C14" s="1">
        <v>3.4</v>
      </c>
      <c r="D14" s="1">
        <f t="shared" si="2"/>
        <v>2.8899999999999997</v>
      </c>
      <c r="E14" s="4">
        <v>7511</v>
      </c>
      <c r="F14" s="6">
        <f t="shared" ref="F14:F18" si="64">E14/$A$14</f>
        <v>0.22732362821948487</v>
      </c>
      <c r="H14" s="4">
        <f t="shared" si="34"/>
        <v>7.1581585596041002</v>
      </c>
      <c r="I14" s="4">
        <f t="shared" si="35"/>
        <v>0</v>
      </c>
      <c r="J14" s="267">
        <f t="shared" si="33"/>
        <v>24.337739102653941</v>
      </c>
      <c r="K14" s="267">
        <f t="shared" si="4"/>
        <v>0</v>
      </c>
      <c r="L14" s="4"/>
      <c r="M14" s="4">
        <f t="shared" si="36"/>
        <v>7.7315183406550245</v>
      </c>
      <c r="N14" s="4">
        <f t="shared" si="37"/>
        <v>0</v>
      </c>
      <c r="O14" s="267">
        <f t="shared" si="38"/>
        <v>26.287162358227082</v>
      </c>
      <c r="P14" s="299">
        <f t="shared" si="39"/>
        <v>0</v>
      </c>
      <c r="Q14" s="4"/>
      <c r="R14" s="4">
        <f t="shared" si="40"/>
        <v>7.5603540150385458</v>
      </c>
      <c r="S14" s="4">
        <f t="shared" si="41"/>
        <v>0.76631729636570056</v>
      </c>
      <c r="T14" s="267">
        <f t="shared" si="42"/>
        <v>25.705203651131054</v>
      </c>
      <c r="U14" s="299">
        <f t="shared" si="43"/>
        <v>2.2146569864968746</v>
      </c>
      <c r="V14" s="4"/>
      <c r="W14" s="4">
        <f t="shared" si="44"/>
        <v>7.5622094996843403</v>
      </c>
      <c r="X14" s="4">
        <f t="shared" si="45"/>
        <v>1.3823972511254543</v>
      </c>
      <c r="Y14" s="267">
        <f t="shared" si="46"/>
        <v>25.711512298926756</v>
      </c>
      <c r="Z14" s="299">
        <f t="shared" si="47"/>
        <v>3.9951280557525624</v>
      </c>
      <c r="AA14" s="4"/>
      <c r="AB14" s="4">
        <f t="shared" si="48"/>
        <v>6.61667166615283</v>
      </c>
      <c r="AC14" s="4">
        <f t="shared" si="49"/>
        <v>2.9897808560842933</v>
      </c>
      <c r="AD14" s="267">
        <f t="shared" si="50"/>
        <v>22.496683664919622</v>
      </c>
      <c r="AE14" s="299">
        <f t="shared" si="51"/>
        <v>8.6404666740836067</v>
      </c>
      <c r="AF14" s="4"/>
      <c r="AG14" s="4">
        <f t="shared" si="52"/>
        <v>3.8136294404811073</v>
      </c>
      <c r="AH14" s="4">
        <f t="shared" si="53"/>
        <v>6.4605575880668473</v>
      </c>
      <c r="AI14" s="267">
        <f t="shared" si="54"/>
        <v>12.966340097635765</v>
      </c>
      <c r="AJ14" s="299">
        <f t="shared" si="55"/>
        <v>18.671011429513186</v>
      </c>
      <c r="AK14" s="4"/>
      <c r="AL14" s="4">
        <f t="shared" si="56"/>
        <v>2.8528903661459579</v>
      </c>
      <c r="AM14" s="4">
        <f t="shared" si="57"/>
        <v>8.1369710423642729</v>
      </c>
      <c r="AN14" s="267">
        <f t="shared" si="58"/>
        <v>9.699827244896257</v>
      </c>
      <c r="AO14" s="299">
        <f t="shared" si="59"/>
        <v>23.515846312432746</v>
      </c>
      <c r="AP14" s="4"/>
      <c r="AQ14" s="4">
        <f t="shared" si="60"/>
        <v>1.6385330255695592</v>
      </c>
      <c r="AR14" s="4">
        <f t="shared" si="61"/>
        <v>10.031490427582611</v>
      </c>
      <c r="AS14" s="267">
        <f t="shared" si="62"/>
        <v>5.5710122869365009</v>
      </c>
      <c r="AT14" s="299">
        <f t="shared" si="63"/>
        <v>28.991007335713743</v>
      </c>
    </row>
    <row r="15" spans="1:46" x14ac:dyDescent="0.4">
      <c r="A15" s="6">
        <f>A14/$E$51</f>
        <v>5.1678887373465633E-2</v>
      </c>
      <c r="B15">
        <v>3</v>
      </c>
      <c r="C15" s="1">
        <v>3.2</v>
      </c>
      <c r="D15" s="1">
        <f t="shared" si="2"/>
        <v>2.72</v>
      </c>
      <c r="E15" s="4">
        <v>7402</v>
      </c>
      <c r="F15" s="6">
        <f t="shared" si="64"/>
        <v>0.22402469658908628</v>
      </c>
      <c r="H15" s="4">
        <f t="shared" si="34"/>
        <v>7.0542790118745238</v>
      </c>
      <c r="I15" s="4">
        <f t="shared" si="35"/>
        <v>0</v>
      </c>
      <c r="J15" s="267">
        <f t="shared" si="33"/>
        <v>22.573692837998479</v>
      </c>
      <c r="K15" s="267">
        <f t="shared" si="4"/>
        <v>0</v>
      </c>
      <c r="L15" s="4"/>
      <c r="M15" s="4">
        <f t="shared" si="36"/>
        <v>7.6193181676911852</v>
      </c>
      <c r="N15" s="4">
        <f t="shared" si="37"/>
        <v>0</v>
      </c>
      <c r="O15" s="267">
        <f t="shared" si="38"/>
        <v>24.381818136611795</v>
      </c>
      <c r="P15" s="299">
        <f t="shared" si="39"/>
        <v>0</v>
      </c>
      <c r="Q15" s="4"/>
      <c r="R15" s="4">
        <f t="shared" si="40"/>
        <v>7.4506377871542151</v>
      </c>
      <c r="S15" s="4">
        <f t="shared" si="41"/>
        <v>0.75519646221527303</v>
      </c>
      <c r="T15" s="267">
        <f t="shared" si="42"/>
        <v>23.842040918893488</v>
      </c>
      <c r="U15" s="299">
        <f t="shared" si="43"/>
        <v>2.0541343772255427</v>
      </c>
      <c r="V15" s="4"/>
      <c r="W15" s="4">
        <f t="shared" si="44"/>
        <v>7.452466344915921</v>
      </c>
      <c r="X15" s="4">
        <f t="shared" si="45"/>
        <v>1.3623358344868344</v>
      </c>
      <c r="Y15" s="267">
        <f t="shared" si="46"/>
        <v>23.847892303730948</v>
      </c>
      <c r="Z15" s="299">
        <f t="shared" si="47"/>
        <v>3.7055534698041899</v>
      </c>
      <c r="AA15" s="4"/>
      <c r="AB15" s="4">
        <f t="shared" si="48"/>
        <v>6.5206502027510647</v>
      </c>
      <c r="AC15" s="4">
        <f t="shared" si="49"/>
        <v>2.9463930098170601</v>
      </c>
      <c r="AD15" s="267">
        <f t="shared" si="50"/>
        <v>20.866080648803408</v>
      </c>
      <c r="AE15" s="299">
        <f t="shared" si="51"/>
        <v>8.0141889867024041</v>
      </c>
      <c r="AF15" s="4"/>
      <c r="AG15" s="4">
        <f t="shared" si="52"/>
        <v>3.7582858631928047</v>
      </c>
      <c r="AH15" s="4">
        <f t="shared" si="53"/>
        <v>6.366801659815045</v>
      </c>
      <c r="AI15" s="267">
        <f t="shared" si="54"/>
        <v>12.026514762216976</v>
      </c>
      <c r="AJ15" s="299">
        <f t="shared" si="55"/>
        <v>17.317700514696924</v>
      </c>
      <c r="AK15" s="4"/>
      <c r="AL15" s="4">
        <f t="shared" si="56"/>
        <v>2.8114890813756328</v>
      </c>
      <c r="AM15" s="4">
        <f t="shared" si="57"/>
        <v>8.0188869199281516</v>
      </c>
      <c r="AN15" s="267">
        <f t="shared" si="58"/>
        <v>8.9967650604020246</v>
      </c>
      <c r="AO15" s="299">
        <f t="shared" si="59"/>
        <v>21.811372422204574</v>
      </c>
      <c r="AP15" s="4"/>
      <c r="AQ15" s="4">
        <f t="shared" si="60"/>
        <v>1.6147545540228831</v>
      </c>
      <c r="AR15" s="4">
        <f t="shared" si="61"/>
        <v>9.8859129470065881</v>
      </c>
      <c r="AS15" s="267">
        <f t="shared" si="62"/>
        <v>5.1672145728732266</v>
      </c>
      <c r="AT15" s="299">
        <f t="shared" si="63"/>
        <v>26.889683215857922</v>
      </c>
    </row>
    <row r="16" spans="1:46" x14ac:dyDescent="0.4">
      <c r="B16">
        <v>3.5</v>
      </c>
      <c r="C16" s="1">
        <v>4.7</v>
      </c>
      <c r="D16" s="1">
        <f t="shared" si="2"/>
        <v>3.9950000000000001</v>
      </c>
      <c r="E16" s="4">
        <v>3241</v>
      </c>
      <c r="F16" s="6">
        <f t="shared" si="64"/>
        <v>9.8090251505705037E-2</v>
      </c>
      <c r="H16" s="4">
        <f t="shared" si="34"/>
        <v>3.088748754050977</v>
      </c>
      <c r="I16" s="4">
        <f t="shared" si="35"/>
        <v>0</v>
      </c>
      <c r="J16" s="267">
        <f t="shared" si="33"/>
        <v>14.517119144039592</v>
      </c>
      <c r="K16" s="267">
        <f t="shared" si="4"/>
        <v>0</v>
      </c>
      <c r="L16" s="4"/>
      <c r="M16" s="4">
        <f t="shared" si="36"/>
        <v>3.3361537667504906</v>
      </c>
      <c r="N16" s="4">
        <f t="shared" si="37"/>
        <v>0</v>
      </c>
      <c r="O16" s="267">
        <f t="shared" si="38"/>
        <v>15.679922703727307</v>
      </c>
      <c r="P16" s="299">
        <f t="shared" si="39"/>
        <v>0</v>
      </c>
      <c r="Q16" s="4"/>
      <c r="R16" s="4">
        <f t="shared" si="40"/>
        <v>3.2622962804872757</v>
      </c>
      <c r="S16" s="4">
        <f t="shared" si="41"/>
        <v>0.33066627047280467</v>
      </c>
      <c r="T16" s="267">
        <f t="shared" si="42"/>
        <v>15.332792518290196</v>
      </c>
      <c r="U16" s="299">
        <f t="shared" si="43"/>
        <v>1.3210117505388548</v>
      </c>
      <c r="V16" s="4"/>
      <c r="W16" s="4">
        <f t="shared" si="44"/>
        <v>3.2630969229765605</v>
      </c>
      <c r="X16" s="4">
        <f t="shared" si="45"/>
        <v>0.59650505803456233</v>
      </c>
      <c r="Y16" s="267">
        <f t="shared" si="46"/>
        <v>15.336555537989835</v>
      </c>
      <c r="Z16" s="299">
        <f t="shared" si="47"/>
        <v>2.3830377068480764</v>
      </c>
      <c r="AA16" s="4"/>
      <c r="AB16" s="4">
        <f t="shared" si="48"/>
        <v>2.8550969072029457</v>
      </c>
      <c r="AC16" s="4">
        <f t="shared" si="49"/>
        <v>1.2900918325880968</v>
      </c>
      <c r="AD16" s="267">
        <f t="shared" si="50"/>
        <v>13.418955463853845</v>
      </c>
      <c r="AE16" s="299">
        <f t="shared" si="51"/>
        <v>5.1539168711894465</v>
      </c>
      <c r="AF16" s="4"/>
      <c r="AG16" s="4">
        <f t="shared" si="52"/>
        <v>1.6455828806549422</v>
      </c>
      <c r="AH16" s="4">
        <f t="shared" si="53"/>
        <v>2.7877336097623027</v>
      </c>
      <c r="AI16" s="267">
        <f t="shared" si="54"/>
        <v>7.7342395390782288</v>
      </c>
      <c r="AJ16" s="299">
        <f t="shared" si="55"/>
        <v>11.1369957710004</v>
      </c>
      <c r="AK16" s="4"/>
      <c r="AL16" s="4">
        <f t="shared" si="56"/>
        <v>1.2310235223910331</v>
      </c>
      <c r="AM16" s="4">
        <f t="shared" si="57"/>
        <v>3.5111067964721889</v>
      </c>
      <c r="AN16" s="267">
        <f t="shared" si="58"/>
        <v>5.7858105552378554</v>
      </c>
      <c r="AO16" s="299">
        <f t="shared" si="59"/>
        <v>14.026871651906395</v>
      </c>
      <c r="AP16" s="4"/>
      <c r="AQ16" s="4">
        <f t="shared" si="60"/>
        <v>0.70702776406216772</v>
      </c>
      <c r="AR16" s="4">
        <f t="shared" si="61"/>
        <v>4.3285927940081539</v>
      </c>
      <c r="AS16" s="267">
        <f t="shared" si="62"/>
        <v>3.3230304910921884</v>
      </c>
      <c r="AT16" s="299">
        <f t="shared" si="63"/>
        <v>17.292728212062574</v>
      </c>
    </row>
    <row r="17" spans="1:46" x14ac:dyDescent="0.4">
      <c r="B17">
        <v>4</v>
      </c>
      <c r="C17" s="1">
        <v>6.3</v>
      </c>
      <c r="D17" s="1">
        <f t="shared" si="2"/>
        <v>5.3549999999999995</v>
      </c>
      <c r="E17" s="4">
        <v>2799</v>
      </c>
      <c r="F17" s="6">
        <f t="shared" si="64"/>
        <v>8.4712932417299713E-2</v>
      </c>
      <c r="H17" s="4">
        <f t="shared" si="34"/>
        <v>2.667512422890677</v>
      </c>
      <c r="I17" s="4">
        <f t="shared" si="35"/>
        <v>0</v>
      </c>
      <c r="J17" s="267">
        <f t="shared" si="33"/>
        <v>16.805328264211266</v>
      </c>
      <c r="K17" s="267">
        <f t="shared" si="4"/>
        <v>0</v>
      </c>
      <c r="L17" s="4"/>
      <c r="M17" s="4">
        <f t="shared" si="36"/>
        <v>2.8811769185851968</v>
      </c>
      <c r="N17" s="4">
        <f t="shared" si="37"/>
        <v>0</v>
      </c>
      <c r="O17" s="267">
        <f t="shared" si="38"/>
        <v>18.151414587086737</v>
      </c>
      <c r="P17" s="299">
        <f t="shared" si="39"/>
        <v>0</v>
      </c>
      <c r="Q17" s="4"/>
      <c r="R17" s="4">
        <f t="shared" si="40"/>
        <v>2.8173919435618275</v>
      </c>
      <c r="S17" s="4">
        <f t="shared" si="41"/>
        <v>0.28557077786281398</v>
      </c>
      <c r="T17" s="267">
        <f t="shared" si="42"/>
        <v>17.749569244439513</v>
      </c>
      <c r="U17" s="299">
        <f t="shared" si="43"/>
        <v>1.5292315154553688</v>
      </c>
      <c r="V17" s="4"/>
      <c r="W17" s="4">
        <f t="shared" si="44"/>
        <v>2.8180833963009544</v>
      </c>
      <c r="X17" s="4">
        <f t="shared" si="45"/>
        <v>0.51515509331648868</v>
      </c>
      <c r="Y17" s="267">
        <f t="shared" si="46"/>
        <v>17.753925396696012</v>
      </c>
      <c r="Z17" s="299">
        <f t="shared" si="47"/>
        <v>2.7586555247097966</v>
      </c>
      <c r="AA17" s="4"/>
      <c r="AB17" s="4">
        <f t="shared" si="48"/>
        <v>2.4657254684545031</v>
      </c>
      <c r="AC17" s="4">
        <f t="shared" si="49"/>
        <v>1.114152125706289</v>
      </c>
      <c r="AD17" s="267">
        <f t="shared" si="50"/>
        <v>15.53407045126337</v>
      </c>
      <c r="AE17" s="299">
        <f t="shared" si="51"/>
        <v>5.9662846331571773</v>
      </c>
      <c r="AF17" s="4"/>
      <c r="AG17" s="4">
        <f t="shared" si="52"/>
        <v>1.4211621360546691</v>
      </c>
      <c r="AH17" s="4">
        <f t="shared" si="53"/>
        <v>2.4075490199705905</v>
      </c>
      <c r="AI17" s="267">
        <f t="shared" si="54"/>
        <v>8.9533214571444155</v>
      </c>
      <c r="AJ17" s="299">
        <f t="shared" si="55"/>
        <v>12.892425001942511</v>
      </c>
      <c r="AK17" s="4"/>
      <c r="AL17" s="4">
        <f t="shared" si="56"/>
        <v>1.0631394135058627</v>
      </c>
      <c r="AM17" s="4">
        <f t="shared" si="57"/>
        <v>3.0322702632908536</v>
      </c>
      <c r="AN17" s="267">
        <f t="shared" si="58"/>
        <v>6.6977783050869348</v>
      </c>
      <c r="AO17" s="299">
        <f t="shared" si="59"/>
        <v>16.237807259922519</v>
      </c>
      <c r="AP17" s="4"/>
      <c r="AQ17" s="4">
        <f t="shared" si="60"/>
        <v>0.61060497118482171</v>
      </c>
      <c r="AR17" s="4">
        <f t="shared" si="61"/>
        <v>3.7382694324063013</v>
      </c>
      <c r="AS17" s="267">
        <f t="shared" si="62"/>
        <v>3.8468113184643768</v>
      </c>
      <c r="AT17" s="299">
        <f t="shared" si="63"/>
        <v>20.018432810535742</v>
      </c>
    </row>
    <row r="18" spans="1:46" x14ac:dyDescent="0.4">
      <c r="B18">
        <v>5</v>
      </c>
      <c r="C18" s="1">
        <v>7.7</v>
      </c>
      <c r="D18" s="1">
        <f t="shared" si="2"/>
        <v>6.5449999999999999</v>
      </c>
      <c r="E18" s="4">
        <v>2583</v>
      </c>
      <c r="F18" s="6">
        <f t="shared" si="64"/>
        <v>7.8175600012106175E-2</v>
      </c>
      <c r="H18" s="4">
        <f t="shared" si="34"/>
        <v>2.4616593741788568</v>
      </c>
      <c r="I18" s="4">
        <f t="shared" si="35"/>
        <v>0</v>
      </c>
      <c r="J18" s="267">
        <f t="shared" si="33"/>
        <v>18.954777181177199</v>
      </c>
      <c r="K18" s="267">
        <f t="shared" si="4"/>
        <v>0</v>
      </c>
      <c r="L18" s="4"/>
      <c r="M18" s="4">
        <f t="shared" si="36"/>
        <v>2.6588352914274971</v>
      </c>
      <c r="N18" s="4">
        <f t="shared" si="37"/>
        <v>0</v>
      </c>
      <c r="O18" s="267">
        <f t="shared" si="38"/>
        <v>20.473031743991729</v>
      </c>
      <c r="P18" s="299">
        <f t="shared" si="39"/>
        <v>0</v>
      </c>
      <c r="Q18" s="4"/>
      <c r="R18" s="4">
        <f t="shared" si="40"/>
        <v>2.5999726295892112</v>
      </c>
      <c r="S18" s="4">
        <f t="shared" si="41"/>
        <v>0.26353316156471907</v>
      </c>
      <c r="T18" s="267">
        <f t="shared" si="42"/>
        <v>20.019789247836925</v>
      </c>
      <c r="U18" s="299">
        <f t="shared" si="43"/>
        <v>1.7248245424410862</v>
      </c>
      <c r="V18" s="4"/>
      <c r="W18" s="4">
        <f t="shared" si="44"/>
        <v>2.6006107226314272</v>
      </c>
      <c r="X18" s="4">
        <f t="shared" si="45"/>
        <v>0.47540035942711339</v>
      </c>
      <c r="Y18" s="267">
        <f t="shared" si="46"/>
        <v>20.02470256426199</v>
      </c>
      <c r="Z18" s="299">
        <f t="shared" si="47"/>
        <v>3.1114953524504569</v>
      </c>
      <c r="AA18" s="4"/>
      <c r="AB18" s="4">
        <f t="shared" si="48"/>
        <v>2.2754444033647667</v>
      </c>
      <c r="AC18" s="4">
        <f t="shared" si="49"/>
        <v>1.0281725404427813</v>
      </c>
      <c r="AD18" s="267">
        <f t="shared" si="50"/>
        <v>17.520921905908704</v>
      </c>
      <c r="AE18" s="299">
        <f t="shared" si="51"/>
        <v>6.7293892771980035</v>
      </c>
      <c r="AF18" s="4"/>
      <c r="AG18" s="4">
        <f t="shared" si="52"/>
        <v>1.3114904599604182</v>
      </c>
      <c r="AH18" s="4">
        <f t="shared" si="53"/>
        <v>2.2217574557284872</v>
      </c>
      <c r="AI18" s="267">
        <f t="shared" si="54"/>
        <v>10.09847654169522</v>
      </c>
      <c r="AJ18" s="299">
        <f t="shared" si="55"/>
        <v>14.541402547742948</v>
      </c>
      <c r="AK18" s="4"/>
      <c r="AL18" s="4">
        <f t="shared" si="56"/>
        <v>0.98109650056650377</v>
      </c>
      <c r="AM18" s="4">
        <f t="shared" si="57"/>
        <v>2.7982686995642285</v>
      </c>
      <c r="AN18" s="267">
        <f t="shared" si="58"/>
        <v>7.5544430543620793</v>
      </c>
      <c r="AO18" s="299">
        <f t="shared" si="59"/>
        <v>18.314668638647877</v>
      </c>
      <c r="AP18" s="4"/>
      <c r="AQ18" s="4">
        <f t="shared" si="60"/>
        <v>0.56348433032168443</v>
      </c>
      <c r="AR18" s="4">
        <f t="shared" si="61"/>
        <v>3.4497856176868442</v>
      </c>
      <c r="AS18" s="267">
        <f t="shared" si="62"/>
        <v>4.33882934347697</v>
      </c>
      <c r="AT18" s="299">
        <f t="shared" si="63"/>
        <v>22.578846867760394</v>
      </c>
    </row>
    <row r="19" spans="1:46" s="287" customFormat="1" x14ac:dyDescent="0.4">
      <c r="C19" s="288"/>
      <c r="D19" s="288"/>
      <c r="E19" s="114"/>
      <c r="F19" s="289"/>
      <c r="G19" s="114"/>
      <c r="H19" s="114">
        <f>機器台数2!D64</f>
        <v>101.95539353814489</v>
      </c>
      <c r="I19" s="114">
        <f>機器台数2!D71</f>
        <v>0</v>
      </c>
      <c r="J19" s="114">
        <f>SUM(J20:J23)</f>
        <v>325.59567049606483</v>
      </c>
      <c r="K19" s="114">
        <f>SUM(K20:K26)</f>
        <v>0</v>
      </c>
      <c r="L19" s="114"/>
      <c r="M19" s="114">
        <f>機器台数2!F64</f>
        <v>110.12189636554591</v>
      </c>
      <c r="N19" s="114">
        <f>機器台数2!I71</f>
        <v>0.16732723132171323</v>
      </c>
      <c r="O19" s="114">
        <f>SUM(O20:O23)</f>
        <v>221.94532379447921</v>
      </c>
      <c r="P19" s="300">
        <f>SUM(P20:P23)</f>
        <v>0</v>
      </c>
      <c r="Q19" s="114"/>
      <c r="R19" s="114">
        <f>機器台数2!H64</f>
        <v>107.68396124122469</v>
      </c>
      <c r="S19" s="114">
        <f>機器台数2!H71</f>
        <v>10.914843653641194</v>
      </c>
      <c r="T19" s="114">
        <f>SUM(T20:T23)</f>
        <v>217.03178417687869</v>
      </c>
      <c r="U19" s="300">
        <f>SUM(U20:U23)</f>
        <v>3.3755944008803875</v>
      </c>
      <c r="V19" s="114"/>
      <c r="W19" s="114">
        <f>機器台数2!J64</f>
        <v>107.71038936036885</v>
      </c>
      <c r="X19" s="114">
        <f>機器台数2!J71</f>
        <v>19.68982030657066</v>
      </c>
      <c r="Y19" s="114">
        <f>SUM(Y20:Y23)</f>
        <v>1307.8448104895926</v>
      </c>
      <c r="Z19" s="300">
        <f>SUM(Z20:Z23)</f>
        <v>53.447709030973563</v>
      </c>
      <c r="AA19" s="114"/>
      <c r="AB19" s="114">
        <f>機器台数2!L64</f>
        <v>94.242864001690322</v>
      </c>
      <c r="AC19" s="114">
        <f>機器台数2!L71</f>
        <v>42.584175977200609</v>
      </c>
      <c r="AD19" s="114">
        <f>SUM(AD20:AD23)</f>
        <v>300.96562260455119</v>
      </c>
      <c r="AE19" s="300">
        <f>SUM(AE20:AE23)</f>
        <v>115.59407914929844</v>
      </c>
      <c r="AF19" s="114"/>
      <c r="AG19" s="114">
        <f>機器台数2!N64</f>
        <v>54.318451760366045</v>
      </c>
      <c r="AH19" s="114">
        <f>機器台数2!N71</f>
        <v>92.019293213816994</v>
      </c>
      <c r="AI19" s="114">
        <f>SUM(AI20:AI23)</f>
        <v>173.46657305194623</v>
      </c>
      <c r="AJ19" s="300">
        <f>SUM(AJ20:AJ23)</f>
        <v>249.78493111421025</v>
      </c>
      <c r="AK19" s="114"/>
      <c r="AL19" s="114">
        <f>機器台数2!P64</f>
        <v>40.634411431322157</v>
      </c>
      <c r="AM19" s="114">
        <f>機器台数2!P71</f>
        <v>115.89685781962088</v>
      </c>
      <c r="AN19" s="114">
        <f>SUM(AN20:AN23)</f>
        <v>129.766439773923</v>
      </c>
      <c r="AO19" s="300">
        <f>SUM(AO20:AO23)</f>
        <v>314.60020649757166</v>
      </c>
      <c r="AP19" s="114"/>
      <c r="AQ19" s="114">
        <f>機器台数2!R64</f>
        <v>23.338024445274531</v>
      </c>
      <c r="AR19" s="114">
        <f>機器台数2!R71</f>
        <v>142.88095825232529</v>
      </c>
      <c r="AS19" s="114">
        <f>SUM(AS20:AS23)</f>
        <v>74.530237720771126</v>
      </c>
      <c r="AT19" s="300">
        <f>SUM(AT20:AT23)</f>
        <v>387.84812475858627</v>
      </c>
    </row>
    <row r="20" spans="1:46" x14ac:dyDescent="0.4">
      <c r="A20" t="s">
        <v>6</v>
      </c>
      <c r="B20">
        <v>1.5</v>
      </c>
      <c r="C20" s="1">
        <v>3</v>
      </c>
      <c r="D20" s="1">
        <f t="shared" si="2"/>
        <v>2.5499999999999998</v>
      </c>
      <c r="E20" s="4">
        <v>42010</v>
      </c>
      <c r="F20" s="6">
        <f>E20/$A$22</f>
        <v>0.39268655181761247</v>
      </c>
      <c r="G20" s="114">
        <f>SUM(H20:H23)</f>
        <v>101.95539353814489</v>
      </c>
      <c r="H20" s="4">
        <f>F20*H$19</f>
        <v>40.036511927701802</v>
      </c>
      <c r="I20" s="4">
        <f t="shared" si="35"/>
        <v>0</v>
      </c>
      <c r="J20" s="267">
        <f t="shared" ref="J20:J23" si="65">C20*H20</f>
        <v>120.1095357831054</v>
      </c>
      <c r="K20" s="267">
        <f t="shared" si="4"/>
        <v>0</v>
      </c>
      <c r="L20" s="4"/>
      <c r="M20" s="4">
        <f>K20*M$19</f>
        <v>0</v>
      </c>
      <c r="N20" s="4">
        <f t="shared" ref="N20" si="66">$F20*N$11</f>
        <v>0</v>
      </c>
      <c r="O20" s="267">
        <f>$C20*M20</f>
        <v>0</v>
      </c>
      <c r="P20" s="299">
        <f t="shared" ref="P20:P22" si="67">$D20*N20</f>
        <v>0</v>
      </c>
      <c r="Q20" s="4"/>
      <c r="R20" s="4">
        <f>P20*R$19</f>
        <v>0</v>
      </c>
      <c r="S20" s="4">
        <f t="shared" ref="S20" si="68">$F20*S$11</f>
        <v>1.3237625101491717</v>
      </c>
      <c r="T20" s="267">
        <f>$C20*R20</f>
        <v>0</v>
      </c>
      <c r="U20" s="299">
        <f t="shared" ref="U20:U22" si="69">$D20*S20</f>
        <v>3.3755944008803875</v>
      </c>
      <c r="V20" s="4"/>
      <c r="W20" s="4">
        <f>U20*W$19</f>
        <v>363.58658724150757</v>
      </c>
      <c r="X20" s="4">
        <f>$F20*X$19</f>
        <v>7.7319276420956378</v>
      </c>
      <c r="Y20" s="267">
        <f>$C20*W20</f>
        <v>1090.7597617245228</v>
      </c>
      <c r="Z20" s="299">
        <f t="shared" ref="Z20:Z22" si="70">$D20*X20</f>
        <v>19.716415487343873</v>
      </c>
      <c r="AA20" s="4"/>
      <c r="AB20" s="4">
        <f>$F20*AB$19</f>
        <v>37.007905298239969</v>
      </c>
      <c r="AC20" s="4">
        <f>$F20*AC$19</f>
        <v>16.722233226481315</v>
      </c>
      <c r="AD20" s="267">
        <f>$C20*AB20</f>
        <v>111.02371589471991</v>
      </c>
      <c r="AE20" s="299">
        <f t="shared" ref="AE20:AE22" si="71">$D20*AC20</f>
        <v>42.641694727527351</v>
      </c>
      <c r="AF20" s="114">
        <f>SUM(AG20:AG23)</f>
        <v>54.318451760366038</v>
      </c>
      <c r="AG20" s="4">
        <f>F20*AG$19</f>
        <v>21.330125521849464</v>
      </c>
      <c r="AH20" s="4">
        <f>$F20*AH$19</f>
        <v>36.134738952827625</v>
      </c>
      <c r="AI20" s="267">
        <f>$C20*AG20</f>
        <v>63.990376565548388</v>
      </c>
      <c r="AJ20" s="299">
        <f t="shared" ref="AJ20:AJ22" si="72">$D20*AH20</f>
        <v>92.143584329710436</v>
      </c>
      <c r="AK20" s="114">
        <f>SUM(AL20:AL23)</f>
        <v>40.634411431322164</v>
      </c>
      <c r="AL20" s="4">
        <f>F20*AL$19</f>
        <v>15.956586910104072</v>
      </c>
      <c r="AM20" s="4">
        <f>$F20*AM$19</f>
        <v>45.511137463683021</v>
      </c>
      <c r="AN20" s="267">
        <f>$C20*AL20</f>
        <v>47.869760730312215</v>
      </c>
      <c r="AO20" s="299">
        <f t="shared" ref="AO20:AO22" si="73">$D20*AM20</f>
        <v>116.05340053239169</v>
      </c>
      <c r="AP20" s="4"/>
      <c r="AQ20" s="4">
        <f>AQ$19*$F20</f>
        <v>9.1645283456500035</v>
      </c>
      <c r="AR20" s="4">
        <f>$F20*AR$19</f>
        <v>56.107430816501861</v>
      </c>
      <c r="AS20" s="267">
        <f>$C20*AQ20</f>
        <v>27.493585036950009</v>
      </c>
      <c r="AT20" s="299">
        <f t="shared" ref="AT20:AT22" si="74">$D20*AR20</f>
        <v>143.07394858207974</v>
      </c>
    </row>
    <row r="21" spans="1:46" x14ac:dyDescent="0.4">
      <c r="A21" t="s">
        <v>10</v>
      </c>
      <c r="B21">
        <v>2</v>
      </c>
      <c r="C21" s="1">
        <v>3.3</v>
      </c>
      <c r="D21" s="1">
        <f t="shared" si="2"/>
        <v>2.8049999999999997</v>
      </c>
      <c r="E21" s="4">
        <v>42936</v>
      </c>
      <c r="F21" s="6">
        <f>E21/$A$22</f>
        <v>0.40134229442611302</v>
      </c>
      <c r="H21" s="4">
        <f>H$19*$F21</f>
        <v>40.919011571716368</v>
      </c>
      <c r="I21" s="4">
        <f>G21*$G$3</f>
        <v>0</v>
      </c>
      <c r="J21" s="4">
        <f t="shared" si="65"/>
        <v>135.03273818666401</v>
      </c>
      <c r="K21" s="267">
        <f t="shared" si="4"/>
        <v>0</v>
      </c>
      <c r="L21" s="4"/>
      <c r="M21" s="4">
        <f>M$19*$F21</f>
        <v>44.196574553902835</v>
      </c>
      <c r="N21" s="4">
        <f>L21*$G$3</f>
        <v>0</v>
      </c>
      <c r="O21" s="4">
        <f>$C21*M21</f>
        <v>145.84869602787936</v>
      </c>
      <c r="P21" s="299">
        <f t="shared" si="67"/>
        <v>0</v>
      </c>
      <c r="Q21" s="4"/>
      <c r="R21" s="4">
        <f>R$19*$F21</f>
        <v>43.218128077445741</v>
      </c>
      <c r="S21" s="4">
        <f>Q21*$G$3</f>
        <v>0</v>
      </c>
      <c r="T21" s="4">
        <f>$C21*R21</f>
        <v>142.61982265557094</v>
      </c>
      <c r="U21" s="299">
        <f t="shared" si="69"/>
        <v>0</v>
      </c>
      <c r="V21" s="4"/>
      <c r="W21" s="4">
        <f>W$19*$F21</f>
        <v>43.22873479942043</v>
      </c>
      <c r="X21" s="4">
        <f>$F21*X$19</f>
        <v>7.9023576586769408</v>
      </c>
      <c r="Y21" s="4">
        <f>$C21*W21</f>
        <v>142.65482483808742</v>
      </c>
      <c r="Z21" s="299">
        <f t="shared" si="70"/>
        <v>22.166113232588817</v>
      </c>
      <c r="AA21" s="4"/>
      <c r="AB21" s="4">
        <f>AB$19*$F21</f>
        <v>37.823647271726529</v>
      </c>
      <c r="AC21" s="4">
        <f>$F21*AC$19</f>
        <v>17.090830892935056</v>
      </c>
      <c r="AD21" s="4">
        <f>$C21*AB21</f>
        <v>124.81803599669753</v>
      </c>
      <c r="AE21" s="299">
        <f t="shared" si="71"/>
        <v>47.939780654682828</v>
      </c>
      <c r="AF21" s="4"/>
      <c r="AG21" s="4">
        <f>AG$19*$F21</f>
        <v>21.800292059179448</v>
      </c>
      <c r="AH21" s="4">
        <f>$F21*AH$19</f>
        <v>36.931234269902561</v>
      </c>
      <c r="AI21" s="4">
        <f>$C21*AG21</f>
        <v>71.940963795292177</v>
      </c>
      <c r="AJ21" s="299">
        <f t="shared" si="72"/>
        <v>103.59211212707667</v>
      </c>
      <c r="AK21" s="4"/>
      <c r="AL21" s="4">
        <f>AL$19*$F21</f>
        <v>16.308307916501509</v>
      </c>
      <c r="AM21" s="4">
        <f>$F21*AM$19</f>
        <v>46.51431083410364</v>
      </c>
      <c r="AN21" s="4">
        <f>$C21*AL21</f>
        <v>53.817416124454972</v>
      </c>
      <c r="AO21" s="299">
        <f t="shared" si="73"/>
        <v>130.47264188966071</v>
      </c>
      <c r="AP21" s="4"/>
      <c r="AQ21" s="4">
        <f>AQ$19*$F21</f>
        <v>9.3665362782391934</v>
      </c>
      <c r="AR21" s="4">
        <f>$F21*AR$19</f>
        <v>57.3441716147899</v>
      </c>
      <c r="AS21" s="4">
        <f>$C21*AQ21</f>
        <v>30.909569718189335</v>
      </c>
      <c r="AT21" s="299">
        <f t="shared" si="74"/>
        <v>160.85040137948565</v>
      </c>
    </row>
    <row r="22" spans="1:46" x14ac:dyDescent="0.4">
      <c r="A22" s="5">
        <f>SUM(E20:E23)</f>
        <v>106981</v>
      </c>
      <c r="B22">
        <v>2.5</v>
      </c>
      <c r="C22" s="1">
        <v>3.4</v>
      </c>
      <c r="D22" s="1">
        <f t="shared" si="2"/>
        <v>2.8899999999999997</v>
      </c>
      <c r="E22" s="4">
        <v>17071</v>
      </c>
      <c r="F22" s="6">
        <f>E22/$A$22</f>
        <v>0.15957039100401005</v>
      </c>
      <c r="H22" s="4">
        <f>H$19*$F22</f>
        <v>16.269062011849499</v>
      </c>
      <c r="I22" s="4">
        <f>$F22*I$21</f>
        <v>0</v>
      </c>
      <c r="J22" s="267">
        <f t="shared" si="65"/>
        <v>55.314810840288295</v>
      </c>
      <c r="K22" s="267">
        <f t="shared" si="4"/>
        <v>0</v>
      </c>
      <c r="L22" s="4"/>
      <c r="M22" s="4">
        <f>M$19*$F22</f>
        <v>17.572194061153233</v>
      </c>
      <c r="N22" s="4">
        <f>$F22*N$21</f>
        <v>0</v>
      </c>
      <c r="O22" s="267">
        <f t="shared" ref="O22" si="75">$C22*M22</f>
        <v>59.745459807920994</v>
      </c>
      <c r="P22" s="299">
        <f t="shared" si="67"/>
        <v>0</v>
      </c>
      <c r="Q22" s="4"/>
      <c r="R22" s="4">
        <f>R$19*$F22</f>
        <v>17.183171800122889</v>
      </c>
      <c r="S22" s="4">
        <f>$F22*S$21</f>
        <v>0</v>
      </c>
      <c r="T22" s="267">
        <f t="shared" ref="T22" si="76">$C22*R22</f>
        <v>58.422784120417816</v>
      </c>
      <c r="U22" s="299">
        <f t="shared" si="69"/>
        <v>0</v>
      </c>
      <c r="V22" s="4"/>
      <c r="W22" s="4">
        <f>W$19*$F22</f>
        <v>17.187388945428221</v>
      </c>
      <c r="X22" s="4">
        <f t="shared" ref="X22:X23" si="77">$F22*X$19</f>
        <v>3.1419123251181773</v>
      </c>
      <c r="Y22" s="267">
        <f t="shared" ref="Y22" si="78">$C22*W22</f>
        <v>58.437122414455949</v>
      </c>
      <c r="Z22" s="299">
        <f t="shared" si="70"/>
        <v>9.0801266195915318</v>
      </c>
      <c r="AA22" s="4"/>
      <c r="AB22" s="4">
        <f>AB$19*$F22</f>
        <v>15.038370658087468</v>
      </c>
      <c r="AC22" s="4">
        <f t="shared" ref="AC22:AC23" si="79">$F22*AC$19</f>
        <v>6.795173611265473</v>
      </c>
      <c r="AD22" s="267">
        <f t="shared" ref="AD22" si="80">$C22*AB22</f>
        <v>51.130460237497388</v>
      </c>
      <c r="AE22" s="299">
        <f t="shared" si="71"/>
        <v>19.638051736557216</v>
      </c>
      <c r="AF22" s="4"/>
      <c r="AG22" s="4">
        <f>AG$19*$F22</f>
        <v>8.6676165861340682</v>
      </c>
      <c r="AH22" s="4">
        <f t="shared" ref="AH22:AH23" si="81">$F22*AH$19</f>
        <v>14.683554598041425</v>
      </c>
      <c r="AI22" s="267">
        <f t="shared" ref="AI22" si="82">$C22*AG22</f>
        <v>29.46989639285583</v>
      </c>
      <c r="AJ22" s="299">
        <f t="shared" si="72"/>
        <v>42.435472788339716</v>
      </c>
      <c r="AK22" s="4"/>
      <c r="AL22" s="4">
        <f>AL$19*$F22</f>
        <v>6.4840489203138922</v>
      </c>
      <c r="AM22" s="4">
        <f t="shared" ref="AM22:AM23" si="83">$F22*AM$19</f>
        <v>18.493706918413064</v>
      </c>
      <c r="AN22" s="267">
        <f t="shared" ref="AN22" si="84">$C22*AL22</f>
        <v>22.045766329067234</v>
      </c>
      <c r="AO22" s="299">
        <f t="shared" si="73"/>
        <v>53.446812994213751</v>
      </c>
      <c r="AP22" s="4"/>
      <c r="AQ22" s="4">
        <f>AQ$19*$F22</f>
        <v>3.7240576859936017</v>
      </c>
      <c r="AR22" s="4">
        <f t="shared" ref="AR22:AR23" si="85">$F22*AR$19</f>
        <v>22.79957037535118</v>
      </c>
      <c r="AS22" s="267">
        <f t="shared" ref="AS22" si="86">$C22*AQ22</f>
        <v>12.661796132378246</v>
      </c>
      <c r="AT22" s="299">
        <f t="shared" si="74"/>
        <v>65.890758384764908</v>
      </c>
    </row>
    <row r="23" spans="1:46" x14ac:dyDescent="0.4">
      <c r="A23" s="6">
        <f>A22/$E$51</f>
        <v>0.16732723132171323</v>
      </c>
      <c r="B23">
        <v>3</v>
      </c>
      <c r="C23" s="1">
        <v>3.2</v>
      </c>
      <c r="D23" s="1">
        <f t="shared" si="2"/>
        <v>2.72</v>
      </c>
      <c r="E23" s="4">
        <v>4964</v>
      </c>
      <c r="F23" s="6">
        <f>E23/$A$22</f>
        <v>4.6400762752264423E-2</v>
      </c>
      <c r="H23" s="4">
        <f>H$19*$F23</f>
        <v>4.7308080268772139</v>
      </c>
      <c r="I23" s="4">
        <f t="shared" ref="I23" si="87">$F23*I$21</f>
        <v>0</v>
      </c>
      <c r="J23" s="267">
        <f t="shared" si="65"/>
        <v>15.138585686007085</v>
      </c>
      <c r="K23" s="267">
        <f t="shared" ref="K23:K41" si="88">D23*I23</f>
        <v>0</v>
      </c>
      <c r="L23" s="4"/>
      <c r="M23" s="4">
        <f>M$19*$F23</f>
        <v>5.1097399870871456</v>
      </c>
      <c r="N23" s="4">
        <f t="shared" ref="N23" si="89">$F23*N$21</f>
        <v>0</v>
      </c>
      <c r="O23" s="267">
        <f>$C23*M23</f>
        <v>16.351167958678868</v>
      </c>
      <c r="P23" s="299">
        <f>$D23*N23</f>
        <v>0</v>
      </c>
      <c r="Q23" s="4"/>
      <c r="R23" s="4">
        <f>R$19*$F23</f>
        <v>4.9966179377781046</v>
      </c>
      <c r="S23" s="4">
        <f t="shared" ref="S23" si="90">$F23*S$21</f>
        <v>0</v>
      </c>
      <c r="T23" s="267">
        <f>$C23*R23</f>
        <v>15.989177400889936</v>
      </c>
      <c r="U23" s="299">
        <f>$D23*S23</f>
        <v>0</v>
      </c>
      <c r="V23" s="4"/>
      <c r="W23" s="4">
        <f>W$19*$F23</f>
        <v>4.9978442226645008</v>
      </c>
      <c r="X23" s="4">
        <f t="shared" si="77"/>
        <v>0.91362268067990349</v>
      </c>
      <c r="Y23" s="267">
        <f>$C23*W23</f>
        <v>15.993101512526403</v>
      </c>
      <c r="Z23" s="299">
        <f>$D23*X23</f>
        <v>2.4850536914493375</v>
      </c>
      <c r="AA23" s="4"/>
      <c r="AB23" s="4">
        <f>AB$19*$F23</f>
        <v>4.3729407736363539</v>
      </c>
      <c r="AC23" s="4">
        <f t="shared" si="79"/>
        <v>1.9759382465187634</v>
      </c>
      <c r="AD23" s="267">
        <f>$C23*AB23</f>
        <v>13.993410475636333</v>
      </c>
      <c r="AE23" s="299">
        <f>$D23*AC23</f>
        <v>5.3745520305310368</v>
      </c>
      <c r="AF23" s="4"/>
      <c r="AG23" s="4">
        <f>AG$19*$F23</f>
        <v>2.5204175932030646</v>
      </c>
      <c r="AH23" s="4">
        <f t="shared" si="81"/>
        <v>4.2697653930453781</v>
      </c>
      <c r="AI23" s="267">
        <f>$C23*AG23</f>
        <v>8.0653362982498074</v>
      </c>
      <c r="AJ23" s="299">
        <f>$D23*AH23</f>
        <v>11.613761869083429</v>
      </c>
      <c r="AK23" s="4"/>
      <c r="AL23" s="4">
        <f>AL$19*$F23</f>
        <v>1.8854676844026808</v>
      </c>
      <c r="AM23" s="4">
        <f t="shared" si="83"/>
        <v>5.3777026034211497</v>
      </c>
      <c r="AN23" s="267">
        <f>$C23*AL23</f>
        <v>6.0334965900885784</v>
      </c>
      <c r="AO23" s="299">
        <f>$D23*AM23</f>
        <v>14.627351081305529</v>
      </c>
      <c r="AP23" s="4"/>
      <c r="AQ23" s="4">
        <f>AQ$19*$F23</f>
        <v>1.082902135391731</v>
      </c>
      <c r="AR23" s="4">
        <f t="shared" si="85"/>
        <v>6.6297854456823435</v>
      </c>
      <c r="AS23" s="267">
        <f>$C23*AQ23</f>
        <v>3.4652868332535394</v>
      </c>
      <c r="AT23" s="299">
        <f>$D23*AR23</f>
        <v>18.033016412255975</v>
      </c>
    </row>
    <row r="24" spans="1:46" x14ac:dyDescent="0.4">
      <c r="A24" s="6"/>
      <c r="F24" s="6"/>
      <c r="H24" s="4">
        <f>機器台数2!D65</f>
        <v>78.052614303232048</v>
      </c>
      <c r="I24" s="4">
        <f>機器台数2!D72</f>
        <v>0</v>
      </c>
      <c r="J24" s="4">
        <f>SUM(J25:J31)</f>
        <v>328.00863037584941</v>
      </c>
      <c r="K24" s="4">
        <f>SUM(K25:K31)</f>
        <v>0</v>
      </c>
      <c r="L24" s="4"/>
      <c r="M24" s="4">
        <f>機器台数2!F65</f>
        <v>84.304533630627972</v>
      </c>
      <c r="N24" s="4">
        <v>0</v>
      </c>
      <c r="O24" s="4">
        <f>SUM(O25:O31)</f>
        <v>354.28172211154185</v>
      </c>
      <c r="P24" s="297">
        <f>SUM(P25:P31)</f>
        <v>0</v>
      </c>
      <c r="Q24" s="4"/>
      <c r="R24" s="4">
        <f>機器台数2!H65</f>
        <v>82.438156547950598</v>
      </c>
      <c r="S24" s="4">
        <f>機器台数2!H72</f>
        <v>8.3559295130276769</v>
      </c>
      <c r="T24" s="4">
        <f>SUM(T25:T31)</f>
        <v>346.43845131121287</v>
      </c>
      <c r="U24" s="297">
        <f>SUM(U25:U31)</f>
        <v>29.84774394322978</v>
      </c>
      <c r="V24" s="4"/>
      <c r="W24" s="4">
        <f>機器台数2!J65</f>
        <v>82.458388766362347</v>
      </c>
      <c r="X24" s="4">
        <f>機器台数2!J72</f>
        <v>15.073669933054816</v>
      </c>
      <c r="Y24" s="4">
        <f>SUM(Y25:Y31)</f>
        <v>346.52347526985858</v>
      </c>
      <c r="Z24" s="297">
        <f>SUM(Z25:Z31)</f>
        <v>53.843805138030667</v>
      </c>
      <c r="AA24" s="4"/>
      <c r="AB24" s="4">
        <f>機器台数2!L65</f>
        <v>72.148237179858469</v>
      </c>
      <c r="AC24" s="4">
        <f>機器台数2!L72</f>
        <v>32.600592745746724</v>
      </c>
      <c r="AD24" s="4">
        <f>SUM(AD25:AD31)</f>
        <v>303.19605144112853</v>
      </c>
      <c r="AE24" s="297">
        <f>SUM(AE25:AE31)</f>
        <v>116.45073634901777</v>
      </c>
      <c r="AF24" s="4"/>
      <c r="AG24" s="4">
        <f>機器台数2!N65</f>
        <v>41.583843852403504</v>
      </c>
      <c r="AH24" s="4">
        <f>機器台数2!N72</f>
        <v>70.445968108464243</v>
      </c>
      <c r="AI24" s="4">
        <f>SUM(AI25:AI31)</f>
        <v>174.75211803668248</v>
      </c>
      <c r="AJ24" s="297">
        <f>SUM(AJ25:AJ31)</f>
        <v>251.63606450439039</v>
      </c>
      <c r="AK24" s="4"/>
      <c r="AL24" s="4">
        <f>機器台数2!P65</f>
        <v>31.107937822840366</v>
      </c>
      <c r="AM24" s="4">
        <f>機器台数2!P72</f>
        <v>88.725592913012136</v>
      </c>
      <c r="AN24" s="4">
        <f>SUM(AN25:AN31)</f>
        <v>130.72812704832657</v>
      </c>
      <c r="AO24" s="297">
        <f>SUM(AO25:AO31)</f>
        <v>316.93167999442142</v>
      </c>
      <c r="AP24" s="4"/>
      <c r="AQ24" s="4">
        <f>機器台数2!R65</f>
        <v>17.86657632727292</v>
      </c>
      <c r="AR24" s="4">
        <f>機器台数2!R72</f>
        <v>109.38344641446092</v>
      </c>
      <c r="AS24" s="4">
        <f>SUM(AS25:AS31)</f>
        <v>75.082574529110857</v>
      </c>
      <c r="AT24" s="297">
        <f>SUM(AT25:AT31)</f>
        <v>390.72243191097039</v>
      </c>
    </row>
    <row r="25" spans="1:46" s="291" customFormat="1" x14ac:dyDescent="0.4">
      <c r="A25" s="291" t="s">
        <v>6</v>
      </c>
      <c r="B25" s="291">
        <v>1.5</v>
      </c>
      <c r="C25" s="292">
        <v>3</v>
      </c>
      <c r="D25" s="292">
        <f t="shared" si="2"/>
        <v>2.5499999999999998</v>
      </c>
      <c r="E25" s="293">
        <v>10837</v>
      </c>
      <c r="F25" s="294">
        <f>E25/$A$27</f>
        <v>0.13231990231990232</v>
      </c>
      <c r="G25" s="114">
        <f>SUM(H25:H31)</f>
        <v>78.052614303232048</v>
      </c>
      <c r="H25" s="293">
        <f>F25*H$24</f>
        <v>10.327914300416674</v>
      </c>
      <c r="I25" s="293">
        <f>$F25*I$24</f>
        <v>0</v>
      </c>
      <c r="J25" s="295">
        <f t="shared" ref="J25:J31" si="91">C25*H25</f>
        <v>30.983742901250025</v>
      </c>
      <c r="K25" s="295">
        <f t="shared" si="88"/>
        <v>0</v>
      </c>
      <c r="L25" s="293"/>
      <c r="M25" s="293">
        <f>M$24*$F25</f>
        <v>11.155167655129613</v>
      </c>
      <c r="N25" s="293">
        <f>$F25*N$24</f>
        <v>0</v>
      </c>
      <c r="O25" s="295">
        <f>$C25*M25</f>
        <v>33.465502965388836</v>
      </c>
      <c r="P25" s="301">
        <f>$D25*N25</f>
        <v>0</v>
      </c>
      <c r="Q25" s="293"/>
      <c r="R25" s="293">
        <f>R$24*$F25</f>
        <v>10.908208821857638</v>
      </c>
      <c r="S25" s="293">
        <f>$F25*S$24</f>
        <v>1.1056557769558111</v>
      </c>
      <c r="T25" s="295">
        <f>$C25*R25</f>
        <v>32.724626465572911</v>
      </c>
      <c r="U25" s="301">
        <f>$D25*S25</f>
        <v>2.8194222312373181</v>
      </c>
      <c r="V25" s="293"/>
      <c r="W25" s="293">
        <f>W$24*$F25</f>
        <v>10.910885947021596</v>
      </c>
      <c r="X25" s="293">
        <f>$F25*X$24</f>
        <v>1.9945465331442618</v>
      </c>
      <c r="Y25" s="295">
        <f>$C25*W25</f>
        <v>32.732657841064785</v>
      </c>
      <c r="Z25" s="301">
        <f>$D25*X25</f>
        <v>5.086093659517867</v>
      </c>
      <c r="AA25" s="293"/>
      <c r="AB25" s="293">
        <f>AB$24*$F25</f>
        <v>9.5466476961920179</v>
      </c>
      <c r="AC25" s="293">
        <f>$F25*AC$24</f>
        <v>4.3137072476881224</v>
      </c>
      <c r="AD25" s="295">
        <f>$C25*AB25</f>
        <v>28.639943088576054</v>
      </c>
      <c r="AE25" s="301">
        <f>$D25*AC25</f>
        <v>10.999953481604711</v>
      </c>
      <c r="AF25" s="114">
        <f>SUM(AG25:AG31)</f>
        <v>41.583843852403504</v>
      </c>
      <c r="AG25" s="293">
        <f>AG$24*$F25</f>
        <v>5.5023701566361023</v>
      </c>
      <c r="AH25" s="293">
        <f>$F25*AH$24</f>
        <v>9.3214036189429414</v>
      </c>
      <c r="AI25" s="295">
        <f>$C25*AG25</f>
        <v>16.507110469908305</v>
      </c>
      <c r="AJ25" s="301">
        <f>$D25*AH25</f>
        <v>23.769579228304497</v>
      </c>
      <c r="AK25" s="114">
        <f>SUM(AL25:AL31)</f>
        <v>31.107937822840366</v>
      </c>
      <c r="AL25" s="293">
        <f>AL$24*$F25</f>
        <v>4.1161992940918317</v>
      </c>
      <c r="AM25" s="293">
        <f>$F25*AM$24</f>
        <v>11.740161787525183</v>
      </c>
      <c r="AN25" s="295">
        <f>$C25*AL25</f>
        <v>12.348597882275495</v>
      </c>
      <c r="AO25" s="301">
        <f>$D25*AM25</f>
        <v>29.937412558189216</v>
      </c>
      <c r="AP25" s="293"/>
      <c r="AQ25" s="293">
        <f>AQ$24*$F25</f>
        <v>2.3641036344158319</v>
      </c>
      <c r="AR25" s="293">
        <f>$F25*AR$24</f>
        <v>14.473606944975739</v>
      </c>
      <c r="AS25" s="295">
        <f>$C25*AQ25</f>
        <v>7.0923109032474958</v>
      </c>
      <c r="AT25" s="301">
        <f>$D25*AR25</f>
        <v>36.907697709688129</v>
      </c>
    </row>
    <row r="26" spans="1:46" x14ac:dyDescent="0.4">
      <c r="A26" t="s">
        <v>11</v>
      </c>
      <c r="B26">
        <v>2</v>
      </c>
      <c r="C26" s="1">
        <v>3.3</v>
      </c>
      <c r="D26" s="1">
        <f t="shared" si="2"/>
        <v>2.8049999999999997</v>
      </c>
      <c r="E26" s="4">
        <v>14510</v>
      </c>
      <c r="F26" s="6">
        <f t="shared" ref="F26:F31" si="92">E26/$A$27</f>
        <v>0.17716727716727718</v>
      </c>
      <c r="H26" s="4">
        <f t="shared" ref="H26:H30" si="93">F26*H$24</f>
        <v>13.828369151891295</v>
      </c>
      <c r="I26" s="4">
        <f t="shared" ref="I26:I30" si="94">$F26*I$24</f>
        <v>0</v>
      </c>
      <c r="J26" s="267">
        <f t="shared" si="91"/>
        <v>45.633618201241269</v>
      </c>
      <c r="K26" s="267">
        <f t="shared" si="88"/>
        <v>0</v>
      </c>
      <c r="L26" s="4"/>
      <c r="M26" s="4">
        <f>M$24*$F26</f>
        <v>14.936004676195505</v>
      </c>
      <c r="N26" s="4">
        <f t="shared" ref="N26:N31" si="95">$F26*N$24</f>
        <v>0</v>
      </c>
      <c r="O26" s="267">
        <f t="shared" ref="O26:O31" si="96">$C26*M26</f>
        <v>49.288815431445165</v>
      </c>
      <c r="P26" s="299">
        <f t="shared" ref="P26:P49" si="97">$D26*N26</f>
        <v>0</v>
      </c>
      <c r="Q26" s="4"/>
      <c r="R26" s="4">
        <f>R$24*$F26</f>
        <v>14.60534373029015</v>
      </c>
      <c r="S26" s="4">
        <f t="shared" ref="S26:S31" si="98">$F26*S$24</f>
        <v>1.4803972800248058</v>
      </c>
      <c r="T26" s="267">
        <f t="shared" ref="T26:T31" si="99">$C26*R26</f>
        <v>48.197634309957493</v>
      </c>
      <c r="U26" s="299">
        <f t="shared" ref="U26:U31" si="100">$D26*S26</f>
        <v>4.1525143704695795</v>
      </c>
      <c r="V26" s="4"/>
      <c r="W26" s="4">
        <f>W$24*$F26</f>
        <v>14.608928217337212</v>
      </c>
      <c r="X26" s="4">
        <f t="shared" ref="X26:X31" si="101">$F26*X$24</f>
        <v>2.670561058957575</v>
      </c>
      <c r="Y26" s="267">
        <f t="shared" ref="Y26:Y31" si="102">$C26*W26</f>
        <v>48.209463117212799</v>
      </c>
      <c r="Z26" s="299">
        <f t="shared" ref="Z26:Z31" si="103">$D26*X26</f>
        <v>7.4909237703759972</v>
      </c>
      <c r="AA26" s="4"/>
      <c r="AB26" s="4">
        <f>AB$24*$F26</f>
        <v>12.782306733574437</v>
      </c>
      <c r="AC26" s="4">
        <f t="shared" ref="AC26:AC31" si="104">$F26*AC$24</f>
        <v>5.7757582508032357</v>
      </c>
      <c r="AD26" s="267">
        <f t="shared" ref="AD26:AD31" si="105">$C26*AB26</f>
        <v>42.181612220795643</v>
      </c>
      <c r="AE26" s="299">
        <f t="shared" ref="AE26:AE31" si="106">$D26*AC26</f>
        <v>16.201001893503076</v>
      </c>
      <c r="AF26" s="4"/>
      <c r="AG26" s="4">
        <f>AG$24*$F26</f>
        <v>7.3672963894795469</v>
      </c>
      <c r="AH26" s="4">
        <f t="shared" ref="AH26:AH31" si="107">$F26*AH$24</f>
        <v>12.480720357189453</v>
      </c>
      <c r="AI26" s="267">
        <f t="shared" ref="AI26:AI31" si="108">$C26*AG26</f>
        <v>24.312078085282504</v>
      </c>
      <c r="AJ26" s="299">
        <f t="shared" ref="AJ26:AJ31" si="109">$D26*AH26</f>
        <v>35.008420601916413</v>
      </c>
      <c r="AK26" s="4"/>
      <c r="AL26" s="4">
        <f>AL$24*$F26</f>
        <v>5.511308642361584</v>
      </c>
      <c r="AM26" s="4">
        <f t="shared" ref="AM26:AM31" si="110">$F26*AM$24</f>
        <v>15.719271711450624</v>
      </c>
      <c r="AN26" s="267">
        <f t="shared" ref="AN26:AN31" si="111">$C26*AL26</f>
        <v>18.187318519793227</v>
      </c>
      <c r="AO26" s="299">
        <f t="shared" ref="AO26:AO31" si="112">$D26*AM26</f>
        <v>44.092557150618994</v>
      </c>
      <c r="AP26" s="4"/>
      <c r="AQ26" s="4">
        <f>AQ$24*$F26</f>
        <v>3.1653726802042743</v>
      </c>
      <c r="AR26" s="4">
        <f t="shared" ref="AR26:AR31" si="113">$F26*AR$24</f>
        <v>19.379167368422809</v>
      </c>
      <c r="AS26" s="267">
        <f t="shared" ref="AS26:AS31" si="114">$C26*AQ26</f>
        <v>10.445729844674105</v>
      </c>
      <c r="AT26" s="299">
        <f t="shared" ref="AT26:AT31" si="115">$D26*AR26</f>
        <v>54.358564468425975</v>
      </c>
    </row>
    <row r="27" spans="1:46" x14ac:dyDescent="0.4">
      <c r="A27" s="5">
        <f>SUM(E25:E31)</f>
        <v>81900</v>
      </c>
      <c r="B27">
        <v>2.5</v>
      </c>
      <c r="C27" s="1">
        <v>3.4</v>
      </c>
      <c r="D27" s="1">
        <f t="shared" si="2"/>
        <v>2.8899999999999997</v>
      </c>
      <c r="E27" s="4">
        <v>12890</v>
      </c>
      <c r="F27" s="6">
        <f t="shared" si="92"/>
        <v>0.15738705738705738</v>
      </c>
      <c r="H27" s="4">
        <f t="shared" si="93"/>
        <v>12.284471286552638</v>
      </c>
      <c r="I27" s="4">
        <f t="shared" si="94"/>
        <v>0</v>
      </c>
      <c r="J27" s="267">
        <f t="shared" si="91"/>
        <v>41.767202374278966</v>
      </c>
      <c r="K27" s="267">
        <f t="shared" si="88"/>
        <v>0</v>
      </c>
      <c r="L27" s="4"/>
      <c r="M27" s="4">
        <f t="shared" ref="M27:M31" si="116">M$24*$F27</f>
        <v>13.268442472512755</v>
      </c>
      <c r="N27" s="4">
        <f t="shared" si="95"/>
        <v>0</v>
      </c>
      <c r="O27" s="267">
        <f t="shared" si="96"/>
        <v>45.112704406543365</v>
      </c>
      <c r="P27" s="299">
        <f t="shared" si="97"/>
        <v>0</v>
      </c>
      <c r="Q27" s="4"/>
      <c r="R27" s="4">
        <f t="shared" ref="R27:R31" si="117">R$24*$F27</f>
        <v>12.974698875495521</v>
      </c>
      <c r="S27" s="4">
        <f t="shared" si="98"/>
        <v>1.3151151577890934</v>
      </c>
      <c r="T27" s="267">
        <f t="shared" si="99"/>
        <v>44.113976176684773</v>
      </c>
      <c r="U27" s="299">
        <f t="shared" si="100"/>
        <v>3.8006828060104794</v>
      </c>
      <c r="V27" s="4"/>
      <c r="W27" s="4">
        <f t="shared" ref="W27:W31" si="118">W$24*$F27</f>
        <v>12.977883164815758</v>
      </c>
      <c r="X27" s="4">
        <f t="shared" si="101"/>
        <v>2.37240055478726</v>
      </c>
      <c r="Y27" s="267">
        <f t="shared" si="102"/>
        <v>44.124802760373576</v>
      </c>
      <c r="Z27" s="299">
        <f t="shared" si="103"/>
        <v>6.8562376033351802</v>
      </c>
      <c r="AA27" s="4"/>
      <c r="AB27" s="4">
        <f t="shared" ref="AB27:AB31" si="119">AB$24*$F27</f>
        <v>11.355198745401411</v>
      </c>
      <c r="AC27" s="4">
        <f t="shared" si="104"/>
        <v>5.1309113613269259</v>
      </c>
      <c r="AD27" s="267">
        <f t="shared" si="105"/>
        <v>38.607675734364797</v>
      </c>
      <c r="AE27" s="299">
        <f t="shared" si="106"/>
        <v>14.828333834234813</v>
      </c>
      <c r="AF27" s="4"/>
      <c r="AG27" s="4">
        <f t="shared" ref="AG27:AG31" si="120">AG$24*$F27</f>
        <v>6.5447588187726637</v>
      </c>
      <c r="AH27" s="4">
        <f t="shared" si="107"/>
        <v>11.087283625373676</v>
      </c>
      <c r="AI27" s="267">
        <f t="shared" si="108"/>
        <v>22.252179983827055</v>
      </c>
      <c r="AJ27" s="299">
        <f t="shared" si="109"/>
        <v>32.04224967732992</v>
      </c>
      <c r="AK27" s="4"/>
      <c r="AL27" s="4">
        <f t="shared" ref="AL27:AL31" si="121">AL$24*$F27</f>
        <v>4.8959867953163894</v>
      </c>
      <c r="AM27" s="4">
        <f t="shared" si="110"/>
        <v>13.964259983500932</v>
      </c>
      <c r="AN27" s="267">
        <f t="shared" si="111"/>
        <v>16.646355104075724</v>
      </c>
      <c r="AO27" s="299">
        <f t="shared" si="112"/>
        <v>40.356711352317689</v>
      </c>
      <c r="AP27" s="4"/>
      <c r="AQ27" s="4">
        <f t="shared" ref="AQ27:AQ31" si="122">AQ$24*$F27</f>
        <v>2.8119678737307439</v>
      </c>
      <c r="AR27" s="4">
        <f t="shared" si="113"/>
        <v>17.215538758026877</v>
      </c>
      <c r="AS27" s="267">
        <f t="shared" si="114"/>
        <v>9.5606907706845288</v>
      </c>
      <c r="AT27" s="299">
        <f t="shared" si="115"/>
        <v>49.752907010697669</v>
      </c>
    </row>
    <row r="28" spans="1:46" x14ac:dyDescent="0.4">
      <c r="A28" s="6">
        <f>A27/$E$51</f>
        <v>0.12809844968030132</v>
      </c>
      <c r="B28">
        <v>3</v>
      </c>
      <c r="C28" s="1">
        <v>3.2</v>
      </c>
      <c r="D28" s="1">
        <f t="shared" si="2"/>
        <v>2.72</v>
      </c>
      <c r="E28" s="4">
        <v>16504</v>
      </c>
      <c r="F28" s="6">
        <f t="shared" si="92"/>
        <v>0.20151404151404151</v>
      </c>
      <c r="H28" s="4">
        <f t="shared" si="93"/>
        <v>15.728697758980973</v>
      </c>
      <c r="I28" s="4">
        <f t="shared" si="94"/>
        <v>0</v>
      </c>
      <c r="J28" s="267">
        <f t="shared" si="91"/>
        <v>50.331832828739117</v>
      </c>
      <c r="K28" s="267">
        <f t="shared" si="88"/>
        <v>0</v>
      </c>
      <c r="L28" s="4"/>
      <c r="M28" s="4">
        <f t="shared" si="116"/>
        <v>16.988547289864275</v>
      </c>
      <c r="N28" s="4">
        <f t="shared" si="95"/>
        <v>0</v>
      </c>
      <c r="O28" s="267">
        <f t="shared" si="96"/>
        <v>54.363351327565681</v>
      </c>
      <c r="P28" s="299">
        <f t="shared" si="97"/>
        <v>0</v>
      </c>
      <c r="Q28" s="4"/>
      <c r="R28" s="4">
        <f t="shared" si="117"/>
        <v>16.612446100944769</v>
      </c>
      <c r="S28" s="4">
        <f t="shared" si="98"/>
        <v>1.6838371267766639</v>
      </c>
      <c r="T28" s="267">
        <f t="shared" si="99"/>
        <v>53.159827523023267</v>
      </c>
      <c r="U28" s="299">
        <f t="shared" si="100"/>
        <v>4.5800369848325264</v>
      </c>
      <c r="V28" s="4"/>
      <c r="W28" s="4">
        <f t="shared" si="118"/>
        <v>16.616523177045718</v>
      </c>
      <c r="X28" s="4">
        <f t="shared" si="101"/>
        <v>3.0375561486585676</v>
      </c>
      <c r="Y28" s="267">
        <f t="shared" si="102"/>
        <v>53.172874166546301</v>
      </c>
      <c r="Z28" s="299">
        <f t="shared" si="103"/>
        <v>8.2621527243513047</v>
      </c>
      <c r="AA28" s="4"/>
      <c r="AB28" s="4">
        <f t="shared" si="119"/>
        <v>14.538882862226913</v>
      </c>
      <c r="AC28" s="4">
        <f t="shared" si="104"/>
        <v>6.569477199948766</v>
      </c>
      <c r="AD28" s="267">
        <f t="shared" si="105"/>
        <v>46.524425159126125</v>
      </c>
      <c r="AE28" s="299">
        <f t="shared" si="106"/>
        <v>17.868977983860646</v>
      </c>
      <c r="AF28" s="4"/>
      <c r="AG28" s="4">
        <f t="shared" si="120"/>
        <v>8.3797284363866602</v>
      </c>
      <c r="AH28" s="4">
        <f t="shared" si="107"/>
        <v>14.195851741905907</v>
      </c>
      <c r="AI28" s="267">
        <f t="shared" si="108"/>
        <v>26.815130996437315</v>
      </c>
      <c r="AJ28" s="299">
        <f t="shared" si="109"/>
        <v>38.612716737984066</v>
      </c>
      <c r="AK28" s="4"/>
      <c r="AL28" s="4">
        <f t="shared" si="121"/>
        <v>6.2686862738480755</v>
      </c>
      <c r="AM28" s="4">
        <f t="shared" si="110"/>
        <v>17.879452813630675</v>
      </c>
      <c r="AN28" s="267">
        <f t="shared" si="111"/>
        <v>20.059796076313845</v>
      </c>
      <c r="AO28" s="299">
        <f t="shared" si="112"/>
        <v>48.632111653075441</v>
      </c>
      <c r="AP28" s="4"/>
      <c r="AQ28" s="4">
        <f t="shared" si="122"/>
        <v>3.6003660037278666</v>
      </c>
      <c r="AR28" s="4">
        <f t="shared" si="113"/>
        <v>22.042300361712613</v>
      </c>
      <c r="AS28" s="267">
        <f t="shared" si="114"/>
        <v>11.521171211929174</v>
      </c>
      <c r="AT28" s="299">
        <f t="shared" si="115"/>
        <v>59.955056983858313</v>
      </c>
    </row>
    <row r="29" spans="1:46" x14ac:dyDescent="0.4">
      <c r="B29">
        <v>3.5</v>
      </c>
      <c r="C29" s="1">
        <v>4.7</v>
      </c>
      <c r="D29" s="1">
        <f t="shared" si="2"/>
        <v>3.9950000000000001</v>
      </c>
      <c r="E29" s="4">
        <v>9281</v>
      </c>
      <c r="F29" s="6">
        <f t="shared" si="92"/>
        <v>0.11332112332112332</v>
      </c>
      <c r="H29" s="4">
        <f t="shared" si="93"/>
        <v>8.8450099309926333</v>
      </c>
      <c r="I29" s="4">
        <f t="shared" si="94"/>
        <v>0</v>
      </c>
      <c r="J29" s="267">
        <f t="shared" si="91"/>
        <v>41.571546675665381</v>
      </c>
      <c r="K29" s="267">
        <f t="shared" si="88"/>
        <v>0</v>
      </c>
      <c r="L29" s="4"/>
      <c r="M29" s="4">
        <f t="shared" si="116"/>
        <v>9.553484452086181</v>
      </c>
      <c r="N29" s="4">
        <f t="shared" si="95"/>
        <v>0</v>
      </c>
      <c r="O29" s="267">
        <f t="shared" si="96"/>
        <v>44.901376924805049</v>
      </c>
      <c r="P29" s="299">
        <f t="shared" si="97"/>
        <v>0</v>
      </c>
      <c r="Q29" s="4"/>
      <c r="R29" s="4">
        <f t="shared" si="117"/>
        <v>9.341984504536379</v>
      </c>
      <c r="S29" s="4">
        <f t="shared" si="98"/>
        <v>0.94690331880842327</v>
      </c>
      <c r="T29" s="267">
        <f t="shared" si="99"/>
        <v>43.907327171320986</v>
      </c>
      <c r="U29" s="299">
        <f t="shared" si="100"/>
        <v>3.7828787586396508</v>
      </c>
      <c r="V29" s="4"/>
      <c r="W29" s="4">
        <f t="shared" si="118"/>
        <v>9.3442772422540781</v>
      </c>
      <c r="X29" s="4">
        <f t="shared" si="101"/>
        <v>1.7081652093856134</v>
      </c>
      <c r="Y29" s="267">
        <f t="shared" si="102"/>
        <v>43.918103038594168</v>
      </c>
      <c r="Z29" s="299">
        <f t="shared" si="103"/>
        <v>6.8241200114955261</v>
      </c>
      <c r="AA29" s="4"/>
      <c r="AB29" s="4">
        <f t="shared" si="119"/>
        <v>8.1759192828603968</v>
      </c>
      <c r="AC29" s="4">
        <f t="shared" si="104"/>
        <v>3.6943357908824828</v>
      </c>
      <c r="AD29" s="267">
        <f t="shared" si="105"/>
        <v>38.426820629443867</v>
      </c>
      <c r="AE29" s="299">
        <f t="shared" si="106"/>
        <v>14.758871484575518</v>
      </c>
      <c r="AF29" s="4"/>
      <c r="AG29" s="4">
        <f t="shared" si="120"/>
        <v>4.7123278973645535</v>
      </c>
      <c r="AH29" s="4">
        <f t="shared" si="107"/>
        <v>7.9830162394951971</v>
      </c>
      <c r="AI29" s="267">
        <f t="shared" si="108"/>
        <v>22.147941117613403</v>
      </c>
      <c r="AJ29" s="299">
        <f t="shared" si="109"/>
        <v>31.892149876783314</v>
      </c>
      <c r="AK29" s="4"/>
      <c r="AL29" s="4">
        <f t="shared" si="121"/>
        <v>3.5251864582879295</v>
      </c>
      <c r="AM29" s="4">
        <f t="shared" si="110"/>
        <v>10.054483856235233</v>
      </c>
      <c r="AN29" s="267">
        <f t="shared" si="111"/>
        <v>16.568376353953269</v>
      </c>
      <c r="AO29" s="299">
        <f t="shared" si="112"/>
        <v>40.167663005659755</v>
      </c>
      <c r="AP29" s="4"/>
      <c r="AQ29" s="4">
        <f t="shared" si="122"/>
        <v>2.024660499309157</v>
      </c>
      <c r="AR29" s="4">
        <f t="shared" si="113"/>
        <v>12.395455020422609</v>
      </c>
      <c r="AS29" s="267">
        <f t="shared" si="114"/>
        <v>9.5159043467530378</v>
      </c>
      <c r="AT29" s="299">
        <f t="shared" si="115"/>
        <v>49.519842806588329</v>
      </c>
    </row>
    <row r="30" spans="1:46" x14ac:dyDescent="0.4">
      <c r="B30">
        <v>4</v>
      </c>
      <c r="C30" s="1">
        <v>6.3</v>
      </c>
      <c r="D30" s="1">
        <f t="shared" si="2"/>
        <v>5.3549999999999995</v>
      </c>
      <c r="E30" s="4">
        <v>10098</v>
      </c>
      <c r="F30" s="6">
        <f t="shared" si="92"/>
        <v>0.12329670329670329</v>
      </c>
      <c r="H30" s="4">
        <f t="shared" si="93"/>
        <v>9.6236300272776223</v>
      </c>
      <c r="I30" s="4">
        <f t="shared" si="94"/>
        <v>0</v>
      </c>
      <c r="J30" s="4">
        <f t="shared" si="91"/>
        <v>60.628869171849018</v>
      </c>
      <c r="K30" s="267">
        <f t="shared" si="88"/>
        <v>0</v>
      </c>
      <c r="L30" s="4"/>
      <c r="M30" s="4">
        <f t="shared" si="116"/>
        <v>10.394471069622481</v>
      </c>
      <c r="N30" s="4">
        <f t="shared" si="95"/>
        <v>0</v>
      </c>
      <c r="O30" s="4">
        <f t="shared" si="96"/>
        <v>65.485167738621627</v>
      </c>
      <c r="P30" s="299">
        <f t="shared" si="97"/>
        <v>0</v>
      </c>
      <c r="Q30" s="4"/>
      <c r="R30" s="4">
        <f t="shared" si="117"/>
        <v>10.164352928219843</v>
      </c>
      <c r="S30" s="4">
        <f t="shared" si="98"/>
        <v>1.0302585619359399</v>
      </c>
      <c r="T30" s="4">
        <f t="shared" si="99"/>
        <v>64.035423447785007</v>
      </c>
      <c r="U30" s="299">
        <f t="shared" si="100"/>
        <v>5.5170345991669576</v>
      </c>
      <c r="V30" s="4"/>
      <c r="W30" s="4">
        <f t="shared" si="118"/>
        <v>10.166847494050391</v>
      </c>
      <c r="X30" s="4">
        <f t="shared" si="101"/>
        <v>1.858533809328297</v>
      </c>
      <c r="Y30" s="4">
        <f t="shared" si="102"/>
        <v>64.051139212517455</v>
      </c>
      <c r="Z30" s="299">
        <f t="shared" si="103"/>
        <v>9.9524485489530292</v>
      </c>
      <c r="AA30" s="4"/>
      <c r="AB30" s="4">
        <f t="shared" si="119"/>
        <v>8.8956397929451878</v>
      </c>
      <c r="AC30" s="4">
        <f t="shared" si="104"/>
        <v>4.0195456110689918</v>
      </c>
      <c r="AD30" s="4">
        <f t="shared" si="105"/>
        <v>56.042530695554682</v>
      </c>
      <c r="AE30" s="299">
        <f t="shared" si="106"/>
        <v>21.524666747274448</v>
      </c>
      <c r="AF30" s="4"/>
      <c r="AG30" s="4">
        <f t="shared" si="120"/>
        <v>5.1271508574062343</v>
      </c>
      <c r="AH30" s="4">
        <f t="shared" si="107"/>
        <v>8.6857556283183381</v>
      </c>
      <c r="AI30" s="4">
        <f t="shared" si="108"/>
        <v>32.301050401659275</v>
      </c>
      <c r="AJ30" s="299">
        <f t="shared" si="109"/>
        <v>46.512221389644694</v>
      </c>
      <c r="AK30" s="4"/>
      <c r="AL30" s="4">
        <f t="shared" si="121"/>
        <v>3.8355061799150429</v>
      </c>
      <c r="AM30" s="4">
        <f t="shared" si="110"/>
        <v>10.939573104219738</v>
      </c>
      <c r="AN30" s="4">
        <f t="shared" si="111"/>
        <v>24.163688933464769</v>
      </c>
      <c r="AO30" s="299">
        <f t="shared" si="112"/>
        <v>58.581413973096694</v>
      </c>
      <c r="AP30" s="4"/>
      <c r="AQ30" s="4">
        <f t="shared" si="122"/>
        <v>2.2028899603516723</v>
      </c>
      <c r="AR30" s="4">
        <f t="shared" si="113"/>
        <v>13.486618338134631</v>
      </c>
      <c r="AS30" s="4">
        <f t="shared" si="114"/>
        <v>13.878206750215535</v>
      </c>
      <c r="AT30" s="299">
        <f t="shared" si="115"/>
        <v>72.22084120071095</v>
      </c>
    </row>
    <row r="31" spans="1:46" x14ac:dyDescent="0.4">
      <c r="B31">
        <v>5</v>
      </c>
      <c r="C31" s="1">
        <v>7.7</v>
      </c>
      <c r="D31" s="1">
        <f t="shared" si="2"/>
        <v>6.5449999999999999</v>
      </c>
      <c r="E31" s="4">
        <v>7780</v>
      </c>
      <c r="F31" s="6">
        <f t="shared" si="92"/>
        <v>9.4993894993894989E-2</v>
      </c>
      <c r="H31" s="4">
        <f>F31*H$24</f>
        <v>7.414521847120211</v>
      </c>
      <c r="I31" s="4">
        <f>$F31*I$24</f>
        <v>0</v>
      </c>
      <c r="J31" s="267">
        <f t="shared" si="91"/>
        <v>57.091818222825623</v>
      </c>
      <c r="K31" s="267">
        <f t="shared" si="88"/>
        <v>0</v>
      </c>
      <c r="L31" s="4"/>
      <c r="M31" s="4">
        <f t="shared" si="116"/>
        <v>8.0084160152171631</v>
      </c>
      <c r="N31" s="4">
        <f t="shared" si="95"/>
        <v>0</v>
      </c>
      <c r="O31" s="267">
        <f t="shared" si="96"/>
        <v>61.664803317172158</v>
      </c>
      <c r="P31" s="299">
        <f t="shared" si="97"/>
        <v>0</v>
      </c>
      <c r="Q31" s="4"/>
      <c r="R31" s="4">
        <f t="shared" si="117"/>
        <v>7.8311215866062955</v>
      </c>
      <c r="S31" s="4">
        <f t="shared" si="98"/>
        <v>0.79376229073693927</v>
      </c>
      <c r="T31" s="267">
        <f t="shared" si="99"/>
        <v>60.299636216868478</v>
      </c>
      <c r="U31" s="299">
        <f t="shared" si="100"/>
        <v>5.1951741928732673</v>
      </c>
      <c r="V31" s="4"/>
      <c r="W31" s="4">
        <f t="shared" si="118"/>
        <v>7.8330435238375946</v>
      </c>
      <c r="X31" s="4">
        <f t="shared" si="101"/>
        <v>1.4319066187932414</v>
      </c>
      <c r="Y31" s="267">
        <f t="shared" si="102"/>
        <v>60.31443513354948</v>
      </c>
      <c r="Z31" s="299">
        <f t="shared" si="103"/>
        <v>9.371828820001765</v>
      </c>
      <c r="AA31" s="4"/>
      <c r="AB31" s="4">
        <f t="shared" si="119"/>
        <v>6.8536420666581055</v>
      </c>
      <c r="AC31" s="4">
        <f t="shared" si="104"/>
        <v>3.0968572840281992</v>
      </c>
      <c r="AD31" s="267">
        <f t="shared" si="105"/>
        <v>52.773043913267415</v>
      </c>
      <c r="AE31" s="299">
        <f t="shared" si="106"/>
        <v>20.268930923964565</v>
      </c>
      <c r="AF31" s="4"/>
      <c r="AG31" s="4">
        <f t="shared" si="120"/>
        <v>3.950211296357744</v>
      </c>
      <c r="AH31" s="4">
        <f t="shared" si="107"/>
        <v>6.6919368972387279</v>
      </c>
      <c r="AI31" s="267">
        <f t="shared" si="108"/>
        <v>30.416626981954629</v>
      </c>
      <c r="AJ31" s="299">
        <f t="shared" si="109"/>
        <v>43.798726992427476</v>
      </c>
      <c r="AK31" s="4"/>
      <c r="AL31" s="4">
        <f t="shared" si="121"/>
        <v>2.9550641790195122</v>
      </c>
      <c r="AM31" s="4">
        <f t="shared" si="110"/>
        <v>8.4283896564497489</v>
      </c>
      <c r="AN31" s="267">
        <f t="shared" si="111"/>
        <v>22.753994178450245</v>
      </c>
      <c r="AO31" s="299">
        <f t="shared" si="112"/>
        <v>55.163810301463606</v>
      </c>
      <c r="AP31" s="4"/>
      <c r="AQ31" s="4">
        <f t="shared" si="122"/>
        <v>1.6972156755333738</v>
      </c>
      <c r="AR31" s="4">
        <f t="shared" si="113"/>
        <v>10.390759622765639</v>
      </c>
      <c r="AS31" s="267">
        <f t="shared" si="114"/>
        <v>13.068560701606978</v>
      </c>
      <c r="AT31" s="299">
        <f t="shared" si="115"/>
        <v>68.007521731001106</v>
      </c>
    </row>
    <row r="32" spans="1:46" s="274" customFormat="1" x14ac:dyDescent="0.4">
      <c r="C32" s="275"/>
      <c r="D32" s="275"/>
      <c r="E32" s="276"/>
      <c r="F32" s="277"/>
      <c r="G32" s="276"/>
      <c r="H32" s="276">
        <f>機器台数2!D56</f>
        <v>12.5</v>
      </c>
      <c r="I32" s="276">
        <f>機器台数2!D57</f>
        <v>0</v>
      </c>
      <c r="J32" s="4">
        <f>SUM(J33:J39)</f>
        <v>35.318750000000001</v>
      </c>
      <c r="K32" s="278"/>
      <c r="L32" s="276"/>
      <c r="M32" s="276">
        <f>機器台数2!F56</f>
        <v>18.2</v>
      </c>
      <c r="N32" s="276">
        <v>0</v>
      </c>
      <c r="O32" s="4">
        <f>SUM(O33:O39)</f>
        <v>51.424100000000003</v>
      </c>
      <c r="P32" s="297">
        <f>SUM(P33:P39)</f>
        <v>0</v>
      </c>
      <c r="Q32" s="276"/>
      <c r="R32" s="276">
        <f>機器台数2!H56</f>
        <v>14.769275993559361</v>
      </c>
      <c r="S32" s="276">
        <f>機器台数2!H57</f>
        <v>12.230724006440639</v>
      </c>
      <c r="T32" s="4">
        <f>SUM(T33:T39)</f>
        <v>41.730589319801979</v>
      </c>
      <c r="U32" s="297">
        <f>SUM(U33:U39)</f>
        <v>29.374224078168321</v>
      </c>
      <c r="V32" s="276"/>
      <c r="W32" s="276">
        <f>機器台数2!J56</f>
        <v>12.575102079838496</v>
      </c>
      <c r="X32" s="276">
        <f>機器台数2!J57</f>
        <v>26.624897920161509</v>
      </c>
      <c r="Y32" s="4">
        <f>SUM(Y33:Y39)</f>
        <v>35.530950926583671</v>
      </c>
      <c r="Z32" s="297">
        <f>SUM(Z33:Z39)</f>
        <v>63.944351712403886</v>
      </c>
      <c r="AA32" s="276"/>
      <c r="AB32" s="276">
        <f>機器台数2!L56</f>
        <v>9.0888727145471879</v>
      </c>
      <c r="AC32" s="276">
        <f>機器台数2!L57</f>
        <v>43.414089709271053</v>
      </c>
      <c r="AD32" s="4">
        <f>SUM(AD33:AD39)</f>
        <v>25.680609854953083</v>
      </c>
      <c r="AE32" s="297">
        <f>SUM(AE33:AE39)</f>
        <v>104.26653390251357</v>
      </c>
      <c r="AF32" s="276"/>
      <c r="AG32" s="276">
        <f>機器台数2!N56</f>
        <v>9.1501544014194138</v>
      </c>
      <c r="AH32" s="276">
        <f>機器台数2!N57</f>
        <v>62.8498455985806</v>
      </c>
      <c r="AI32" s="4">
        <f>SUM(AI33:AI39)</f>
        <v>25.853761261210551</v>
      </c>
      <c r="AJ32" s="297">
        <f>SUM(AJ33:AJ39)</f>
        <v>150.94490292797104</v>
      </c>
      <c r="AK32" s="276"/>
      <c r="AL32" s="276">
        <f>機器台数2!P56</f>
        <v>7.7947824639163334</v>
      </c>
      <c r="AM32" s="276">
        <f>機器台数2!P57</f>
        <v>85.20521753608368</v>
      </c>
      <c r="AN32" s="4">
        <f>SUM(AN33:AN39)</f>
        <v>22.0241578517956</v>
      </c>
      <c r="AO32" s="297">
        <f>SUM(AO33:AO39)</f>
        <v>204.63524082597377</v>
      </c>
      <c r="AP32" s="276"/>
      <c r="AQ32" s="276">
        <f>機器台数2!R56</f>
        <v>17.223601256147507</v>
      </c>
      <c r="AR32" s="276">
        <f>機器台数2!R57</f>
        <v>110.77639874385252</v>
      </c>
      <c r="AS32" s="4">
        <f>SUM(AS33:AS39)</f>
        <v>48.66528534924479</v>
      </c>
      <c r="AT32" s="297">
        <f>SUM(AT33:AT39)</f>
        <v>266.04890745314208</v>
      </c>
    </row>
    <row r="33" spans="1:46" x14ac:dyDescent="0.4">
      <c r="A33" t="s">
        <v>12</v>
      </c>
      <c r="B33">
        <v>1.5</v>
      </c>
      <c r="C33" s="1">
        <v>2.2999999999999998</v>
      </c>
      <c r="D33" s="1">
        <f t="shared" si="2"/>
        <v>1.9549999999999998</v>
      </c>
      <c r="E33" s="4">
        <f>$A$35*F33</f>
        <v>3000</v>
      </c>
      <c r="F33" s="6">
        <v>0.03</v>
      </c>
      <c r="G33" s="114">
        <f>SUM(H33:H39)</f>
        <v>12.5</v>
      </c>
      <c r="H33" s="4">
        <f>F33*H$32</f>
        <v>0.375</v>
      </c>
      <c r="I33" s="4">
        <f>$F33*I$32</f>
        <v>0</v>
      </c>
      <c r="J33" s="267">
        <f>C33*H33</f>
        <v>0.86249999999999993</v>
      </c>
      <c r="K33" s="267">
        <f t="shared" si="88"/>
        <v>0</v>
      </c>
      <c r="L33" s="4"/>
      <c r="M33" s="4">
        <f t="shared" ref="M33:M39" si="123">M$32*$F33</f>
        <v>0.54599999999999993</v>
      </c>
      <c r="N33" s="4">
        <f>$F33*N$32</f>
        <v>0</v>
      </c>
      <c r="O33" s="267">
        <f>$C33*M33</f>
        <v>1.2557999999999998</v>
      </c>
      <c r="P33" s="299">
        <f t="shared" si="97"/>
        <v>0</v>
      </c>
      <c r="Q33" s="4"/>
      <c r="R33" s="4">
        <f t="shared" ref="R33:R39" si="124">R$32*$F33</f>
        <v>0.44307827980678083</v>
      </c>
      <c r="S33" s="4">
        <f>$F33*S$32</f>
        <v>0.36692172019321917</v>
      </c>
      <c r="T33" s="267">
        <f>$C33*R33</f>
        <v>1.0190800435555958</v>
      </c>
      <c r="U33" s="299">
        <f t="shared" ref="U33:U39" si="125">$D33*S33</f>
        <v>0.71733196297774338</v>
      </c>
      <c r="V33" s="4"/>
      <c r="W33" s="4">
        <f t="shared" ref="W33:W39" si="126">W$32*$F33</f>
        <v>0.37725306239515488</v>
      </c>
      <c r="X33" s="4">
        <f>$F33*X$32</f>
        <v>0.79874693760484528</v>
      </c>
      <c r="Y33" s="267">
        <f>$C33*W33</f>
        <v>0.86768204350885614</v>
      </c>
      <c r="Z33" s="299">
        <f t="shared" ref="Z33:Z39" si="127">$D33*X33</f>
        <v>1.5615502630174725</v>
      </c>
      <c r="AA33" s="4"/>
      <c r="AB33" s="4">
        <f t="shared" ref="AB33:AB39" si="128">AB$32*$F33</f>
        <v>0.27266618143641563</v>
      </c>
      <c r="AC33" s="4">
        <f>$F33*AC$32</f>
        <v>1.3024226912781316</v>
      </c>
      <c r="AD33" s="267">
        <f>$C33*AB33</f>
        <v>0.6271322173037559</v>
      </c>
      <c r="AE33" s="299">
        <f t="shared" ref="AE33:AE39" si="129">$D33*AC33</f>
        <v>2.5462363614487469</v>
      </c>
      <c r="AF33" s="114">
        <f>SUM(AG33:AG39)</f>
        <v>9.1501544014194138</v>
      </c>
      <c r="AG33" s="4">
        <f t="shared" ref="AG33:AG39" si="130">AG$32*$F33</f>
        <v>0.27450463204258241</v>
      </c>
      <c r="AH33" s="4">
        <f>$F33*AH$32</f>
        <v>1.885495367957418</v>
      </c>
      <c r="AI33" s="267">
        <f>$C33*AG33</f>
        <v>0.63136065369793948</v>
      </c>
      <c r="AJ33" s="299">
        <f t="shared" ref="AJ33:AJ39" si="131">$D33*AH33</f>
        <v>3.6861434443567518</v>
      </c>
      <c r="AK33" s="114">
        <f>SUM(AL33:AL39)</f>
        <v>7.7947824639163326</v>
      </c>
      <c r="AL33" s="4">
        <f t="shared" ref="AL33:AL39" si="132">AL$32*$F33</f>
        <v>0.23384347391749</v>
      </c>
      <c r="AM33" s="4">
        <f>$F33*AM$32</f>
        <v>2.5561565260825101</v>
      </c>
      <c r="AN33" s="267">
        <f>$C33*AL33</f>
        <v>0.53783999001022698</v>
      </c>
      <c r="AO33" s="299">
        <f t="shared" ref="AO33:AO39" si="133">$D33*AM33</f>
        <v>4.9972860084913071</v>
      </c>
      <c r="AP33" s="4"/>
      <c r="AQ33" s="4">
        <f t="shared" ref="AQ33:AQ39" si="134">AQ$32*$F33</f>
        <v>0.51670803768442519</v>
      </c>
      <c r="AR33" s="4">
        <f>$F33*AR$32</f>
        <v>3.3232919623155754</v>
      </c>
      <c r="AS33" s="267">
        <f>$C33*AQ33</f>
        <v>1.1884284866741779</v>
      </c>
      <c r="AT33" s="299">
        <f t="shared" ref="AT33:AT39" si="135">$D33*AR33</f>
        <v>6.4970357863269497</v>
      </c>
    </row>
    <row r="34" spans="1:46" x14ac:dyDescent="0.4">
      <c r="A34" t="s">
        <v>13</v>
      </c>
      <c r="B34">
        <v>2</v>
      </c>
      <c r="C34" s="1">
        <v>2.2999999999999998</v>
      </c>
      <c r="D34" s="1">
        <f t="shared" si="2"/>
        <v>1.9549999999999998</v>
      </c>
      <c r="E34" s="4">
        <f t="shared" ref="E34:E39" si="136">$A$35*F34</f>
        <v>15000</v>
      </c>
      <c r="F34" s="6">
        <v>0.15</v>
      </c>
      <c r="H34" s="4">
        <f t="shared" ref="H34:H38" si="137">F34*H$32</f>
        <v>1.875</v>
      </c>
      <c r="I34" s="4">
        <f t="shared" ref="I34:I38" si="138">$F34*I$32</f>
        <v>0</v>
      </c>
      <c r="J34" s="267">
        <f t="shared" ref="J34:J42" si="139">C34*H34</f>
        <v>4.3125</v>
      </c>
      <c r="K34" s="267">
        <f t="shared" si="88"/>
        <v>0</v>
      </c>
      <c r="L34" s="4"/>
      <c r="M34" s="4">
        <f t="shared" si="123"/>
        <v>2.73</v>
      </c>
      <c r="N34" s="4">
        <f t="shared" ref="N34:N38" si="140">$F34*N$32</f>
        <v>0</v>
      </c>
      <c r="O34" s="267">
        <f t="shared" ref="O34:O49" si="141">$C34*M34</f>
        <v>6.2789999999999999</v>
      </c>
      <c r="P34" s="299">
        <f t="shared" si="97"/>
        <v>0</v>
      </c>
      <c r="Q34" s="4"/>
      <c r="R34" s="4">
        <f t="shared" si="124"/>
        <v>2.215391399033904</v>
      </c>
      <c r="S34" s="4">
        <f t="shared" ref="S34:S38" si="142">$F34*S$32</f>
        <v>1.8346086009660958</v>
      </c>
      <c r="T34" s="267">
        <f t="shared" ref="T34:T39" si="143">$C34*R34</f>
        <v>5.0954002177779785</v>
      </c>
      <c r="U34" s="299">
        <f t="shared" si="125"/>
        <v>3.586659814888717</v>
      </c>
      <c r="V34" s="4"/>
      <c r="W34" s="4">
        <f t="shared" si="126"/>
        <v>1.8862653119757744</v>
      </c>
      <c r="X34" s="4">
        <f t="shared" ref="X34:X38" si="144">$F34*X$32</f>
        <v>3.9937346880242259</v>
      </c>
      <c r="Y34" s="267">
        <f t="shared" ref="Y34:Y39" si="145">$C34*W34</f>
        <v>4.3384102175442809</v>
      </c>
      <c r="Z34" s="299">
        <f t="shared" si="127"/>
        <v>7.8077513150873612</v>
      </c>
      <c r="AA34" s="4"/>
      <c r="AB34" s="4">
        <f t="shared" si="128"/>
        <v>1.3633309071820781</v>
      </c>
      <c r="AC34" s="4">
        <f t="shared" ref="AC34:AC38" si="146">$F34*AC$32</f>
        <v>6.512113456390658</v>
      </c>
      <c r="AD34" s="267">
        <f t="shared" ref="AD34:AD39" si="147">$C34*AB34</f>
        <v>3.1356610865187795</v>
      </c>
      <c r="AE34" s="299">
        <f t="shared" si="129"/>
        <v>12.731181807243736</v>
      </c>
      <c r="AF34" s="4"/>
      <c r="AG34" s="4">
        <f t="shared" si="130"/>
        <v>1.372523160212912</v>
      </c>
      <c r="AH34" s="4">
        <f t="shared" ref="AH34:AH38" si="148">$F34*AH$32</f>
        <v>9.4274768397870901</v>
      </c>
      <c r="AI34" s="267">
        <f t="shared" ref="AI34:AI39" si="149">$C34*AG34</f>
        <v>3.1568032684896972</v>
      </c>
      <c r="AJ34" s="299">
        <f t="shared" si="131"/>
        <v>18.430717221783759</v>
      </c>
      <c r="AK34" s="4"/>
      <c r="AL34" s="4">
        <f t="shared" si="132"/>
        <v>1.1692173695874499</v>
      </c>
      <c r="AM34" s="4">
        <f t="shared" ref="AM34:AM38" si="150">$F34*AM$32</f>
        <v>12.780782630412551</v>
      </c>
      <c r="AN34" s="267">
        <f t="shared" ref="AN34:AN39" si="151">$C34*AL34</f>
        <v>2.6891999500511345</v>
      </c>
      <c r="AO34" s="299">
        <f t="shared" si="133"/>
        <v>24.986430042456536</v>
      </c>
      <c r="AP34" s="4"/>
      <c r="AQ34" s="4">
        <f t="shared" si="134"/>
        <v>2.5835401884221261</v>
      </c>
      <c r="AR34" s="4">
        <f t="shared" ref="AR34:AR38" si="152">$F34*AR$32</f>
        <v>16.616459811577879</v>
      </c>
      <c r="AS34" s="267">
        <f t="shared" ref="AS34:AS39" si="153">$C34*AQ34</f>
        <v>5.9421424333708899</v>
      </c>
      <c r="AT34" s="299">
        <f t="shared" si="135"/>
        <v>32.485178931634749</v>
      </c>
    </row>
    <row r="35" spans="1:46" x14ac:dyDescent="0.4">
      <c r="A35" s="7">
        <v>100000</v>
      </c>
      <c r="B35">
        <v>2.5</v>
      </c>
      <c r="C35" s="1">
        <v>2.5</v>
      </c>
      <c r="D35" s="1">
        <f t="shared" si="2"/>
        <v>2.125</v>
      </c>
      <c r="E35" s="4">
        <f t="shared" si="136"/>
        <v>17000</v>
      </c>
      <c r="F35" s="6">
        <v>0.17</v>
      </c>
      <c r="H35" s="4">
        <f t="shared" si="137"/>
        <v>2.125</v>
      </c>
      <c r="I35" s="4">
        <f t="shared" si="138"/>
        <v>0</v>
      </c>
      <c r="J35" s="267">
        <f t="shared" si="139"/>
        <v>5.3125</v>
      </c>
      <c r="K35" s="267">
        <f t="shared" si="88"/>
        <v>0</v>
      </c>
      <c r="L35" s="4"/>
      <c r="M35" s="4">
        <f t="shared" si="123"/>
        <v>3.0940000000000003</v>
      </c>
      <c r="N35" s="4">
        <f t="shared" si="140"/>
        <v>0</v>
      </c>
      <c r="O35" s="267">
        <f t="shared" si="141"/>
        <v>7.7350000000000012</v>
      </c>
      <c r="P35" s="299">
        <f t="shared" si="97"/>
        <v>0</v>
      </c>
      <c r="Q35" s="4"/>
      <c r="R35" s="4">
        <f t="shared" si="124"/>
        <v>2.5107769189050915</v>
      </c>
      <c r="S35" s="4">
        <f t="shared" si="142"/>
        <v>2.0792230810949088</v>
      </c>
      <c r="T35" s="267">
        <f t="shared" si="143"/>
        <v>6.2769422972627282</v>
      </c>
      <c r="U35" s="299">
        <f t="shared" si="125"/>
        <v>4.4183490473266813</v>
      </c>
      <c r="V35" s="4"/>
      <c r="W35" s="4">
        <f t="shared" si="126"/>
        <v>2.1377673535725443</v>
      </c>
      <c r="X35" s="4">
        <f t="shared" si="144"/>
        <v>4.5262326464274567</v>
      </c>
      <c r="Y35" s="267">
        <f t="shared" si="145"/>
        <v>5.3444183839313606</v>
      </c>
      <c r="Z35" s="299">
        <f t="shared" si="127"/>
        <v>9.6182443736583458</v>
      </c>
      <c r="AA35" s="4"/>
      <c r="AB35" s="4">
        <f t="shared" si="128"/>
        <v>1.5451083614730221</v>
      </c>
      <c r="AC35" s="4">
        <f t="shared" si="146"/>
        <v>7.3803952505760799</v>
      </c>
      <c r="AD35" s="267">
        <f t="shared" si="147"/>
        <v>3.8627709036825553</v>
      </c>
      <c r="AE35" s="299">
        <f t="shared" si="129"/>
        <v>15.683339907474171</v>
      </c>
      <c r="AF35" s="4"/>
      <c r="AG35" s="4">
        <f t="shared" si="130"/>
        <v>1.5555262482413004</v>
      </c>
      <c r="AH35" s="4">
        <f t="shared" si="148"/>
        <v>10.684473751758702</v>
      </c>
      <c r="AI35" s="267">
        <f t="shared" si="149"/>
        <v>3.8888156206032507</v>
      </c>
      <c r="AJ35" s="299">
        <f t="shared" si="131"/>
        <v>22.704506722487242</v>
      </c>
      <c r="AK35" s="4"/>
      <c r="AL35" s="4">
        <f t="shared" si="132"/>
        <v>1.3251130188657767</v>
      </c>
      <c r="AM35" s="4">
        <f t="shared" si="150"/>
        <v>14.484886981134226</v>
      </c>
      <c r="AN35" s="267">
        <f t="shared" si="151"/>
        <v>3.3127825471644416</v>
      </c>
      <c r="AO35" s="299">
        <f t="shared" si="133"/>
        <v>30.78038483491023</v>
      </c>
      <c r="AP35" s="4"/>
      <c r="AQ35" s="4">
        <f t="shared" si="134"/>
        <v>2.9280122135450766</v>
      </c>
      <c r="AR35" s="4">
        <f t="shared" si="152"/>
        <v>18.831987786454931</v>
      </c>
      <c r="AS35" s="267">
        <f t="shared" si="153"/>
        <v>7.3200305338626919</v>
      </c>
      <c r="AT35" s="299">
        <f t="shared" si="135"/>
        <v>40.017974046216729</v>
      </c>
    </row>
    <row r="36" spans="1:46" x14ac:dyDescent="0.4">
      <c r="B36">
        <v>3</v>
      </c>
      <c r="C36" s="1">
        <v>2.5</v>
      </c>
      <c r="D36" s="1">
        <f t="shared" si="2"/>
        <v>2.125</v>
      </c>
      <c r="E36" s="4">
        <f t="shared" si="136"/>
        <v>26000</v>
      </c>
      <c r="F36" s="6">
        <v>0.26</v>
      </c>
      <c r="H36" s="4">
        <f t="shared" si="137"/>
        <v>3.25</v>
      </c>
      <c r="I36" s="4">
        <f t="shared" si="138"/>
        <v>0</v>
      </c>
      <c r="J36" s="267">
        <f t="shared" si="139"/>
        <v>8.125</v>
      </c>
      <c r="K36" s="267">
        <f t="shared" si="88"/>
        <v>0</v>
      </c>
      <c r="L36" s="4"/>
      <c r="M36" s="4">
        <f t="shared" si="123"/>
        <v>4.7320000000000002</v>
      </c>
      <c r="N36" s="4">
        <f t="shared" si="140"/>
        <v>0</v>
      </c>
      <c r="O36" s="267">
        <f t="shared" si="141"/>
        <v>11.83</v>
      </c>
      <c r="P36" s="299">
        <f t="shared" si="97"/>
        <v>0</v>
      </c>
      <c r="Q36" s="4"/>
      <c r="R36" s="4">
        <f t="shared" si="124"/>
        <v>3.8400117583254341</v>
      </c>
      <c r="S36" s="4">
        <f t="shared" si="142"/>
        <v>3.179988241674566</v>
      </c>
      <c r="T36" s="267">
        <f t="shared" si="143"/>
        <v>9.6000293958135856</v>
      </c>
      <c r="U36" s="299">
        <f t="shared" si="125"/>
        <v>6.7574750135584525</v>
      </c>
      <c r="V36" s="4"/>
      <c r="W36" s="4">
        <f t="shared" si="126"/>
        <v>3.269526540758009</v>
      </c>
      <c r="X36" s="4">
        <f t="shared" si="144"/>
        <v>6.9224734592419921</v>
      </c>
      <c r="Y36" s="267">
        <f t="shared" si="145"/>
        <v>8.173816351895022</v>
      </c>
      <c r="Z36" s="299">
        <f t="shared" si="127"/>
        <v>14.710256100889232</v>
      </c>
      <c r="AA36" s="4"/>
      <c r="AB36" s="4">
        <f t="shared" si="128"/>
        <v>2.3631069057822689</v>
      </c>
      <c r="AC36" s="4">
        <f t="shared" si="146"/>
        <v>11.287663324410474</v>
      </c>
      <c r="AD36" s="267">
        <f t="shared" si="147"/>
        <v>5.9077672644556722</v>
      </c>
      <c r="AE36" s="299">
        <f t="shared" si="129"/>
        <v>23.986284564372255</v>
      </c>
      <c r="AF36" s="4"/>
      <c r="AG36" s="4">
        <f t="shared" si="130"/>
        <v>2.3790401443690476</v>
      </c>
      <c r="AH36" s="4">
        <f t="shared" si="148"/>
        <v>16.340959855630956</v>
      </c>
      <c r="AI36" s="267">
        <f t="shared" si="149"/>
        <v>5.9476003609226193</v>
      </c>
      <c r="AJ36" s="299">
        <f t="shared" si="131"/>
        <v>34.724539693215782</v>
      </c>
      <c r="AK36" s="4"/>
      <c r="AL36" s="4">
        <f t="shared" si="132"/>
        <v>2.0266434406182467</v>
      </c>
      <c r="AM36" s="4">
        <f t="shared" si="150"/>
        <v>22.153356559381759</v>
      </c>
      <c r="AN36" s="267">
        <f t="shared" si="151"/>
        <v>5.0666086015456173</v>
      </c>
      <c r="AO36" s="299">
        <f t="shared" si="133"/>
        <v>47.075882688686235</v>
      </c>
      <c r="AP36" s="4"/>
      <c r="AQ36" s="4">
        <f t="shared" si="134"/>
        <v>4.478136326598352</v>
      </c>
      <c r="AR36" s="4">
        <f t="shared" si="152"/>
        <v>28.801863673401659</v>
      </c>
      <c r="AS36" s="267">
        <f t="shared" si="153"/>
        <v>11.195340816495881</v>
      </c>
      <c r="AT36" s="299">
        <f t="shared" si="135"/>
        <v>61.203960305978526</v>
      </c>
    </row>
    <row r="37" spans="1:46" x14ac:dyDescent="0.4">
      <c r="B37">
        <v>3.5</v>
      </c>
      <c r="C37" s="1">
        <v>3.35</v>
      </c>
      <c r="D37" s="1">
        <f t="shared" si="2"/>
        <v>2.8475000000000001</v>
      </c>
      <c r="E37" s="4">
        <f t="shared" si="136"/>
        <v>10000</v>
      </c>
      <c r="F37" s="6">
        <v>0.1</v>
      </c>
      <c r="H37" s="4">
        <f t="shared" si="137"/>
        <v>1.25</v>
      </c>
      <c r="I37" s="4">
        <f t="shared" si="138"/>
        <v>0</v>
      </c>
      <c r="J37" s="267">
        <f t="shared" si="139"/>
        <v>4.1875</v>
      </c>
      <c r="K37" s="267">
        <f t="shared" si="88"/>
        <v>0</v>
      </c>
      <c r="L37" s="4"/>
      <c r="M37" s="4">
        <f t="shared" si="123"/>
        <v>1.82</v>
      </c>
      <c r="N37" s="4">
        <f t="shared" si="140"/>
        <v>0</v>
      </c>
      <c r="O37" s="267">
        <f t="shared" si="141"/>
        <v>6.0970000000000004</v>
      </c>
      <c r="P37" s="299">
        <f t="shared" si="97"/>
        <v>0</v>
      </c>
      <c r="Q37" s="4"/>
      <c r="R37" s="4">
        <f t="shared" si="124"/>
        <v>1.4769275993559363</v>
      </c>
      <c r="S37" s="4">
        <f t="shared" si="142"/>
        <v>1.2230724006440639</v>
      </c>
      <c r="T37" s="267">
        <f t="shared" si="143"/>
        <v>4.9477074578423865</v>
      </c>
      <c r="U37" s="299">
        <f t="shared" si="125"/>
        <v>3.4826986608339721</v>
      </c>
      <c r="V37" s="4"/>
      <c r="W37" s="4">
        <f t="shared" si="126"/>
        <v>1.2575102079838496</v>
      </c>
      <c r="X37" s="4">
        <f t="shared" si="144"/>
        <v>2.6624897920161512</v>
      </c>
      <c r="Y37" s="267">
        <f t="shared" si="145"/>
        <v>4.2126591967458964</v>
      </c>
      <c r="Z37" s="299">
        <f t="shared" si="127"/>
        <v>7.5814396827659909</v>
      </c>
      <c r="AA37" s="4"/>
      <c r="AB37" s="4">
        <f t="shared" si="128"/>
        <v>0.90888727145471881</v>
      </c>
      <c r="AC37" s="4">
        <f t="shared" si="146"/>
        <v>4.3414089709271053</v>
      </c>
      <c r="AD37" s="267">
        <f t="shared" si="147"/>
        <v>3.044772359373308</v>
      </c>
      <c r="AE37" s="299">
        <f t="shared" si="129"/>
        <v>12.362162044714934</v>
      </c>
      <c r="AF37" s="4"/>
      <c r="AG37" s="4">
        <f t="shared" si="130"/>
        <v>0.91501544014194147</v>
      </c>
      <c r="AH37" s="4">
        <f t="shared" si="148"/>
        <v>6.28498455985806</v>
      </c>
      <c r="AI37" s="267">
        <f t="shared" si="149"/>
        <v>3.0653017244755039</v>
      </c>
      <c r="AJ37" s="299">
        <f t="shared" si="131"/>
        <v>17.896493534195827</v>
      </c>
      <c r="AK37" s="4"/>
      <c r="AL37" s="4">
        <f t="shared" si="132"/>
        <v>0.77947824639163343</v>
      </c>
      <c r="AM37" s="4">
        <f t="shared" si="150"/>
        <v>8.5205217536083691</v>
      </c>
      <c r="AN37" s="267">
        <f t="shared" si="151"/>
        <v>2.6112521254119723</v>
      </c>
      <c r="AO37" s="299">
        <f t="shared" si="133"/>
        <v>24.262185693399832</v>
      </c>
      <c r="AP37" s="4"/>
      <c r="AQ37" s="4">
        <f t="shared" si="134"/>
        <v>1.7223601256147507</v>
      </c>
      <c r="AR37" s="4">
        <f t="shared" si="152"/>
        <v>11.077639874385254</v>
      </c>
      <c r="AS37" s="267">
        <f t="shared" si="153"/>
        <v>5.7699064208094146</v>
      </c>
      <c r="AT37" s="299">
        <f t="shared" si="135"/>
        <v>31.54357954231201</v>
      </c>
    </row>
    <row r="38" spans="1:46" x14ac:dyDescent="0.4">
      <c r="B38">
        <v>4</v>
      </c>
      <c r="C38" s="1">
        <v>3.35</v>
      </c>
      <c r="D38" s="1">
        <f t="shared" si="2"/>
        <v>2.8475000000000001</v>
      </c>
      <c r="E38" s="4">
        <f t="shared" si="136"/>
        <v>17000</v>
      </c>
      <c r="F38" s="6">
        <v>0.17</v>
      </c>
      <c r="H38" s="4">
        <f t="shared" si="137"/>
        <v>2.125</v>
      </c>
      <c r="I38" s="4">
        <f t="shared" si="138"/>
        <v>0</v>
      </c>
      <c r="J38" s="267">
        <f t="shared" si="139"/>
        <v>7.1187500000000004</v>
      </c>
      <c r="K38" s="267">
        <f t="shared" si="88"/>
        <v>0</v>
      </c>
      <c r="L38" s="4"/>
      <c r="M38" s="4">
        <f t="shared" si="123"/>
        <v>3.0940000000000003</v>
      </c>
      <c r="N38" s="4">
        <f t="shared" si="140"/>
        <v>0</v>
      </c>
      <c r="O38" s="267">
        <f t="shared" si="141"/>
        <v>10.3649</v>
      </c>
      <c r="P38" s="299">
        <f t="shared" si="97"/>
        <v>0</v>
      </c>
      <c r="Q38" s="4"/>
      <c r="R38" s="4">
        <f t="shared" si="124"/>
        <v>2.5107769189050915</v>
      </c>
      <c r="S38" s="4">
        <f t="shared" si="142"/>
        <v>2.0792230810949088</v>
      </c>
      <c r="T38" s="267">
        <f t="shared" si="143"/>
        <v>8.4111026783320568</v>
      </c>
      <c r="U38" s="299">
        <f t="shared" si="125"/>
        <v>5.9205877234177535</v>
      </c>
      <c r="V38" s="4"/>
      <c r="W38" s="4">
        <f t="shared" si="126"/>
        <v>2.1377673535725443</v>
      </c>
      <c r="X38" s="4">
        <f t="shared" si="144"/>
        <v>4.5262326464274567</v>
      </c>
      <c r="Y38" s="267">
        <f t="shared" si="145"/>
        <v>7.1615206344680233</v>
      </c>
      <c r="Z38" s="299">
        <f t="shared" si="127"/>
        <v>12.888447460702183</v>
      </c>
      <c r="AA38" s="4"/>
      <c r="AB38" s="4">
        <f t="shared" si="128"/>
        <v>1.5451083614730221</v>
      </c>
      <c r="AC38" s="4">
        <f t="shared" si="146"/>
        <v>7.3803952505760799</v>
      </c>
      <c r="AD38" s="267">
        <f t="shared" si="147"/>
        <v>5.1761130109346238</v>
      </c>
      <c r="AE38" s="299">
        <f t="shared" si="129"/>
        <v>21.015675476015389</v>
      </c>
      <c r="AF38" s="4"/>
      <c r="AG38" s="4">
        <f t="shared" si="130"/>
        <v>1.5555262482413004</v>
      </c>
      <c r="AH38" s="4">
        <f t="shared" si="148"/>
        <v>10.684473751758702</v>
      </c>
      <c r="AI38" s="267">
        <f t="shared" si="149"/>
        <v>5.211012931608356</v>
      </c>
      <c r="AJ38" s="299">
        <f t="shared" si="131"/>
        <v>30.424039008132905</v>
      </c>
      <c r="AK38" s="4"/>
      <c r="AL38" s="4">
        <f t="shared" si="132"/>
        <v>1.3251130188657767</v>
      </c>
      <c r="AM38" s="4">
        <f t="shared" si="150"/>
        <v>14.484886981134226</v>
      </c>
      <c r="AN38" s="267">
        <f t="shared" si="151"/>
        <v>4.439128613200352</v>
      </c>
      <c r="AO38" s="299">
        <f t="shared" si="133"/>
        <v>41.24571567877971</v>
      </c>
      <c r="AP38" s="4"/>
      <c r="AQ38" s="4">
        <f t="shared" si="134"/>
        <v>2.9280122135450766</v>
      </c>
      <c r="AR38" s="4">
        <f t="shared" si="152"/>
        <v>18.831987786454931</v>
      </c>
      <c r="AS38" s="267">
        <f t="shared" si="153"/>
        <v>9.8088409153760061</v>
      </c>
      <c r="AT38" s="299">
        <f t="shared" si="135"/>
        <v>53.624085221930422</v>
      </c>
    </row>
    <row r="39" spans="1:46" x14ac:dyDescent="0.4">
      <c r="B39">
        <v>5</v>
      </c>
      <c r="C39" s="1">
        <v>3.6</v>
      </c>
      <c r="D39" s="1">
        <f t="shared" si="2"/>
        <v>3.06</v>
      </c>
      <c r="E39" s="4">
        <f t="shared" si="136"/>
        <v>12000</v>
      </c>
      <c r="F39" s="6">
        <v>0.12</v>
      </c>
      <c r="H39" s="4">
        <f>F39*H$32</f>
        <v>1.5</v>
      </c>
      <c r="I39" s="4">
        <f>$F39*I$32</f>
        <v>0</v>
      </c>
      <c r="J39" s="4">
        <f t="shared" si="139"/>
        <v>5.4</v>
      </c>
      <c r="K39" s="267">
        <f t="shared" si="88"/>
        <v>0</v>
      </c>
      <c r="L39" s="4"/>
      <c r="M39" s="4">
        <f t="shared" si="123"/>
        <v>2.1839999999999997</v>
      </c>
      <c r="N39" s="4">
        <f>$F39*N$32</f>
        <v>0</v>
      </c>
      <c r="O39" s="267">
        <f t="shared" si="141"/>
        <v>7.8623999999999992</v>
      </c>
      <c r="P39" s="299">
        <f t="shared" si="97"/>
        <v>0</v>
      </c>
      <c r="Q39" s="4"/>
      <c r="R39" s="4">
        <f t="shared" si="124"/>
        <v>1.7723131192271233</v>
      </c>
      <c r="S39" s="4">
        <f>$F39*S$32</f>
        <v>1.4676868807728767</v>
      </c>
      <c r="T39" s="267">
        <f t="shared" si="143"/>
        <v>6.3803272292176443</v>
      </c>
      <c r="U39" s="299">
        <f t="shared" si="125"/>
        <v>4.4911218551650025</v>
      </c>
      <c r="V39" s="4"/>
      <c r="W39" s="4">
        <f t="shared" si="126"/>
        <v>1.5090122495806195</v>
      </c>
      <c r="X39" s="4">
        <f>$F39*X$32</f>
        <v>3.1949877504193811</v>
      </c>
      <c r="Y39" s="267">
        <f t="shared" si="145"/>
        <v>5.4324440984902305</v>
      </c>
      <c r="Z39" s="299">
        <f t="shared" si="127"/>
        <v>9.7766625162833058</v>
      </c>
      <c r="AA39" s="4"/>
      <c r="AB39" s="4">
        <f t="shared" si="128"/>
        <v>1.0906647257456625</v>
      </c>
      <c r="AC39" s="4">
        <f>$F39*AC$32</f>
        <v>5.2096907651125264</v>
      </c>
      <c r="AD39" s="267">
        <f t="shared" si="147"/>
        <v>3.9263930126843851</v>
      </c>
      <c r="AE39" s="299">
        <f t="shared" si="129"/>
        <v>15.94165374124433</v>
      </c>
      <c r="AF39" s="4"/>
      <c r="AG39" s="4">
        <f t="shared" si="130"/>
        <v>1.0980185281703296</v>
      </c>
      <c r="AH39" s="4">
        <f>$F39*AH$32</f>
        <v>7.541981471829672</v>
      </c>
      <c r="AI39" s="267">
        <f t="shared" si="149"/>
        <v>3.9528667014131869</v>
      </c>
      <c r="AJ39" s="299">
        <f t="shared" si="131"/>
        <v>23.078463303798795</v>
      </c>
      <c r="AK39" s="4"/>
      <c r="AL39" s="4">
        <f t="shared" si="132"/>
        <v>0.93537389566995999</v>
      </c>
      <c r="AM39" s="4">
        <f>$F39*AM$32</f>
        <v>10.22462610433004</v>
      </c>
      <c r="AN39" s="267">
        <f t="shared" si="151"/>
        <v>3.367346024411856</v>
      </c>
      <c r="AO39" s="299">
        <f t="shared" si="133"/>
        <v>31.287355879249922</v>
      </c>
      <c r="AP39" s="4"/>
      <c r="AQ39" s="4">
        <f t="shared" si="134"/>
        <v>2.0668321507377008</v>
      </c>
      <c r="AR39" s="4">
        <f>$F39*AR$32</f>
        <v>13.293167849262302</v>
      </c>
      <c r="AS39" s="267">
        <f t="shared" si="153"/>
        <v>7.4405957426557228</v>
      </c>
      <c r="AT39" s="299">
        <f t="shared" si="135"/>
        <v>40.677093618742646</v>
      </c>
    </row>
    <row r="40" spans="1:46" x14ac:dyDescent="0.4">
      <c r="F40" s="6"/>
      <c r="H40" s="4">
        <f>機器台数2!D66</f>
        <v>32.500956112126033</v>
      </c>
      <c r="I40" s="4">
        <f>機器台数2!D73</f>
        <v>0</v>
      </c>
      <c r="J40" s="4">
        <f>SUM(J41:J44)</f>
        <v>201.61504907146616</v>
      </c>
      <c r="K40" s="267"/>
      <c r="L40" s="4"/>
      <c r="M40" s="4">
        <f>機器台数2!F66</f>
        <v>35.104243106291882</v>
      </c>
      <c r="N40" s="4">
        <v>0</v>
      </c>
      <c r="O40" s="4">
        <f>SUM(O41:O44)</f>
        <v>217.76416890859093</v>
      </c>
      <c r="P40" s="297">
        <f>SUM(P41:P44)</f>
        <v>0</v>
      </c>
      <c r="Q40" s="4"/>
      <c r="R40" s="4">
        <f>機器台数2!H66</f>
        <v>34.327087335222942</v>
      </c>
      <c r="S40" s="4">
        <f>機器台数2!H73</f>
        <v>3.4793927250645038</v>
      </c>
      <c r="T40" s="4">
        <f>SUM(T41:T44)</f>
        <v>212.94319384620567</v>
      </c>
      <c r="U40" s="297">
        <f>SUM(U41:U44)</f>
        <v>18.346329341674249</v>
      </c>
      <c r="V40" s="4"/>
      <c r="W40" s="4">
        <f>機器台数2!J66</f>
        <v>34.335511991443887</v>
      </c>
      <c r="X40" s="4">
        <f>機器台数2!J73</f>
        <v>6.2766467121729956</v>
      </c>
      <c r="Y40" s="4">
        <f>SUM(Y41:Y44)</f>
        <v>212.99545500035561</v>
      </c>
      <c r="Z40" s="297">
        <f>SUM(Z41:Z44)</f>
        <v>33.095840809613648</v>
      </c>
      <c r="AA40" s="4"/>
      <c r="AB40" s="4">
        <f>機器台数2!L66</f>
        <v>30.042385012755958</v>
      </c>
      <c r="AC40" s="4">
        <f>機器台数2!L73</f>
        <v>13.574823130747259</v>
      </c>
      <c r="AD40" s="4">
        <f>SUM(AD41:AD44)</f>
        <v>186.36365366220161</v>
      </c>
      <c r="AE40" s="297">
        <f>SUM(AE41:AE44)</f>
        <v>71.57805846911107</v>
      </c>
      <c r="AF40" s="4"/>
      <c r="AG40" s="4">
        <f>機器台数2!N66</f>
        <v>17.315431341862229</v>
      </c>
      <c r="AH40" s="4">
        <f>機器台数2!N73</f>
        <v>29.333563496983587</v>
      </c>
      <c r="AI40" s="4">
        <f>SUM(AI41:AI44)</f>
        <v>107.41381046266059</v>
      </c>
      <c r="AJ40" s="297">
        <f>SUM(AJ41:AJ44)</f>
        <v>154.67159335127877</v>
      </c>
      <c r="AK40" s="4"/>
      <c r="AL40" s="4">
        <f>機器台数2!P66</f>
        <v>12.953284536902624</v>
      </c>
      <c r="AM40" s="4">
        <f>機器台数2!P73</f>
        <v>36.945163554486598</v>
      </c>
      <c r="AN40" s="4">
        <f>SUM(AN41:AN44)</f>
        <v>80.353854469220138</v>
      </c>
      <c r="AO40" s="297">
        <f>SUM(AO41:AO44)</f>
        <v>194.80644805339296</v>
      </c>
      <c r="AP40" s="4"/>
      <c r="AQ40" s="4">
        <f>機器台数2!R66</f>
        <v>7.4396074784980257</v>
      </c>
      <c r="AR40" s="4">
        <f>機器台数2!R73</f>
        <v>45.547053395266914</v>
      </c>
      <c r="AS40" s="4">
        <f>SUM(AS41:AS44)</f>
        <v>46.15054466936752</v>
      </c>
      <c r="AT40" s="297">
        <f>SUM(AT41:AT44)</f>
        <v>240.16295605633243</v>
      </c>
    </row>
    <row r="41" spans="1:46" s="291" customFormat="1" x14ac:dyDescent="0.4">
      <c r="A41" s="291" t="s">
        <v>14</v>
      </c>
      <c r="B41" s="291">
        <v>2</v>
      </c>
      <c r="C41" s="292">
        <v>3.2</v>
      </c>
      <c r="D41" s="292">
        <f t="shared" si="2"/>
        <v>2.72</v>
      </c>
      <c r="E41" s="293">
        <v>5785</v>
      </c>
      <c r="F41" s="294">
        <f>E41/$A$43</f>
        <v>0.16963317010233703</v>
      </c>
      <c r="G41" s="114">
        <f>SUM(H41:H44)</f>
        <v>32.500956112126033</v>
      </c>
      <c r="H41" s="293">
        <f>F41*H$40</f>
        <v>5.5132402166568655</v>
      </c>
      <c r="I41" s="293">
        <f>$F41*I$40</f>
        <v>0</v>
      </c>
      <c r="J41" s="295">
        <f t="shared" si="139"/>
        <v>17.642368693301972</v>
      </c>
      <c r="K41" s="295">
        <f t="shared" si="88"/>
        <v>0</v>
      </c>
      <c r="L41" s="293"/>
      <c r="M41" s="293">
        <f>M$40*$F41</f>
        <v>5.954844042163403</v>
      </c>
      <c r="N41" s="293">
        <f>$F41*N$40</f>
        <v>0</v>
      </c>
      <c r="O41" s="295">
        <f t="shared" si="141"/>
        <v>19.05550093492289</v>
      </c>
      <c r="P41" s="301">
        <f t="shared" si="97"/>
        <v>0</v>
      </c>
      <c r="Q41" s="293"/>
      <c r="R41" s="293">
        <f>R$40*$F41</f>
        <v>5.8230126450536526</v>
      </c>
      <c r="S41" s="293">
        <f>$F41*S$40</f>
        <v>0.59022041798370095</v>
      </c>
      <c r="T41" s="295">
        <f t="shared" ref="T41:T44" si="154">$C41*R41</f>
        <v>18.633640464171688</v>
      </c>
      <c r="U41" s="301">
        <f t="shared" ref="U41:U44" si="155">$D41*S41</f>
        <v>1.6053995369156666</v>
      </c>
      <c r="V41" s="293"/>
      <c r="W41" s="293">
        <f>W$40*$F41</f>
        <v>5.8244417461954336</v>
      </c>
      <c r="X41" s="293">
        <f>$F41*X$40</f>
        <v>1.0647274793983161</v>
      </c>
      <c r="Y41" s="295">
        <f t="shared" ref="Y41:Y44" si="156">$C41*W41</f>
        <v>18.638213587825387</v>
      </c>
      <c r="Z41" s="301">
        <f t="shared" ref="Z41:Z44" si="157">$D41*X41</f>
        <v>2.8960587439634202</v>
      </c>
      <c r="AA41" s="293"/>
      <c r="AB41" s="293">
        <f>AB$40*$F41</f>
        <v>5.0961850071487316</v>
      </c>
      <c r="AC41" s="293">
        <f>$F41*AC$40</f>
        <v>2.3027402812471891</v>
      </c>
      <c r="AD41" s="295">
        <f t="shared" ref="AD41:AD44" si="158">$C41*AB41</f>
        <v>16.30779202287594</v>
      </c>
      <c r="AE41" s="301">
        <f t="shared" ref="AE41:AE44" si="159">$D41*AC41</f>
        <v>6.2634535649923544</v>
      </c>
      <c r="AF41" s="114">
        <f>SUM(AG41:AG44)</f>
        <v>17.315431341862229</v>
      </c>
      <c r="AG41" s="293">
        <f>AG$40*$F41</f>
        <v>2.9372715102094533</v>
      </c>
      <c r="AH41" s="293">
        <f>$F41*AH$40</f>
        <v>4.975945366391521</v>
      </c>
      <c r="AI41" s="295">
        <f t="shared" ref="AI41:AI44" si="160">$C41*AG41</f>
        <v>9.3992688326702503</v>
      </c>
      <c r="AJ41" s="301">
        <f t="shared" ref="AJ41:AJ44" si="161">$D41*AH41</f>
        <v>13.534571396584939</v>
      </c>
      <c r="AK41" s="114">
        <f>SUM(AL41:AL44)</f>
        <v>12.953284536902624</v>
      </c>
      <c r="AL41" s="293">
        <f>AL$40*$F41</f>
        <v>2.1973067192323747</v>
      </c>
      <c r="AM41" s="293">
        <f>$F41*AM$40</f>
        <v>6.2671252136968878</v>
      </c>
      <c r="AN41" s="295">
        <f t="shared" ref="AN41:AN44" si="162">$C41*AL41</f>
        <v>7.0313815015435992</v>
      </c>
      <c r="AO41" s="301">
        <f t="shared" ref="AO41:AO44" si="163">$D41*AM41</f>
        <v>17.046580581255537</v>
      </c>
      <c r="AP41" s="293"/>
      <c r="AQ41" s="293">
        <f>AQ$40*$F41</f>
        <v>1.2620042008946744</v>
      </c>
      <c r="AR41" s="293">
        <f>$F41*AR$40</f>
        <v>7.7262910562595399</v>
      </c>
      <c r="AS41" s="295">
        <f t="shared" ref="AS41:AS44" si="164">$C41*AQ41</f>
        <v>4.0384134428629581</v>
      </c>
      <c r="AT41" s="301">
        <f t="shared" ref="AT41:AT44" si="165">$D41*AR41</f>
        <v>21.015511673025951</v>
      </c>
    </row>
    <row r="42" spans="1:46" x14ac:dyDescent="0.4">
      <c r="A42" t="s">
        <v>15</v>
      </c>
      <c r="B42">
        <v>3</v>
      </c>
      <c r="C42" s="1">
        <v>4.7</v>
      </c>
      <c r="D42" s="1">
        <f t="shared" si="2"/>
        <v>3.9950000000000001</v>
      </c>
      <c r="E42" s="4">
        <v>12483</v>
      </c>
      <c r="F42" s="6">
        <f>E42/$A$43</f>
        <v>0.36603817845937309</v>
      </c>
      <c r="H42" s="4">
        <f t="shared" ref="H42:H44" si="166">F42*H$40</f>
        <v>11.896590773470642</v>
      </c>
      <c r="I42" s="4">
        <f t="shared" ref="I42:I44" si="167">$F42*I$40</f>
        <v>0</v>
      </c>
      <c r="J42" s="267">
        <f t="shared" si="139"/>
        <v>55.913976635312018</v>
      </c>
      <c r="K42" s="267">
        <f t="shared" ref="K42:K49" si="168">D42*I42</f>
        <v>0</v>
      </c>
      <c r="L42" s="4"/>
      <c r="M42" s="4">
        <f>M$40*$F42</f>
        <v>12.849493202822085</v>
      </c>
      <c r="N42" s="4">
        <f t="shared" ref="N42:N44" si="169">$F42*N$40</f>
        <v>0</v>
      </c>
      <c r="O42" s="267">
        <f t="shared" si="141"/>
        <v>60.392618053263803</v>
      </c>
      <c r="P42" s="299">
        <f t="shared" si="97"/>
        <v>0</v>
      </c>
      <c r="Q42" s="4"/>
      <c r="R42" s="4">
        <f>R$40*$F42</f>
        <v>12.56502452000082</v>
      </c>
      <c r="S42" s="4">
        <f t="shared" ref="S42:S44" si="170">$F42*S$40</f>
        <v>1.2735905752274053</v>
      </c>
      <c r="T42" s="267">
        <f t="shared" si="154"/>
        <v>59.05561524400386</v>
      </c>
      <c r="U42" s="299">
        <f t="shared" si="155"/>
        <v>5.0879943480334839</v>
      </c>
      <c r="V42" s="4"/>
      <c r="W42" s="4">
        <f>W$40*$F42</f>
        <v>12.568108265818083</v>
      </c>
      <c r="X42" s="4">
        <f t="shared" ref="X42:X44" si="171">$F42*X$40</f>
        <v>2.2974923293568161</v>
      </c>
      <c r="Y42" s="267">
        <f t="shared" si="156"/>
        <v>59.07010884934499</v>
      </c>
      <c r="Z42" s="299">
        <f t="shared" si="157"/>
        <v>9.1784818557804808</v>
      </c>
      <c r="AA42" s="4"/>
      <c r="AB42" s="4">
        <f>AB$40*$F42</f>
        <v>10.996659886644361</v>
      </c>
      <c r="AC42" s="4">
        <f t="shared" ref="AC42:AC44" si="172">$F42*AC$40</f>
        <v>4.968903531686891</v>
      </c>
      <c r="AD42" s="267">
        <f t="shared" si="158"/>
        <v>51.684301467228501</v>
      </c>
      <c r="AE42" s="299">
        <f t="shared" si="159"/>
        <v>19.850769609089131</v>
      </c>
      <c r="AF42" s="4"/>
      <c r="AG42" s="4">
        <f>AG$40*$F42</f>
        <v>6.3381089476135886</v>
      </c>
      <c r="AH42" s="4">
        <f t="shared" ref="AH42:AH44" si="173">$F42*AH$40</f>
        <v>10.737204150158231</v>
      </c>
      <c r="AI42" s="267">
        <f t="shared" si="160"/>
        <v>29.789112053783867</v>
      </c>
      <c r="AJ42" s="299">
        <f t="shared" si="161"/>
        <v>42.895130579882135</v>
      </c>
      <c r="AK42" s="4"/>
      <c r="AL42" s="4">
        <f>AL$40*$F42</f>
        <v>4.7413966769538005</v>
      </c>
      <c r="AM42" s="4">
        <f t="shared" ref="AM42:AM44" si="174">$F42*AM$40</f>
        <v>13.523340370367892</v>
      </c>
      <c r="AN42" s="267">
        <f t="shared" si="162"/>
        <v>22.284564381682863</v>
      </c>
      <c r="AO42" s="299">
        <f t="shared" si="163"/>
        <v>54.025744779619728</v>
      </c>
      <c r="AP42" s="4"/>
      <c r="AQ42" s="4">
        <f>AQ$40*$F42</f>
        <v>2.7231803698821468</v>
      </c>
      <c r="AR42" s="4">
        <f t="shared" ref="AR42:AR44" si="175">$F42*AR$40</f>
        <v>16.671960458995304</v>
      </c>
      <c r="AS42" s="267">
        <f t="shared" si="164"/>
        <v>12.79894773844609</v>
      </c>
      <c r="AT42" s="299">
        <f t="shared" si="165"/>
        <v>66.604482033686239</v>
      </c>
    </row>
    <row r="43" spans="1:46" x14ac:dyDescent="0.4">
      <c r="A43" s="5">
        <f>SUM(E41:E44)</f>
        <v>34103</v>
      </c>
      <c r="B43">
        <v>4</v>
      </c>
      <c r="C43" s="1">
        <v>8.6999999999999993</v>
      </c>
      <c r="D43" s="1">
        <f t="shared" si="2"/>
        <v>7.3949999999999996</v>
      </c>
      <c r="E43" s="4">
        <v>9048</v>
      </c>
      <c r="F43" s="6">
        <f>E43/$A$43</f>
        <v>0.26531390200275634</v>
      </c>
      <c r="H43" s="4">
        <f t="shared" si="166"/>
        <v>8.6229554849284913</v>
      </c>
      <c r="I43" s="4">
        <f t="shared" si="167"/>
        <v>0</v>
      </c>
      <c r="J43" s="267">
        <f>C43*H43</f>
        <v>75.019712718877869</v>
      </c>
      <c r="K43" s="267">
        <f t="shared" si="168"/>
        <v>0</v>
      </c>
      <c r="L43" s="4"/>
      <c r="M43" s="4">
        <f t="shared" ref="M43:M44" si="176">M$40*$F43</f>
        <v>9.3136437153836589</v>
      </c>
      <c r="N43" s="4">
        <f t="shared" si="169"/>
        <v>0</v>
      </c>
      <c r="O43" s="267">
        <f t="shared" si="141"/>
        <v>81.028700323837825</v>
      </c>
      <c r="P43" s="299">
        <f t="shared" si="97"/>
        <v>0</v>
      </c>
      <c r="Q43" s="4"/>
      <c r="R43" s="4">
        <f t="shared" ref="R43:R44" si="177">R$40*$F43</f>
        <v>9.1074534852973983</v>
      </c>
      <c r="S43" s="4">
        <f t="shared" si="170"/>
        <v>0.92313126048686711</v>
      </c>
      <c r="T43" s="267">
        <f t="shared" si="154"/>
        <v>79.234845322087352</v>
      </c>
      <c r="U43" s="299">
        <f t="shared" si="155"/>
        <v>6.8265556713003823</v>
      </c>
      <c r="V43" s="4"/>
      <c r="W43" s="4">
        <f t="shared" ref="W43:W44" si="178">W$40*$F43</f>
        <v>9.1096886637124079</v>
      </c>
      <c r="X43" s="4">
        <f t="shared" si="171"/>
        <v>1.6652816306993889</v>
      </c>
      <c r="Y43" s="267">
        <f t="shared" si="156"/>
        <v>79.254291374297949</v>
      </c>
      <c r="Z43" s="299">
        <f t="shared" si="157"/>
        <v>12.31475765902198</v>
      </c>
      <c r="AA43" s="4"/>
      <c r="AB43" s="4">
        <f t="shared" ref="AB43:AB44" si="179">AB$40*$F43</f>
        <v>7.9706623932034102</v>
      </c>
      <c r="AC43" s="4">
        <f t="shared" si="172"/>
        <v>3.6015892938158283</v>
      </c>
      <c r="AD43" s="267">
        <f t="shared" si="158"/>
        <v>69.344762820869661</v>
      </c>
      <c r="AE43" s="299">
        <f t="shared" si="159"/>
        <v>26.633752827768049</v>
      </c>
      <c r="AF43" s="4"/>
      <c r="AG43" s="4">
        <f t="shared" ref="AG43" si="180">AG$40*$F43</f>
        <v>4.5940246541702914</v>
      </c>
      <c r="AH43" s="4">
        <f t="shared" si="173"/>
        <v>7.7826021910303336</v>
      </c>
      <c r="AI43" s="267">
        <f t="shared" si="160"/>
        <v>39.968014491281529</v>
      </c>
      <c r="AJ43" s="299">
        <f t="shared" si="161"/>
        <v>57.552343202669313</v>
      </c>
      <c r="AK43" s="4"/>
      <c r="AL43" s="4">
        <f t="shared" ref="AL43:AL44" si="181">AL$40*$F43</f>
        <v>3.4366864642376016</v>
      </c>
      <c r="AM43" s="4">
        <f t="shared" si="174"/>
        <v>9.8020655027708621</v>
      </c>
      <c r="AN43" s="267">
        <f t="shared" si="162"/>
        <v>29.899172238867131</v>
      </c>
      <c r="AO43" s="299">
        <f t="shared" si="163"/>
        <v>72.486274392990524</v>
      </c>
      <c r="AP43" s="4"/>
      <c r="AQ43" s="4">
        <f t="shared" ref="AQ43:AQ44" si="182">AQ$40*$F43</f>
        <v>1.9738312894891985</v>
      </c>
      <c r="AR43" s="4">
        <f t="shared" si="175"/>
        <v>12.084266461026157</v>
      </c>
      <c r="AS43" s="267">
        <f t="shared" si="164"/>
        <v>17.172332218556026</v>
      </c>
      <c r="AT43" s="299">
        <f t="shared" si="165"/>
        <v>89.363150479288421</v>
      </c>
    </row>
    <row r="44" spans="1:46" x14ac:dyDescent="0.4">
      <c r="A44" s="6">
        <f>A43/$E$51</f>
        <v>5.3339944193495914E-2</v>
      </c>
      <c r="B44">
        <v>5</v>
      </c>
      <c r="C44" s="1">
        <v>8.1999999999999993</v>
      </c>
      <c r="D44" s="1">
        <f t="shared" si="2"/>
        <v>6.9699999999999989</v>
      </c>
      <c r="E44" s="4">
        <v>6787</v>
      </c>
      <c r="F44" s="6">
        <f>E44/$A$43</f>
        <v>0.19901474943553354</v>
      </c>
      <c r="H44" s="4">
        <f t="shared" si="166"/>
        <v>6.4681696370700346</v>
      </c>
      <c r="I44" s="4">
        <f t="shared" si="167"/>
        <v>0</v>
      </c>
      <c r="J44" s="267">
        <f>$C44*H44</f>
        <v>53.038991023974276</v>
      </c>
      <c r="K44" s="267">
        <f t="shared" si="168"/>
        <v>0</v>
      </c>
      <c r="L44" s="4"/>
      <c r="M44" s="4">
        <f t="shared" si="176"/>
        <v>6.9862621459227343</v>
      </c>
      <c r="N44" s="4">
        <f t="shared" si="169"/>
        <v>0</v>
      </c>
      <c r="O44" s="267">
        <f t="shared" si="141"/>
        <v>57.287349596566415</v>
      </c>
      <c r="P44" s="299">
        <f t="shared" si="97"/>
        <v>0</v>
      </c>
      <c r="Q44" s="4"/>
      <c r="R44" s="4">
        <f t="shared" si="177"/>
        <v>6.8315966848710703</v>
      </c>
      <c r="S44" s="4">
        <f t="shared" si="170"/>
        <v>0.69245047136653048</v>
      </c>
      <c r="T44" s="267">
        <f t="shared" si="154"/>
        <v>56.01909281594277</v>
      </c>
      <c r="U44" s="299">
        <f t="shared" si="155"/>
        <v>4.8263797854247166</v>
      </c>
      <c r="V44" s="4"/>
      <c r="W44" s="4">
        <f t="shared" si="178"/>
        <v>6.833273315717963</v>
      </c>
      <c r="X44" s="4">
        <f t="shared" si="171"/>
        <v>1.2491452727184742</v>
      </c>
      <c r="Y44" s="267">
        <f t="shared" si="156"/>
        <v>56.032841188887289</v>
      </c>
      <c r="Z44" s="299">
        <f t="shared" si="157"/>
        <v>8.7065425508477645</v>
      </c>
      <c r="AA44" s="4"/>
      <c r="AB44" s="4">
        <f t="shared" si="179"/>
        <v>5.978877725759455</v>
      </c>
      <c r="AC44" s="4">
        <f t="shared" si="172"/>
        <v>2.7015900239973507</v>
      </c>
      <c r="AD44" s="267">
        <f t="shared" si="158"/>
        <v>49.026797351227529</v>
      </c>
      <c r="AE44" s="299">
        <f t="shared" si="159"/>
        <v>18.83008246726153</v>
      </c>
      <c r="AF44" s="4"/>
      <c r="AG44" s="4">
        <f>AG$40*$F44</f>
        <v>3.4460262298688962</v>
      </c>
      <c r="AH44" s="4">
        <f t="shared" si="173"/>
        <v>5.837811789403502</v>
      </c>
      <c r="AI44" s="267">
        <f t="shared" si="160"/>
        <v>28.257415084924947</v>
      </c>
      <c r="AJ44" s="299">
        <f t="shared" si="161"/>
        <v>40.689548172142402</v>
      </c>
      <c r="AK44" s="4"/>
      <c r="AL44" s="4">
        <f t="shared" si="181"/>
        <v>2.5778946764788468</v>
      </c>
      <c r="AM44" s="4">
        <f t="shared" si="174"/>
        <v>7.352632467650956</v>
      </c>
      <c r="AN44" s="267">
        <f t="shared" si="162"/>
        <v>21.138736347126542</v>
      </c>
      <c r="AO44" s="299">
        <f t="shared" si="163"/>
        <v>51.247848299527156</v>
      </c>
      <c r="AP44" s="4"/>
      <c r="AQ44" s="4">
        <f t="shared" si="182"/>
        <v>1.480591618232006</v>
      </c>
      <c r="AR44" s="4">
        <f t="shared" si="175"/>
        <v>9.064535418985912</v>
      </c>
      <c r="AS44" s="267">
        <f t="shared" si="164"/>
        <v>12.140851269502448</v>
      </c>
      <c r="AT44" s="299">
        <f t="shared" si="165"/>
        <v>63.179811870331797</v>
      </c>
    </row>
    <row r="45" spans="1:46" x14ac:dyDescent="0.4">
      <c r="A45" s="6"/>
      <c r="F45" s="6"/>
      <c r="H45" s="4">
        <f>機器台数2!D67</f>
        <v>7.9949130816827054</v>
      </c>
      <c r="I45" s="4">
        <f>機器台数2!D74</f>
        <v>0</v>
      </c>
      <c r="J45" s="4">
        <f>SUM(J46:J49)</f>
        <v>56.028530044826653</v>
      </c>
      <c r="K45" s="267"/>
      <c r="L45" s="4"/>
      <c r="M45" s="4">
        <f>機器台数2!F67</f>
        <v>8.6352958806756774</v>
      </c>
      <c r="N45" s="4">
        <v>0</v>
      </c>
      <c r="O45" s="4">
        <f>SUM(O46:O49)</f>
        <v>60.516347051339523</v>
      </c>
      <c r="P45" s="297">
        <f>SUM(P46:P49)</f>
        <v>0</v>
      </c>
      <c r="Q45" s="4"/>
      <c r="R45" s="4">
        <f>機器台数2!H67</f>
        <v>8.4441232635013126</v>
      </c>
      <c r="S45" s="4">
        <f>機器台数2!H74</f>
        <v>0.85589612557740147</v>
      </c>
      <c r="T45" s="4">
        <f>SUM(T46:T49)</f>
        <v>59.176605065946035</v>
      </c>
      <c r="U45" s="297">
        <f>SUM(U46:U49)</f>
        <v>5.098418344594486</v>
      </c>
      <c r="V45" s="4"/>
      <c r="W45" s="4">
        <f>機器台数2!J67</f>
        <v>8.4461956454336224</v>
      </c>
      <c r="X45" s="4">
        <f>機器台数2!J74</f>
        <v>1.5439928823980078</v>
      </c>
      <c r="Y45" s="4">
        <f>SUM(Y46:Y49)</f>
        <v>59.191128364970353</v>
      </c>
      <c r="Z45" s="297">
        <f>SUM(Z46:Z49)</f>
        <v>9.1972862130095443</v>
      </c>
      <c r="AA45" s="4"/>
      <c r="AB45" s="4">
        <f>機器台数2!L67</f>
        <v>7.3901289585083347</v>
      </c>
      <c r="AC45" s="4">
        <f>機器台数2!L74</f>
        <v>3.3392719480350337</v>
      </c>
      <c r="AD45" s="4">
        <f>SUM(AD46:AD49)</f>
        <v>51.790189356227508</v>
      </c>
      <c r="AE45" s="297">
        <f>SUM(AE46:AE49)</f>
        <v>19.891438749026037</v>
      </c>
      <c r="AF45" s="114"/>
      <c r="AG45" s="4">
        <f>機器台数2!N67</f>
        <v>4.2594244942345902</v>
      </c>
      <c r="AH45" s="4">
        <f>機器台数2!N74</f>
        <v>7.2157658908657689</v>
      </c>
      <c r="AI45" s="4">
        <f>SUM(AI46:AI49)</f>
        <v>29.85014231057335</v>
      </c>
      <c r="AJ45" s="297">
        <f>SUM(AJ46:AJ49)</f>
        <v>42.9830117100609</v>
      </c>
      <c r="AK45" s="114"/>
      <c r="AL45" s="4">
        <f>機器台数2!P67</f>
        <v>3.1863796141124276</v>
      </c>
      <c r="AM45" s="4">
        <f>機器台数2!P74</f>
        <v>9.0881440652900949</v>
      </c>
      <c r="AN45" s="4">
        <f>SUM(AN46:AN49)</f>
        <v>22.330219743420415</v>
      </c>
      <c r="AO45" s="297">
        <f>SUM(AO46:AO49)</f>
        <v>54.136429685943568</v>
      </c>
      <c r="AP45" s="4"/>
      <c r="AQ45" s="4">
        <f>機器台数2!R67</f>
        <v>1.8300697046336083</v>
      </c>
      <c r="AR45" s="4">
        <f>機器台数2!R74</f>
        <v>11.204123711488554</v>
      </c>
      <c r="AS45" s="4">
        <f>SUM(AS46:AS49)</f>
        <v>12.825169502481968</v>
      </c>
      <c r="AT45" s="297">
        <f>SUM(AT46:AT49)</f>
        <v>66.740937549194982</v>
      </c>
    </row>
    <row r="46" spans="1:46" x14ac:dyDescent="0.4">
      <c r="A46" t="s">
        <v>16</v>
      </c>
      <c r="B46">
        <v>2</v>
      </c>
      <c r="C46" s="1">
        <v>4.7</v>
      </c>
      <c r="D46" s="1">
        <f t="shared" si="2"/>
        <v>3.9950000000000001</v>
      </c>
      <c r="E46" s="4">
        <v>1935</v>
      </c>
      <c r="F46" s="6">
        <f>E46/$A$47</f>
        <v>0.2306591965669329</v>
      </c>
      <c r="G46" s="114">
        <f>SUM(H46:H49)</f>
        <v>7.9949130816827054</v>
      </c>
      <c r="H46" s="4">
        <f>F46*H$45</f>
        <v>1.8441002280433945</v>
      </c>
      <c r="I46" s="4">
        <f>$F46*I$45</f>
        <v>0</v>
      </c>
      <c r="J46" s="267">
        <f>C46*H46</f>
        <v>8.6672710718039543</v>
      </c>
      <c r="K46" s="267">
        <f t="shared" si="168"/>
        <v>0</v>
      </c>
      <c r="L46" s="4"/>
      <c r="M46" s="4">
        <f>M$45*$F46</f>
        <v>1.991810409954397</v>
      </c>
      <c r="N46" s="4">
        <f>$F46*N$45</f>
        <v>0</v>
      </c>
      <c r="O46" s="267">
        <f t="shared" si="141"/>
        <v>9.3615089267856657</v>
      </c>
      <c r="P46" s="299">
        <f t="shared" si="97"/>
        <v>0</v>
      </c>
      <c r="Q46" s="4"/>
      <c r="R46" s="4">
        <f>R$45*$F46</f>
        <v>1.9477146876713602</v>
      </c>
      <c r="S46" s="4">
        <f>$F46*S$45</f>
        <v>0.19742031267043414</v>
      </c>
      <c r="T46" s="267">
        <f t="shared" ref="T46:T49" si="183">$C46*R46</f>
        <v>9.1542590320553927</v>
      </c>
      <c r="U46" s="299">
        <f t="shared" ref="U46:U49" si="184">$D46*S46</f>
        <v>0.78869414911838442</v>
      </c>
      <c r="V46" s="4"/>
      <c r="W46" s="4">
        <f>W$45*$F46</f>
        <v>1.9481927016228466</v>
      </c>
      <c r="X46" s="4">
        <f>$F46*X$45</f>
        <v>0.35613615775898738</v>
      </c>
      <c r="Y46" s="267">
        <f t="shared" ref="Y46:Y49" si="185">$C46*W46</f>
        <v>9.1565056976273791</v>
      </c>
      <c r="Z46" s="299">
        <f t="shared" ref="Z46:Z49" si="186">$D46*X46</f>
        <v>1.4227639502471545</v>
      </c>
      <c r="AA46" s="4"/>
      <c r="AB46" s="4">
        <f>AB$45*$F46</f>
        <v>1.704601208095557</v>
      </c>
      <c r="AC46" s="4">
        <f>$F46*AC$45</f>
        <v>0.77023378465225778</v>
      </c>
      <c r="AD46" s="267">
        <f t="shared" ref="AD46:AD49" si="187">$C46*AB46</f>
        <v>8.0116256780491177</v>
      </c>
      <c r="AE46" s="299">
        <f t="shared" ref="AE46:AE49" si="188">$D46*AC46</f>
        <v>3.0770839696857699</v>
      </c>
      <c r="AF46" s="114">
        <f>SUM(AG46:AG49)</f>
        <v>4.2594244942345902</v>
      </c>
      <c r="AG46" s="4">
        <f>AG$45*$F46</f>
        <v>0.98247543167766516</v>
      </c>
      <c r="AH46" s="4">
        <f>$F46*AH$45</f>
        <v>1.664382763002177</v>
      </c>
      <c r="AI46" s="267">
        <f t="shared" ref="AI46:AI49" si="189">$C46*AG46</f>
        <v>4.6176345288850262</v>
      </c>
      <c r="AJ46" s="299">
        <f t="shared" ref="AJ46:AJ49" si="190">$D46*AH46</f>
        <v>6.6492091381936973</v>
      </c>
      <c r="AK46" s="114">
        <f>SUM(AL46:AL49)</f>
        <v>3.1863796141124276</v>
      </c>
      <c r="AL46" s="4">
        <f>AL$45*$F46</f>
        <v>0.73496776174842626</v>
      </c>
      <c r="AM46" s="4">
        <f>$F46*AM$45</f>
        <v>2.0962640083843525</v>
      </c>
      <c r="AN46" s="267">
        <f t="shared" ref="AN46:AN49" si="191">$C46*AL46</f>
        <v>3.4543484802176034</v>
      </c>
      <c r="AO46" s="299">
        <f t="shared" ref="AO46:AO49" si="192">$D46*AM46</f>
        <v>8.3745747134954875</v>
      </c>
      <c r="AP46" s="4"/>
      <c r="AQ46" s="4">
        <f>AQ$45*$F46</f>
        <v>0.42212240773227228</v>
      </c>
      <c r="AR46" s="4">
        <f>$F46*AR$45</f>
        <v>2.5843341735284722</v>
      </c>
      <c r="AS46" s="267">
        <f t="shared" ref="AS46:AS49" si="193">$C46*AQ46</f>
        <v>1.9839753163416798</v>
      </c>
      <c r="AT46" s="299">
        <f t="shared" ref="AT46:AT49" si="194">$D46*AR46</f>
        <v>10.324415023246246</v>
      </c>
    </row>
    <row r="47" spans="1:46" x14ac:dyDescent="0.4">
      <c r="A47" s="5">
        <f>SUM(E46:E49)</f>
        <v>8389</v>
      </c>
      <c r="B47">
        <v>3</v>
      </c>
      <c r="C47" s="1">
        <v>7.7</v>
      </c>
      <c r="D47" s="1">
        <f t="shared" si="2"/>
        <v>6.5449999999999999</v>
      </c>
      <c r="E47" s="4">
        <v>2780</v>
      </c>
      <c r="F47" s="6">
        <f>E47/$A$47</f>
        <v>0.33138633925378475</v>
      </c>
      <c r="H47" s="4">
        <f t="shared" ref="H47:H49" si="195">F47*H$45</f>
        <v>2.6494049787910265</v>
      </c>
      <c r="I47" s="4">
        <f t="shared" ref="I47:I49" si="196">$F47*I$45</f>
        <v>0</v>
      </c>
      <c r="J47" s="267">
        <f>C47*H47</f>
        <v>20.400418336690905</v>
      </c>
      <c r="K47" s="267">
        <f t="shared" si="168"/>
        <v>0</v>
      </c>
      <c r="L47" s="4"/>
      <c r="M47" s="4">
        <f>M$45*$F47</f>
        <v>2.8616190902704002</v>
      </c>
      <c r="N47" s="4">
        <f t="shared" ref="N47:N49" si="197">$F47*N$45</f>
        <v>0</v>
      </c>
      <c r="O47" s="267">
        <f t="shared" si="141"/>
        <v>22.034466995082081</v>
      </c>
      <c r="P47" s="299">
        <f t="shared" si="97"/>
        <v>0</v>
      </c>
      <c r="Q47" s="4"/>
      <c r="R47" s="4">
        <f>R$45*$F47</f>
        <v>2.7982670964994218</v>
      </c>
      <c r="S47" s="4">
        <f t="shared" ref="S47:S49" si="198">$F47*S$45</f>
        <v>0.28363228383659272</v>
      </c>
      <c r="T47" s="267">
        <f t="shared" si="183"/>
        <v>21.546656643045548</v>
      </c>
      <c r="U47" s="299">
        <f t="shared" si="184"/>
        <v>1.8563732977104994</v>
      </c>
      <c r="V47" s="4"/>
      <c r="W47" s="4">
        <f>W$45*$F47</f>
        <v>2.7989538555615057</v>
      </c>
      <c r="X47" s="4">
        <f t="shared" ref="X47:X49" si="199">$F47*X$45</f>
        <v>0.51165814913177521</v>
      </c>
      <c r="Y47" s="267">
        <f t="shared" si="185"/>
        <v>21.551944687823593</v>
      </c>
      <c r="Z47" s="299">
        <f t="shared" si="186"/>
        <v>3.3488025860674688</v>
      </c>
      <c r="AA47" s="4"/>
      <c r="AB47" s="4">
        <f>AB$45*$F47</f>
        <v>2.4489877821734618</v>
      </c>
      <c r="AC47" s="4">
        <f t="shared" ref="AC47:AC49" si="200">$F47*AC$45</f>
        <v>1.1065891066321842</v>
      </c>
      <c r="AD47" s="267">
        <f t="shared" si="187"/>
        <v>18.857205922735655</v>
      </c>
      <c r="AE47" s="299">
        <f t="shared" si="188"/>
        <v>7.2426257029076462</v>
      </c>
      <c r="AF47" s="4"/>
      <c r="AG47" s="4">
        <f>AG$45*$F47</f>
        <v>1.4115150904723044</v>
      </c>
      <c r="AH47" s="4">
        <f t="shared" ref="AH47:AH49" si="201">$F47*AH$45</f>
        <v>2.3912062434863319</v>
      </c>
      <c r="AI47" s="267">
        <f t="shared" si="189"/>
        <v>10.868666196636743</v>
      </c>
      <c r="AJ47" s="299">
        <f t="shared" si="190"/>
        <v>15.650444863618043</v>
      </c>
      <c r="AK47" s="4"/>
      <c r="AL47" s="4">
        <f>AL$45*$F47</f>
        <v>1.0559226757936047</v>
      </c>
      <c r="AM47" s="4">
        <f t="shared" ref="AM47:AM49" si="202">$F47*AM$45</f>
        <v>3.0116867924074939</v>
      </c>
      <c r="AN47" s="267">
        <f t="shared" si="191"/>
        <v>8.130604603610756</v>
      </c>
      <c r="AO47" s="299">
        <f t="shared" si="192"/>
        <v>19.711490056307049</v>
      </c>
      <c r="AP47" s="4"/>
      <c r="AQ47" s="4">
        <f>AQ$45*$F47</f>
        <v>0.60646009999778661</v>
      </c>
      <c r="AR47" s="4">
        <f t="shared" ref="AR47:AR49" si="203">$F47*AR$45</f>
        <v>3.7128935412967201</v>
      </c>
      <c r="AS47" s="267">
        <f t="shared" si="193"/>
        <v>4.6697427699829568</v>
      </c>
      <c r="AT47" s="299">
        <f t="shared" si="194"/>
        <v>24.300888227787034</v>
      </c>
    </row>
    <row r="48" spans="1:46" x14ac:dyDescent="0.4">
      <c r="A48" s="6">
        <f>A47/$E$51</f>
        <v>1.3121097611331473E-2</v>
      </c>
      <c r="B48">
        <v>4</v>
      </c>
      <c r="C48" s="1">
        <v>7.7</v>
      </c>
      <c r="D48" s="1">
        <f t="shared" si="2"/>
        <v>6.5449999999999999</v>
      </c>
      <c r="E48" s="4">
        <v>2111</v>
      </c>
      <c r="F48" s="6">
        <f>E48/$A$47</f>
        <v>0.25163905113839552</v>
      </c>
      <c r="H48" s="4">
        <f t="shared" si="195"/>
        <v>2.0118323418085815</v>
      </c>
      <c r="I48" s="4">
        <f t="shared" si="196"/>
        <v>0</v>
      </c>
      <c r="J48" s="267">
        <f>C48*H48</f>
        <v>15.491109031926078</v>
      </c>
      <c r="K48" s="267">
        <f t="shared" si="168"/>
        <v>0</v>
      </c>
      <c r="L48" s="4"/>
      <c r="M48" s="4">
        <f>M$45*$F48</f>
        <v>2.1729776617125229</v>
      </c>
      <c r="N48" s="4">
        <f t="shared" si="197"/>
        <v>0</v>
      </c>
      <c r="O48" s="267">
        <f t="shared" si="141"/>
        <v>16.731927995186428</v>
      </c>
      <c r="P48" s="299">
        <f t="shared" si="97"/>
        <v>0</v>
      </c>
      <c r="Q48" s="4"/>
      <c r="R48" s="4">
        <f>R$45*$F48</f>
        <v>2.1248711657231221</v>
      </c>
      <c r="S48" s="4">
        <f t="shared" si="198"/>
        <v>0.21537688891332632</v>
      </c>
      <c r="T48" s="267">
        <f t="shared" si="183"/>
        <v>16.36150797606804</v>
      </c>
      <c r="U48" s="299">
        <f t="shared" si="184"/>
        <v>1.4096417379377209</v>
      </c>
      <c r="V48" s="4"/>
      <c r="W48" s="4">
        <f>W$45*$F48</f>
        <v>2.1253926579461648</v>
      </c>
      <c r="X48" s="4">
        <f t="shared" si="199"/>
        <v>0.38852890389107098</v>
      </c>
      <c r="Y48" s="267">
        <f t="shared" si="185"/>
        <v>16.365523466185468</v>
      </c>
      <c r="Z48" s="299">
        <f t="shared" si="186"/>
        <v>2.5429216759670594</v>
      </c>
      <c r="AA48" s="4"/>
      <c r="AB48" s="4">
        <f>AB$45*$F48</f>
        <v>1.8596450389094166</v>
      </c>
      <c r="AC48" s="4">
        <f t="shared" si="200"/>
        <v>0.84029122449659743</v>
      </c>
      <c r="AD48" s="267">
        <f t="shared" si="187"/>
        <v>14.319266799602508</v>
      </c>
      <c r="AE48" s="299">
        <f t="shared" si="188"/>
        <v>5.4997060643302298</v>
      </c>
      <c r="AF48" s="4"/>
      <c r="AG48" s="4">
        <f>AG$45*$F48</f>
        <v>1.0718375381248326</v>
      </c>
      <c r="AH48" s="4">
        <f t="shared" si="201"/>
        <v>1.8157684820142612</v>
      </c>
      <c r="AI48" s="267">
        <f t="shared" si="189"/>
        <v>8.253149043561212</v>
      </c>
      <c r="AJ48" s="299">
        <f t="shared" si="190"/>
        <v>11.884204714783339</v>
      </c>
      <c r="AK48" s="4"/>
      <c r="AL48" s="4">
        <f>AL$45*$F48</f>
        <v>0.80181754266197813</v>
      </c>
      <c r="AM48" s="4">
        <f t="shared" si="202"/>
        <v>2.2869319491986397</v>
      </c>
      <c r="AN48" s="267">
        <f t="shared" si="191"/>
        <v>6.1739950784972315</v>
      </c>
      <c r="AO48" s="299">
        <f t="shared" si="192"/>
        <v>14.967969607505097</v>
      </c>
      <c r="AP48" s="4"/>
      <c r="AQ48" s="4">
        <f>AQ$45*$F48</f>
        <v>0.46051700399112494</v>
      </c>
      <c r="AR48" s="4">
        <f t="shared" si="203"/>
        <v>2.8193950595961783</v>
      </c>
      <c r="AS48" s="267">
        <f t="shared" si="193"/>
        <v>3.5459809307316621</v>
      </c>
      <c r="AT48" s="299">
        <f t="shared" si="194"/>
        <v>18.452940665056985</v>
      </c>
    </row>
    <row r="49" spans="1:46" x14ac:dyDescent="0.4">
      <c r="B49">
        <v>5</v>
      </c>
      <c r="C49" s="1">
        <v>7.7</v>
      </c>
      <c r="D49" s="1">
        <f t="shared" si="2"/>
        <v>6.5449999999999999</v>
      </c>
      <c r="E49" s="4">
        <v>1563</v>
      </c>
      <c r="F49" s="6">
        <f>E49/$A$47</f>
        <v>0.18631541304088686</v>
      </c>
      <c r="H49" s="4">
        <f t="shared" si="195"/>
        <v>1.4895755330397029</v>
      </c>
      <c r="I49" s="4">
        <f t="shared" si="196"/>
        <v>0</v>
      </c>
      <c r="J49" s="267">
        <f>C49*H49</f>
        <v>11.469731604405712</v>
      </c>
      <c r="K49" s="267">
        <f t="shared" si="168"/>
        <v>0</v>
      </c>
      <c r="L49" s="4"/>
      <c r="M49" s="4">
        <f>M$45*$F49</f>
        <v>1.6088887187383578</v>
      </c>
      <c r="N49" s="4">
        <f t="shared" si="197"/>
        <v>0</v>
      </c>
      <c r="O49" s="267">
        <f t="shared" si="141"/>
        <v>12.388443134285355</v>
      </c>
      <c r="P49" s="299">
        <f t="shared" si="97"/>
        <v>0</v>
      </c>
      <c r="Q49" s="4"/>
      <c r="R49" s="4">
        <f>R$45*$F49</f>
        <v>1.5732703136074087</v>
      </c>
      <c r="S49" s="4">
        <f t="shared" si="198"/>
        <v>0.15946664015704831</v>
      </c>
      <c r="T49" s="267">
        <f t="shared" si="183"/>
        <v>12.114181414777047</v>
      </c>
      <c r="U49" s="299">
        <f t="shared" si="184"/>
        <v>1.0437091598278811</v>
      </c>
      <c r="V49" s="4"/>
      <c r="W49" s="4">
        <f>W$45*$F49</f>
        <v>1.5736564303031053</v>
      </c>
      <c r="X49" s="4">
        <f t="shared" si="199"/>
        <v>0.28766967161617429</v>
      </c>
      <c r="Y49" s="267">
        <f t="shared" si="185"/>
        <v>12.117154513333912</v>
      </c>
      <c r="Z49" s="299">
        <f t="shared" si="186"/>
        <v>1.8827980007278606</v>
      </c>
      <c r="AA49" s="4"/>
      <c r="AB49" s="4">
        <f>AB$45*$F49</f>
        <v>1.3768949293298995</v>
      </c>
      <c r="AC49" s="4">
        <f t="shared" si="200"/>
        <v>0.62215783225399424</v>
      </c>
      <c r="AD49" s="267">
        <f t="shared" si="187"/>
        <v>10.602090955840227</v>
      </c>
      <c r="AE49" s="299">
        <f t="shared" si="188"/>
        <v>4.0720230121023926</v>
      </c>
      <c r="AF49" s="4"/>
      <c r="AG49" s="4">
        <f>AG$45*$F49</f>
        <v>0.79359643395978829</v>
      </c>
      <c r="AH49" s="4">
        <f t="shared" si="201"/>
        <v>1.3444084023629987</v>
      </c>
      <c r="AI49" s="267">
        <f t="shared" si="189"/>
        <v>6.1106925414903701</v>
      </c>
      <c r="AJ49" s="299">
        <f t="shared" si="190"/>
        <v>8.7991529934658264</v>
      </c>
      <c r="AK49" s="4"/>
      <c r="AL49" s="4">
        <f>AL$45*$F49</f>
        <v>0.59367163390841871</v>
      </c>
      <c r="AM49" s="4">
        <f t="shared" si="202"/>
        <v>1.6932613152996088</v>
      </c>
      <c r="AN49" s="267">
        <f t="shared" si="191"/>
        <v>4.5712715810948241</v>
      </c>
      <c r="AO49" s="299">
        <f t="shared" si="192"/>
        <v>11.08239530863594</v>
      </c>
      <c r="AP49" s="4"/>
      <c r="AQ49" s="4">
        <f>AQ$45*$F49</f>
        <v>0.34097019291242453</v>
      </c>
      <c r="AR49" s="4">
        <f t="shared" si="203"/>
        <v>2.0875009370671842</v>
      </c>
      <c r="AS49" s="267">
        <f t="shared" si="193"/>
        <v>2.625470485425669</v>
      </c>
      <c r="AT49" s="299">
        <f t="shared" si="194"/>
        <v>13.66269363310472</v>
      </c>
    </row>
    <row r="50" spans="1:46" s="283" customFormat="1" x14ac:dyDescent="0.4">
      <c r="A50" s="283" t="s">
        <v>20</v>
      </c>
      <c r="C50" s="284"/>
      <c r="D50" s="284">
        <f t="shared" si="2"/>
        <v>0</v>
      </c>
      <c r="E50" s="285">
        <f>SUM(E4:E49)</f>
        <v>739352</v>
      </c>
      <c r="F50" s="286">
        <f>E50/$E$50</f>
        <v>1</v>
      </c>
      <c r="G50" s="285"/>
      <c r="H50" s="285">
        <f>SUM(H3,H11,H19,H24,H32,H40,H45)</f>
        <v>621.81740000000013</v>
      </c>
      <c r="I50" s="285">
        <f>SUM(I3,I11,I19,I24,I32,I40,I45)</f>
        <v>0</v>
      </c>
      <c r="J50" s="285">
        <f>SUM(J3,J11,J19,J24,J32,J40,J45)</f>
        <v>2462.6188677904197</v>
      </c>
      <c r="K50" s="285">
        <f>SUM(K3,K11,K19,K24,K32,K40,K45)</f>
        <v>0</v>
      </c>
      <c r="L50" s="285"/>
      <c r="M50" s="285">
        <f>SUM(M3,M11,M19,M24,M32,M40,M45)</f>
        <v>676.32298151171244</v>
      </c>
      <c r="N50" s="285">
        <f>SUM(N3,N11,N19,N24,N32,N40,N45)</f>
        <v>0.16732723132171323</v>
      </c>
      <c r="O50" s="285">
        <f>SUM(O3,O11,O19,O24,O32,O40,O45)</f>
        <v>2543.4178371662065</v>
      </c>
      <c r="P50" s="296">
        <f>SUM(P3,P11,P19,P24,P32,P40,P45)</f>
        <v>0</v>
      </c>
      <c r="Q50" s="285"/>
      <c r="R50" s="285">
        <f>SUM(R3,R11,R19,R24,R32,R40,R45)</f>
        <v>658.32239278532109</v>
      </c>
      <c r="S50" s="285">
        <f>SUM(S3,S11,S19,S24,S32,S40,S45)</f>
        <v>77.461252040790711</v>
      </c>
      <c r="T50" s="285">
        <f>SUM(T3,T11,T19,T24,T32,T40,T45)</f>
        <v>2478.5552887021031</v>
      </c>
      <c r="U50" s="296">
        <f>SUM(U3,U11,U19,U24,U32,U40,U45)</f>
        <v>223.99825031240795</v>
      </c>
      <c r="V50" s="285"/>
      <c r="W50" s="285">
        <f>SUM(W3,W11,W19,W24,W32,W40,W45)</f>
        <v>656.28616159816931</v>
      </c>
      <c r="X50" s="285">
        <f>SUM(X3,X11,X19,X24,X32,X40,X45)</f>
        <v>144.29743783516108</v>
      </c>
      <c r="Y50" s="285">
        <f>SUM(Y3,Y11,Y19,Y24,Y32,Y40,Y45)</f>
        <v>3563.7134648236884</v>
      </c>
      <c r="Z50" s="296">
        <f>SUM(Z3,Z11,Z19,Z24,Z32,Z40,Z45)</f>
        <v>462.39446079663452</v>
      </c>
      <c r="AA50" s="285"/>
      <c r="AB50" s="285">
        <f>SUM(AB3,AB11,AB19,AB24,AB32,AB40,AB45)</f>
        <v>572.31377793331228</v>
      </c>
      <c r="AC50" s="285">
        <f>SUM(AC3,AC11,AC19,AC24,AC32,AC40,AC45)</f>
        <v>297.91047766017039</v>
      </c>
      <c r="AD50" s="285">
        <f>SUM(AD3,AD11,AD19,AD24,AD32,AD40,AD45)</f>
        <v>2269.3649011291009</v>
      </c>
      <c r="AE50" s="296">
        <f>SUM(AE3,AE11,AE19,AE24,AE32,AE40,AE45)</f>
        <v>966.01485355149453</v>
      </c>
      <c r="AF50" s="285"/>
      <c r="AG50" s="285">
        <f>SUM(AG3,AG11,AG19,AG24,AG32,AG40,AG45)</f>
        <v>333.77425372647286</v>
      </c>
      <c r="AH50" s="285">
        <f>SUM(AH3,AH11,AH19,AH24,AH32,AH40,AH45)</f>
        <v>612.78599458616088</v>
      </c>
      <c r="AI50" s="285">
        <f>SUM(AI3,AI11,AI19,AI24,AI32,AI40,AI45)</f>
        <v>1319.0387491333954</v>
      </c>
      <c r="AJ50" s="296">
        <f>SUM(AJ3,AJ11,AJ19,AJ24,AJ32,AJ40,AJ45)</f>
        <v>2013.0795922254513</v>
      </c>
      <c r="AK50" s="285"/>
      <c r="AL50" s="285">
        <f>SUM(AL3,AL11,AL19,AL24,AL32,AL40,AL45)</f>
        <v>250.6387661380144</v>
      </c>
      <c r="AM50" s="285">
        <f>SUM(AM3,AM11,AM19,AM24,AM32,AM40,AM45)</f>
        <v>777.8411794423123</v>
      </c>
      <c r="AN50" s="285">
        <f>SUM(AN3,AN11,AN19,AN24,AN32,AN40,AN45)</f>
        <v>989.42674667796871</v>
      </c>
      <c r="AO50" s="296">
        <f>SUM(AO3,AO11,AO19,AO24,AO32,AO40,AO45)</f>
        <v>2549.9647015187729</v>
      </c>
      <c r="AP50" s="285"/>
      <c r="AQ50" s="285">
        <f>SUM(AQ3,AQ11,AQ19,AQ24,AQ32,AQ40,AQ45)</f>
        <v>156.69895300211326</v>
      </c>
      <c r="AR50" s="285">
        <f>SUM(AR3,AR11,AR19,AR24,AR32,AR40,AR45)</f>
        <v>964.67780572771585</v>
      </c>
      <c r="AS50" s="285">
        <f>SUM(AS3,AS11,AS19,AS24,AS32,AS40,AS45)</f>
        <v>604.28463533308366</v>
      </c>
      <c r="AT50" s="296">
        <f>SUM(AT3,AT11,AT19,AT24,AT32,AT40,AT45)</f>
        <v>3157.4380880186986</v>
      </c>
    </row>
    <row r="51" spans="1:46" x14ac:dyDescent="0.4">
      <c r="A51" t="s">
        <v>74</v>
      </c>
      <c r="D51" s="1">
        <f t="shared" si="2"/>
        <v>0</v>
      </c>
      <c r="E51" s="4">
        <f>E50-A35</f>
        <v>639352</v>
      </c>
      <c r="J51" s="267"/>
      <c r="K51" s="267"/>
    </row>
    <row r="52" spans="1:46" x14ac:dyDescent="0.4">
      <c r="D52" s="1">
        <f t="shared" si="2"/>
        <v>0</v>
      </c>
      <c r="E52" s="4">
        <f>E51+ﾕﾆﾀﾘAC!E66</f>
        <v>2151955</v>
      </c>
      <c r="J52" s="267"/>
      <c r="K52" s="267"/>
      <c r="R52" s="5">
        <f>R50+S50</f>
        <v>735.78364482611175</v>
      </c>
      <c r="W52" s="5">
        <f>W50+X50</f>
        <v>800.58359943333039</v>
      </c>
      <c r="AB52" s="5">
        <f>AB50+AC50</f>
        <v>870.22425559348267</v>
      </c>
      <c r="AG52" s="5">
        <f>AG50+AH50</f>
        <v>946.5602483126338</v>
      </c>
      <c r="AL52" s="5">
        <f>AL50+AM50</f>
        <v>1028.4799455803268</v>
      </c>
      <c r="AQ52" s="5">
        <f>AQ50+AR50</f>
        <v>1121.3767587298291</v>
      </c>
    </row>
    <row r="53" spans="1:46" x14ac:dyDescent="0.4">
      <c r="D53" s="1">
        <f t="shared" si="2"/>
        <v>0</v>
      </c>
      <c r="E53" s="4">
        <f>E50+ﾕﾆﾀﾘAC!E65</f>
        <v>2551955</v>
      </c>
      <c r="J53" s="267"/>
      <c r="K53" s="267"/>
    </row>
    <row r="54" spans="1:46" x14ac:dyDescent="0.4">
      <c r="K54" s="267"/>
    </row>
    <row r="55" spans="1:46" x14ac:dyDescent="0.4">
      <c r="J55" s="267"/>
      <c r="K55" s="267"/>
    </row>
    <row r="56" spans="1:46" x14ac:dyDescent="0.4">
      <c r="E56" s="4">
        <f>E51+ﾕﾆﾀﾘAC!E66</f>
        <v>2151955</v>
      </c>
      <c r="J56" s="267"/>
      <c r="K56" s="267"/>
    </row>
    <row r="57" spans="1:46" x14ac:dyDescent="0.4">
      <c r="J57" s="267"/>
      <c r="K57" s="267"/>
    </row>
    <row r="58" spans="1:46" x14ac:dyDescent="0.4">
      <c r="J58" s="267"/>
      <c r="K58" s="267"/>
    </row>
    <row r="59" spans="1:46" x14ac:dyDescent="0.4">
      <c r="J59" s="267"/>
      <c r="K59" s="267"/>
    </row>
    <row r="60" spans="1:46" x14ac:dyDescent="0.4">
      <c r="J60" s="267"/>
      <c r="K60" s="267"/>
    </row>
    <row r="61" spans="1:46" x14ac:dyDescent="0.4">
      <c r="J61" s="267"/>
      <c r="K61" s="267"/>
    </row>
    <row r="62" spans="1:46" x14ac:dyDescent="0.4">
      <c r="G62" s="276"/>
      <c r="H62" s="276"/>
      <c r="I62" s="276"/>
      <c r="J62" s="276"/>
      <c r="K62" s="278"/>
    </row>
    <row r="63" spans="1:46" x14ac:dyDescent="0.4">
      <c r="J63" s="267"/>
      <c r="K63" s="267"/>
    </row>
    <row r="64" spans="1:46" x14ac:dyDescent="0.4">
      <c r="J64" s="267"/>
      <c r="K64" s="267"/>
    </row>
    <row r="65" spans="8:11" x14ac:dyDescent="0.4">
      <c r="J65" s="267"/>
      <c r="K65" s="267"/>
    </row>
    <row r="66" spans="8:11" x14ac:dyDescent="0.4">
      <c r="J66" s="267"/>
      <c r="K66" s="267"/>
    </row>
    <row r="67" spans="8:11" x14ac:dyDescent="0.4">
      <c r="J67" s="267"/>
      <c r="K67" s="267"/>
    </row>
    <row r="68" spans="8:11" x14ac:dyDescent="0.4">
      <c r="J68" s="267"/>
      <c r="K68" s="267"/>
    </row>
    <row r="69" spans="8:11" x14ac:dyDescent="0.4">
      <c r="J69" s="267"/>
      <c r="K69" s="267"/>
    </row>
    <row r="70" spans="8:11" x14ac:dyDescent="0.4">
      <c r="K70" s="267"/>
    </row>
    <row r="71" spans="8:11" x14ac:dyDescent="0.4">
      <c r="J71" s="267"/>
      <c r="K71" s="267"/>
    </row>
    <row r="72" spans="8:11" x14ac:dyDescent="0.4">
      <c r="J72" s="267"/>
      <c r="K72" s="267"/>
    </row>
    <row r="73" spans="8:11" x14ac:dyDescent="0.4">
      <c r="J73" s="267"/>
      <c r="K73" s="267"/>
    </row>
    <row r="74" spans="8:11" x14ac:dyDescent="0.4">
      <c r="J74" s="267"/>
      <c r="K74" s="267"/>
    </row>
    <row r="75" spans="8:11" x14ac:dyDescent="0.4">
      <c r="K75" s="267"/>
    </row>
    <row r="76" spans="8:11" x14ac:dyDescent="0.4">
      <c r="J76" s="267"/>
      <c r="K76" s="267"/>
    </row>
    <row r="77" spans="8:11" x14ac:dyDescent="0.4">
      <c r="J77" s="267"/>
      <c r="K77" s="267"/>
    </row>
    <row r="78" spans="8:11" x14ac:dyDescent="0.4">
      <c r="J78" s="267"/>
      <c r="K78" s="267"/>
    </row>
    <row r="79" spans="8:11" x14ac:dyDescent="0.4">
      <c r="J79" s="267"/>
      <c r="K79" s="267"/>
    </row>
    <row r="80" spans="8:11" x14ac:dyDescent="0.4">
      <c r="H80" s="267"/>
      <c r="I80" s="267"/>
      <c r="J80" s="267"/>
      <c r="K80" s="267"/>
    </row>
    <row r="81" spans="10:11" x14ac:dyDescent="0.4">
      <c r="J81" s="267"/>
      <c r="K81" s="267"/>
    </row>
    <row r="82" spans="10:11" x14ac:dyDescent="0.4">
      <c r="J82" s="267"/>
    </row>
  </sheetData>
  <phoneticPr fontId="2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DCF7E-E3AB-4663-A5A4-4CE2D4DB0EED}">
  <dimension ref="A1"/>
  <sheetViews>
    <sheetView workbookViewId="0"/>
  </sheetViews>
  <sheetFormatPr defaultRowHeight="15" x14ac:dyDescent="0.4"/>
  <sheetData/>
  <phoneticPr fontId="2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E8D1C-2922-43EE-A345-6A322EF8BBE9}">
  <dimension ref="A1:T74"/>
  <sheetViews>
    <sheetView workbookViewId="0">
      <selection activeCell="Q7" sqref="Q7"/>
    </sheetView>
  </sheetViews>
  <sheetFormatPr defaultRowHeight="15" outlineLevelRow="1" x14ac:dyDescent="0.4"/>
  <cols>
    <col min="1" max="1" width="21.25" bestFit="1" customWidth="1"/>
    <col min="2" max="2" width="12.625" customWidth="1"/>
    <col min="3" max="3" width="6.75" bestFit="1" customWidth="1"/>
    <col min="4" max="4" width="8.875" style="1" bestFit="1" customWidth="1"/>
    <col min="5" max="5" width="7.25" style="1" bestFit="1" customWidth="1"/>
    <col min="6" max="6" width="7.25" style="4" bestFit="1" customWidth="1"/>
    <col min="7" max="7" width="6.75" style="4" bestFit="1" customWidth="1"/>
    <col min="8" max="8" width="9.375" style="4" customWidth="1"/>
    <col min="9" max="9" width="6.75" style="4" bestFit="1" customWidth="1"/>
    <col min="10" max="10" width="8.375" style="4" bestFit="1" customWidth="1"/>
    <col min="11" max="11" width="6.75" style="4" bestFit="1" customWidth="1"/>
    <col min="12" max="12" width="7.625" style="4" bestFit="1" customWidth="1"/>
    <col min="13" max="13" width="6.75" style="4" bestFit="1" customWidth="1"/>
    <col min="14" max="14" width="7.25" style="4" bestFit="1" customWidth="1"/>
    <col min="15" max="15" width="7.75" style="4" bestFit="1" customWidth="1"/>
    <col min="16" max="16" width="7.25" bestFit="1" customWidth="1"/>
    <col min="17" max="17" width="7.875" bestFit="1" customWidth="1"/>
    <col min="18" max="18" width="7.25" bestFit="1" customWidth="1"/>
    <col min="19" max="19" width="6.75" bestFit="1" customWidth="1"/>
  </cols>
  <sheetData>
    <row r="1" spans="2:20" ht="15.6" thickBot="1" x14ac:dyDescent="0.45">
      <c r="B1" t="s">
        <v>167</v>
      </c>
    </row>
    <row r="2" spans="2:20" x14ac:dyDescent="0.4">
      <c r="B2" s="470" t="s">
        <v>153</v>
      </c>
      <c r="C2" s="471"/>
      <c r="D2" s="466">
        <v>22</v>
      </c>
      <c r="E2" s="192"/>
      <c r="F2" s="466">
        <v>23</v>
      </c>
      <c r="G2" s="192"/>
      <c r="H2" s="466">
        <v>24</v>
      </c>
      <c r="I2" s="199"/>
      <c r="J2" s="466">
        <v>25</v>
      </c>
      <c r="K2" s="199"/>
      <c r="L2" s="466">
        <v>26</v>
      </c>
      <c r="M2" s="199"/>
      <c r="N2" s="468">
        <v>27</v>
      </c>
      <c r="O2" s="199"/>
      <c r="P2" s="468">
        <v>28</v>
      </c>
      <c r="Q2" s="199"/>
      <c r="R2" s="466">
        <v>29</v>
      </c>
      <c r="S2" s="201"/>
    </row>
    <row r="3" spans="2:20" ht="15.6" thickBot="1" x14ac:dyDescent="0.45">
      <c r="B3" s="472"/>
      <c r="C3" s="473"/>
      <c r="D3" s="467"/>
      <c r="E3" s="193" t="s">
        <v>149</v>
      </c>
      <c r="F3" s="467"/>
      <c r="G3" s="193" t="s">
        <v>149</v>
      </c>
      <c r="H3" s="467"/>
      <c r="I3" s="193" t="s">
        <v>149</v>
      </c>
      <c r="J3" s="467"/>
      <c r="K3" s="193" t="s">
        <v>149</v>
      </c>
      <c r="L3" s="467"/>
      <c r="M3" s="193" t="s">
        <v>149</v>
      </c>
      <c r="N3" s="469"/>
      <c r="O3" s="193" t="s">
        <v>149</v>
      </c>
      <c r="P3" s="469"/>
      <c r="Q3" s="193" t="s">
        <v>149</v>
      </c>
      <c r="R3" s="467"/>
      <c r="S3" s="202" t="s">
        <v>149</v>
      </c>
    </row>
    <row r="4" spans="2:20" x14ac:dyDescent="0.4">
      <c r="B4" s="216" t="s">
        <v>144</v>
      </c>
      <c r="C4" s="220"/>
      <c r="D4" s="210">
        <f>D10-D7</f>
        <v>2016.058</v>
      </c>
      <c r="E4" s="209">
        <f>D4/$D$10</f>
        <v>0.98054529590118567</v>
      </c>
      <c r="F4" s="210">
        <f>F10-F7</f>
        <v>2107.9773597152011</v>
      </c>
      <c r="G4" s="209">
        <f>F4/$F$10</f>
        <v>0.97683015543471752</v>
      </c>
      <c r="H4" s="210">
        <f>H10-H7</f>
        <v>2204.9488900816</v>
      </c>
      <c r="I4" s="209">
        <f>H4/$H$10</f>
        <v>0.97350933601073963</v>
      </c>
      <c r="J4" s="210">
        <f>J10-J7</f>
        <v>2307.2230285858486</v>
      </c>
      <c r="K4" s="209">
        <f>J4/J$10</f>
        <v>0.97055387771435087</v>
      </c>
      <c r="L4" s="210">
        <f>L10-L7</f>
        <v>2415.0626269696008</v>
      </c>
      <c r="M4" s="209">
        <f>L4/L10</f>
        <v>0.96793667656464211</v>
      </c>
      <c r="N4" s="210">
        <f>N10-N7</f>
        <v>2528.7435666075244</v>
      </c>
      <c r="O4" s="209">
        <f>N4/N10</f>
        <v>0.96563237380413258</v>
      </c>
      <c r="P4" s="210">
        <f>P10-P7</f>
        <v>2648.5554043897955</v>
      </c>
      <c r="Q4" s="209">
        <f>P4/P10</f>
        <v>0.96361725150590483</v>
      </c>
      <c r="R4" s="208">
        <f>R10-R7</f>
        <v>2774.8020506211601</v>
      </c>
      <c r="S4" s="212">
        <f>R4/R10</f>
        <v>0.9618691341486274</v>
      </c>
    </row>
    <row r="5" spans="2:20" x14ac:dyDescent="0.4">
      <c r="B5" s="217"/>
      <c r="C5" s="219" t="s">
        <v>3</v>
      </c>
      <c r="D5" s="213">
        <f>D4</f>
        <v>2016.058</v>
      </c>
      <c r="E5" s="214">
        <f>D5/$D$10</f>
        <v>0.98054529590118567</v>
      </c>
      <c r="F5" s="213">
        <f>F4</f>
        <v>2107.9773597152011</v>
      </c>
      <c r="G5" s="214">
        <f>F5/$F$10</f>
        <v>0.97683015543471752</v>
      </c>
      <c r="H5" s="213">
        <f>H4-H6</f>
        <v>2001.103489974256</v>
      </c>
      <c r="I5" s="214">
        <f>H5/H10</f>
        <v>0.88350933601073955</v>
      </c>
      <c r="J5" s="213">
        <f>J4-J6</f>
        <v>1599.0561200100942</v>
      </c>
      <c r="K5" s="214">
        <f>J5/J10</f>
        <v>0.67265717216332588</v>
      </c>
      <c r="L5" s="213">
        <f>L4-L6</f>
        <v>928.0250507878402</v>
      </c>
      <c r="M5" s="214">
        <f>L5/L10</f>
        <v>0.37194459199406182</v>
      </c>
      <c r="N5" s="215">
        <f>N4-N6</f>
        <v>579.68589165188109</v>
      </c>
      <c r="O5" s="214">
        <f>N5/N10</f>
        <v>0.22136031150344382</v>
      </c>
      <c r="P5" s="215">
        <f>P4-P6</f>
        <v>194.85554043897946</v>
      </c>
      <c r="Q5" s="214">
        <f>P5/P10</f>
        <v>7.0893801204723828E-2</v>
      </c>
      <c r="R5" s="213"/>
      <c r="S5" s="374">
        <f>S4-S6</f>
        <v>0</v>
      </c>
    </row>
    <row r="6" spans="2:20" x14ac:dyDescent="0.4">
      <c r="B6" s="217"/>
      <c r="C6" s="222" t="s">
        <v>57</v>
      </c>
      <c r="D6" s="331"/>
      <c r="E6" s="332"/>
      <c r="F6" s="331"/>
      <c r="G6" s="332"/>
      <c r="H6" s="188">
        <f>H10*I6</f>
        <v>203.84540010734403</v>
      </c>
      <c r="I6" s="198">
        <f>10%-I9</f>
        <v>9.0000000000000011E-2</v>
      </c>
      <c r="J6" s="188">
        <f>J10*K6</f>
        <v>708.16690857575452</v>
      </c>
      <c r="K6" s="198">
        <f>30%-K9</f>
        <v>0.29789670555102504</v>
      </c>
      <c r="L6" s="188">
        <f>L10*M6</f>
        <v>1487.0375761817606</v>
      </c>
      <c r="M6" s="198">
        <f>60%-M9</f>
        <v>0.59599208457058028</v>
      </c>
      <c r="N6" s="186">
        <f>N10*O6</f>
        <v>1949.0576749556433</v>
      </c>
      <c r="O6" s="198">
        <f>75%-O9</f>
        <v>0.74427206230068876</v>
      </c>
      <c r="P6" s="186">
        <f>P10*Q6</f>
        <v>2453.6998639508161</v>
      </c>
      <c r="Q6" s="198">
        <f>90%-Q9</f>
        <v>0.89272345030118094</v>
      </c>
      <c r="R6" s="188">
        <f>R4</f>
        <v>2774.8020506211601</v>
      </c>
      <c r="S6" s="204">
        <f>R6/R10</f>
        <v>0.9618691341486274</v>
      </c>
    </row>
    <row r="7" spans="2:20" x14ac:dyDescent="0.4">
      <c r="B7" s="224" t="s">
        <v>150</v>
      </c>
      <c r="C7" s="225"/>
      <c r="D7" s="189">
        <v>40</v>
      </c>
      <c r="E7" s="195">
        <f>D7/$D$10</f>
        <v>1.9454704098814331E-2</v>
      </c>
      <c r="F7" s="189">
        <v>50</v>
      </c>
      <c r="G7" s="195">
        <f>F7/$F$10</f>
        <v>2.3169844565282531E-2</v>
      </c>
      <c r="H7" s="189">
        <v>60</v>
      </c>
      <c r="I7" s="194">
        <f>H7/$H$10</f>
        <v>2.6490663989260421E-2</v>
      </c>
      <c r="J7" s="189">
        <v>70</v>
      </c>
      <c r="K7" s="194">
        <f>J7/J10</f>
        <v>2.9446122285649096E-2</v>
      </c>
      <c r="L7" s="189">
        <v>80</v>
      </c>
      <c r="M7" s="194">
        <f>L7/L10</f>
        <v>3.2063323435357879E-2</v>
      </c>
      <c r="N7" s="180">
        <v>90</v>
      </c>
      <c r="O7" s="194">
        <f>N7/N10</f>
        <v>3.4367626195867411E-2</v>
      </c>
      <c r="P7" s="180">
        <v>100</v>
      </c>
      <c r="Q7" s="194">
        <f>P7/P10</f>
        <v>3.6382748494095181E-2</v>
      </c>
      <c r="R7" s="189">
        <v>110</v>
      </c>
      <c r="S7" s="203">
        <f>R7/R10</f>
        <v>3.8130865851372583E-2</v>
      </c>
    </row>
    <row r="8" spans="2:20" x14ac:dyDescent="0.4">
      <c r="B8" s="217"/>
      <c r="C8" s="219" t="s">
        <v>3</v>
      </c>
      <c r="D8" s="213">
        <f>D7</f>
        <v>40</v>
      </c>
      <c r="E8" s="214">
        <f>D8/$D$10</f>
        <v>1.9454704098814331E-2</v>
      </c>
      <c r="F8" s="213">
        <f>F7</f>
        <v>50</v>
      </c>
      <c r="G8" s="214">
        <f>F8/$F$10</f>
        <v>2.3169844565282531E-2</v>
      </c>
      <c r="H8" s="213">
        <f>H7-H9</f>
        <v>57.5</v>
      </c>
      <c r="I8" s="214">
        <f>H8/H10</f>
        <v>2.5386886323041237E-2</v>
      </c>
      <c r="J8" s="213">
        <f>J7-J9</f>
        <v>65</v>
      </c>
      <c r="K8" s="214">
        <f>J8/J10</f>
        <v>2.7342827836674164E-2</v>
      </c>
      <c r="L8" s="213">
        <f>L7-L9</f>
        <v>70</v>
      </c>
      <c r="M8" s="214">
        <f>L8/L10</f>
        <v>2.8055408005938146E-2</v>
      </c>
      <c r="N8" s="215">
        <f>N7-N9</f>
        <v>75</v>
      </c>
      <c r="O8" s="214">
        <f>N8/N10</f>
        <v>2.8639688496556175E-2</v>
      </c>
      <c r="P8" s="215">
        <f>P7-P9</f>
        <v>80</v>
      </c>
      <c r="Q8" s="375">
        <f>P8/P10</f>
        <v>2.9106198795276143E-2</v>
      </c>
      <c r="R8" s="213"/>
      <c r="S8" s="374">
        <f>R8/R10</f>
        <v>0</v>
      </c>
    </row>
    <row r="9" spans="2:20" ht="15.6" thickBot="1" x14ac:dyDescent="0.45">
      <c r="B9" s="226"/>
      <c r="C9" s="227" t="s">
        <v>57</v>
      </c>
      <c r="D9" s="331"/>
      <c r="E9" s="332"/>
      <c r="F9" s="331"/>
      <c r="G9" s="332"/>
      <c r="H9" s="188">
        <v>2.5</v>
      </c>
      <c r="I9" s="194">
        <v>0.01</v>
      </c>
      <c r="J9" s="188">
        <v>5</v>
      </c>
      <c r="K9" s="194">
        <f>J9/J10</f>
        <v>2.1032944489749357E-3</v>
      </c>
      <c r="L9" s="188">
        <v>10</v>
      </c>
      <c r="M9" s="194">
        <f>L9/L10</f>
        <v>4.0079154294197349E-3</v>
      </c>
      <c r="N9" s="186">
        <v>15</v>
      </c>
      <c r="O9" s="194">
        <f>N9/N10</f>
        <v>5.7279376993112346E-3</v>
      </c>
      <c r="P9" s="186">
        <v>20</v>
      </c>
      <c r="Q9" s="194">
        <f>P9/P10</f>
        <v>7.2765496988190358E-3</v>
      </c>
      <c r="R9" s="188">
        <f>R7</f>
        <v>110</v>
      </c>
      <c r="S9" s="203">
        <f>R9/R10</f>
        <v>3.8130865851372583E-2</v>
      </c>
    </row>
    <row r="10" spans="2:20" ht="15.6" thickTop="1" x14ac:dyDescent="0.4">
      <c r="B10" s="217" t="s">
        <v>20</v>
      </c>
      <c r="C10" s="221"/>
      <c r="D10" s="190">
        <v>2056.058</v>
      </c>
      <c r="E10" s="196">
        <f>D10/$D$10</f>
        <v>1</v>
      </c>
      <c r="F10" s="190">
        <v>2157.9773597152011</v>
      </c>
      <c r="G10" s="196">
        <f>F10/$F$10</f>
        <v>1</v>
      </c>
      <c r="H10" s="190">
        <v>2264.9488900816</v>
      </c>
      <c r="I10" s="196">
        <f>H10/H10</f>
        <v>1</v>
      </c>
      <c r="J10" s="190">
        <v>2377.2230285858486</v>
      </c>
      <c r="K10" s="196">
        <f>J10/J10</f>
        <v>1</v>
      </c>
      <c r="L10" s="190">
        <v>2495.0626269696008</v>
      </c>
      <c r="M10" s="196">
        <f>L10/L10</f>
        <v>1</v>
      </c>
      <c r="N10" s="182">
        <v>2618.7435666075244</v>
      </c>
      <c r="O10" s="196">
        <f>N10/N10</f>
        <v>1</v>
      </c>
      <c r="P10" s="182">
        <v>2748.5554043897955</v>
      </c>
      <c r="Q10" s="196">
        <f>P10/P10</f>
        <v>1</v>
      </c>
      <c r="R10" s="424">
        <v>2884.8020506211601</v>
      </c>
      <c r="S10" s="205">
        <f>R10/R10</f>
        <v>1</v>
      </c>
    </row>
    <row r="11" spans="2:20" ht="15.6" thickBot="1" x14ac:dyDescent="0.45">
      <c r="B11" s="218" t="s">
        <v>146</v>
      </c>
      <c r="C11" s="223"/>
      <c r="D11" s="347">
        <f>D10</f>
        <v>2056.058</v>
      </c>
      <c r="E11" s="197"/>
      <c r="F11" s="191">
        <v>1.2543827475311427</v>
      </c>
      <c r="G11" s="197"/>
      <c r="H11" s="191">
        <v>1.3165628448173907</v>
      </c>
      <c r="I11" s="197"/>
      <c r="J11" s="191">
        <v>1.3818252266026383</v>
      </c>
      <c r="K11" s="197"/>
      <c r="L11" s="191">
        <v>1.4503226825759881</v>
      </c>
      <c r="M11" s="197"/>
      <c r="N11" s="184">
        <v>1.5222155762533929</v>
      </c>
      <c r="O11" s="197"/>
      <c r="P11" s="184">
        <v>1.5976722204143319</v>
      </c>
      <c r="Q11" s="423"/>
      <c r="R11" s="422">
        <v>1.6768692711489865</v>
      </c>
      <c r="S11" s="206"/>
    </row>
    <row r="12" spans="2:20" hidden="1" x14ac:dyDescent="0.4">
      <c r="B12" s="217" t="s">
        <v>186</v>
      </c>
      <c r="D12" s="6">
        <f>D11/$D$11</f>
        <v>1</v>
      </c>
      <c r="F12" s="6">
        <f>F10/$D$11</f>
        <v>1.0495702746299964</v>
      </c>
      <c r="H12" s="6">
        <f>H10/$D$11</f>
        <v>1.101597761386887</v>
      </c>
      <c r="J12" s="6">
        <f>J10/$D$11</f>
        <v>1.1562042649506232</v>
      </c>
      <c r="L12" s="6">
        <f>L10/$D$11</f>
        <v>1.2135176278925988</v>
      </c>
      <c r="N12" s="6">
        <f>N10/$D$11</f>
        <v>1.2736720299755768</v>
      </c>
      <c r="P12" s="6">
        <f>P10/$D$11</f>
        <v>1.336808302290011</v>
      </c>
      <c r="R12" s="6">
        <f>R10/$D$11</f>
        <v>1.403074256962187</v>
      </c>
    </row>
    <row r="13" spans="2:20" hidden="1" x14ac:dyDescent="0.4">
      <c r="B13" s="217" t="s">
        <v>60</v>
      </c>
      <c r="D13" s="6">
        <v>1.1200000000000001</v>
      </c>
      <c r="F13" s="6">
        <f>F10/D10</f>
        <v>1.0495702746299964</v>
      </c>
      <c r="H13" s="6">
        <f>H10/F10</f>
        <v>1.0495702746299973</v>
      </c>
      <c r="J13" s="6">
        <f>J10/H10</f>
        <v>1.0495702746299955</v>
      </c>
      <c r="L13" s="6">
        <f>L10/J10</f>
        <v>1.0495702746299964</v>
      </c>
      <c r="N13" s="6">
        <f>N10/L10</f>
        <v>1.0495702746299964</v>
      </c>
      <c r="P13" s="6">
        <f>P10/N10</f>
        <v>1.0495702746299964</v>
      </c>
      <c r="R13" s="6">
        <f>R10/P10</f>
        <v>1.0495702746299971</v>
      </c>
    </row>
    <row r="14" spans="2:20" ht="15.6" thickBot="1" x14ac:dyDescent="0.45">
      <c r="B14" s="207"/>
      <c r="L14" s="6"/>
      <c r="N14" s="6"/>
    </row>
    <row r="15" spans="2:20" x14ac:dyDescent="0.4">
      <c r="B15" s="474" t="s">
        <v>9</v>
      </c>
      <c r="C15" s="475"/>
      <c r="D15" s="466">
        <v>22</v>
      </c>
      <c r="E15" s="228"/>
      <c r="F15" s="466">
        <v>23</v>
      </c>
      <c r="G15" s="192"/>
      <c r="H15" s="466">
        <v>24</v>
      </c>
      <c r="I15" s="199"/>
      <c r="J15" s="466">
        <v>25</v>
      </c>
      <c r="K15" s="199"/>
      <c r="L15" s="466">
        <v>26</v>
      </c>
      <c r="M15" s="199"/>
      <c r="N15" s="468">
        <v>27</v>
      </c>
      <c r="O15" s="199"/>
      <c r="P15" s="468">
        <v>28</v>
      </c>
      <c r="Q15" s="199"/>
      <c r="R15" s="466">
        <v>29</v>
      </c>
      <c r="S15" s="201"/>
    </row>
    <row r="16" spans="2:20" ht="15.6" thickBot="1" x14ac:dyDescent="0.45">
      <c r="B16" s="476"/>
      <c r="C16" s="477"/>
      <c r="D16" s="467"/>
      <c r="E16" s="193" t="s">
        <v>152</v>
      </c>
      <c r="F16" s="467"/>
      <c r="G16" s="193" t="s">
        <v>152</v>
      </c>
      <c r="H16" s="467"/>
      <c r="I16" s="193" t="s">
        <v>152</v>
      </c>
      <c r="J16" s="467"/>
      <c r="K16" s="193" t="s">
        <v>152</v>
      </c>
      <c r="L16" s="467"/>
      <c r="M16" s="193" t="s">
        <v>152</v>
      </c>
      <c r="N16" s="469"/>
      <c r="O16" s="193" t="s">
        <v>152</v>
      </c>
      <c r="P16" s="469"/>
      <c r="Q16" s="193" t="s">
        <v>152</v>
      </c>
      <c r="R16" s="467"/>
      <c r="S16" s="202" t="s">
        <v>152</v>
      </c>
      <c r="T16" s="394"/>
    </row>
    <row r="17" spans="1:20" x14ac:dyDescent="0.4">
      <c r="B17" s="216" t="s">
        <v>144</v>
      </c>
      <c r="C17" s="229"/>
      <c r="D17" s="208">
        <f>E17*D4</f>
        <v>1411.2405999999999</v>
      </c>
      <c r="E17" s="209">
        <v>0.7</v>
      </c>
      <c r="F17" s="208">
        <f>F4*G17</f>
        <v>1475.5841518006407</v>
      </c>
      <c r="G17" s="209">
        <f>E17</f>
        <v>0.7</v>
      </c>
      <c r="H17" s="208">
        <f>H4*I17</f>
        <v>1543.4642230571199</v>
      </c>
      <c r="I17" s="209">
        <f>G17</f>
        <v>0.7</v>
      </c>
      <c r="J17" s="208">
        <f>J4*K17</f>
        <v>1615.056120010094</v>
      </c>
      <c r="K17" s="209">
        <f>I17</f>
        <v>0.7</v>
      </c>
      <c r="L17" s="208">
        <f>L4*M17</f>
        <v>1690.5438388787204</v>
      </c>
      <c r="M17" s="209">
        <f>K17</f>
        <v>0.7</v>
      </c>
      <c r="N17" s="210">
        <f>N4*O17</f>
        <v>1770.1204966252669</v>
      </c>
      <c r="O17" s="209">
        <f>M17</f>
        <v>0.7</v>
      </c>
      <c r="P17" s="210">
        <f>P4*Q17</f>
        <v>1853.9887830728567</v>
      </c>
      <c r="Q17" s="209">
        <f>O17</f>
        <v>0.7</v>
      </c>
      <c r="R17" s="208">
        <f>R4*S17</f>
        <v>1942.3614354348119</v>
      </c>
      <c r="S17" s="212">
        <f>Q17</f>
        <v>0.7</v>
      </c>
      <c r="T17" s="280"/>
    </row>
    <row r="18" spans="1:20" x14ac:dyDescent="0.4">
      <c r="B18" s="217"/>
      <c r="C18" s="219" t="s">
        <v>3</v>
      </c>
      <c r="D18" s="213">
        <f>E18*D5</f>
        <v>1411.2405999999999</v>
      </c>
      <c r="E18" s="214">
        <v>0.7</v>
      </c>
      <c r="F18" s="213">
        <f>F17</f>
        <v>1475.5841518006407</v>
      </c>
      <c r="G18" s="214">
        <f>G17</f>
        <v>0.7</v>
      </c>
      <c r="H18" s="213">
        <f>H17-H19</f>
        <v>1543.4642230571199</v>
      </c>
      <c r="I18" s="214">
        <f>I17</f>
        <v>0.7</v>
      </c>
      <c r="J18" s="213">
        <f>J17-J19</f>
        <v>1615.056120010094</v>
      </c>
      <c r="K18" s="214">
        <f>K17</f>
        <v>0.7</v>
      </c>
      <c r="L18" s="213">
        <f>L5*M18</f>
        <v>649.61753555148812</v>
      </c>
      <c r="M18" s="214">
        <v>0.7</v>
      </c>
      <c r="N18" s="215">
        <f>N5*O18</f>
        <v>289.84294582594055</v>
      </c>
      <c r="O18" s="214">
        <v>0.5</v>
      </c>
      <c r="P18" s="215">
        <f>P5*Q18</f>
        <v>77.942216175591795</v>
      </c>
      <c r="Q18" s="214">
        <v>0.4</v>
      </c>
      <c r="R18" s="328"/>
      <c r="S18" s="327"/>
      <c r="T18" s="280"/>
    </row>
    <row r="19" spans="1:20" x14ac:dyDescent="0.4">
      <c r="B19" s="217"/>
      <c r="C19" s="222" t="s">
        <v>57</v>
      </c>
      <c r="D19" s="331"/>
      <c r="E19" s="332"/>
      <c r="F19" s="331"/>
      <c r="G19" s="332"/>
      <c r="H19" s="331"/>
      <c r="I19" s="333"/>
      <c r="J19" s="331"/>
      <c r="K19" s="333"/>
      <c r="L19" s="188">
        <f>L17-L18</f>
        <v>1040.9263033272323</v>
      </c>
      <c r="M19" s="198">
        <f>L19/L6</f>
        <v>0.69999999999999984</v>
      </c>
      <c r="N19" s="186">
        <f>N17-N18</f>
        <v>1480.2775507993265</v>
      </c>
      <c r="O19" s="198">
        <f>N19/N6</f>
        <v>0.75948370836846313</v>
      </c>
      <c r="P19" s="186">
        <f>P17-P18</f>
        <v>1776.0465668972649</v>
      </c>
      <c r="Q19" s="198">
        <f>P19/P6</f>
        <v>0.72382388448991875</v>
      </c>
      <c r="R19" s="188">
        <f>R17</f>
        <v>1942.3614354348119</v>
      </c>
      <c r="S19" s="204">
        <f>S17</f>
        <v>0.7</v>
      </c>
    </row>
    <row r="20" spans="1:20" x14ac:dyDescent="0.4">
      <c r="B20" s="224" t="s">
        <v>150</v>
      </c>
      <c r="C20" s="230"/>
      <c r="D20" s="189">
        <f>D7*E20</f>
        <v>28</v>
      </c>
      <c r="E20" s="195">
        <f>E17</f>
        <v>0.7</v>
      </c>
      <c r="F20" s="189">
        <f>F7*G20</f>
        <v>35</v>
      </c>
      <c r="G20" s="195">
        <f>G17</f>
        <v>0.7</v>
      </c>
      <c r="H20" s="189">
        <f>H7*I20</f>
        <v>42</v>
      </c>
      <c r="I20" s="195">
        <f>I17</f>
        <v>0.7</v>
      </c>
      <c r="J20" s="189">
        <f>J7*K20</f>
        <v>49</v>
      </c>
      <c r="K20" s="195">
        <f>K17</f>
        <v>0.7</v>
      </c>
      <c r="L20" s="189">
        <f>L7*M20</f>
        <v>56</v>
      </c>
      <c r="M20" s="195">
        <f>M17</f>
        <v>0.7</v>
      </c>
      <c r="N20" s="180">
        <f>N7*O20</f>
        <v>62.999999999999993</v>
      </c>
      <c r="O20" s="195">
        <f>O17</f>
        <v>0.7</v>
      </c>
      <c r="P20" s="180">
        <f>P7*Q20</f>
        <v>70</v>
      </c>
      <c r="Q20" s="195">
        <f>Q17</f>
        <v>0.7</v>
      </c>
      <c r="R20" s="189">
        <f>R7*S20</f>
        <v>77</v>
      </c>
      <c r="S20" s="195">
        <f>S17</f>
        <v>0.7</v>
      </c>
    </row>
    <row r="21" spans="1:20" x14ac:dyDescent="0.4">
      <c r="B21" s="217"/>
      <c r="C21" s="219" t="s">
        <v>3</v>
      </c>
      <c r="D21" s="213">
        <f>D20</f>
        <v>28</v>
      </c>
      <c r="E21" s="214">
        <f>E20</f>
        <v>0.7</v>
      </c>
      <c r="F21" s="213">
        <f>F20</f>
        <v>35</v>
      </c>
      <c r="G21" s="214">
        <f>G20</f>
        <v>0.7</v>
      </c>
      <c r="H21" s="213">
        <f>H20-H22</f>
        <v>42</v>
      </c>
      <c r="I21" s="214">
        <f>I20</f>
        <v>0.7</v>
      </c>
      <c r="J21" s="213">
        <f>J8*K21</f>
        <v>45.5</v>
      </c>
      <c r="K21" s="214">
        <f>K20</f>
        <v>0.7</v>
      </c>
      <c r="L21" s="213">
        <f>L8*M21</f>
        <v>49</v>
      </c>
      <c r="M21" s="214">
        <f>M20</f>
        <v>0.7</v>
      </c>
      <c r="N21" s="330"/>
      <c r="O21" s="329"/>
      <c r="P21" s="330"/>
      <c r="Q21" s="329"/>
      <c r="R21" s="328"/>
      <c r="S21" s="327"/>
    </row>
    <row r="22" spans="1:20" ht="15.6" thickBot="1" x14ac:dyDescent="0.45">
      <c r="B22" s="226"/>
      <c r="C22" s="227" t="s">
        <v>57</v>
      </c>
      <c r="D22" s="331"/>
      <c r="E22" s="332"/>
      <c r="F22" s="331"/>
      <c r="G22" s="332"/>
      <c r="H22" s="331"/>
      <c r="I22" s="332"/>
      <c r="J22" s="188">
        <f>J9*K22</f>
        <v>3.5</v>
      </c>
      <c r="K22" s="194">
        <f>K20</f>
        <v>0.7</v>
      </c>
      <c r="L22" s="188">
        <f>L9*M22</f>
        <v>7</v>
      </c>
      <c r="M22" s="194">
        <f>M21</f>
        <v>0.7</v>
      </c>
      <c r="N22" s="186">
        <f>N9*O22</f>
        <v>10.5</v>
      </c>
      <c r="O22" s="194">
        <f>O20</f>
        <v>0.7</v>
      </c>
      <c r="P22" s="186">
        <f>P9*Q22</f>
        <v>14</v>
      </c>
      <c r="Q22" s="194">
        <f>Q20</f>
        <v>0.7</v>
      </c>
      <c r="R22" s="188">
        <f>R9*S22</f>
        <v>77</v>
      </c>
      <c r="S22" s="203">
        <f>S20</f>
        <v>0.7</v>
      </c>
    </row>
    <row r="23" spans="1:20" ht="16.2" thickTop="1" thickBot="1" x14ac:dyDescent="0.45">
      <c r="B23" s="218" t="s">
        <v>20</v>
      </c>
      <c r="C23" s="223"/>
      <c r="D23" s="231">
        <f>D17+D20</f>
        <v>1439.2405999999999</v>
      </c>
      <c r="E23" s="232">
        <f>D23/$D$10</f>
        <v>0.7</v>
      </c>
      <c r="F23" s="231">
        <f>F17+F20</f>
        <v>1510.5841518006407</v>
      </c>
      <c r="G23" s="232">
        <f>F23/$F$10</f>
        <v>0.7</v>
      </c>
      <c r="H23" s="231">
        <f>H17+H20</f>
        <v>1585.4642230571199</v>
      </c>
      <c r="I23" s="232">
        <f>H23/H10</f>
        <v>0.7</v>
      </c>
      <c r="J23" s="231">
        <f>J17+J20</f>
        <v>1664.056120010094</v>
      </c>
      <c r="K23" s="232">
        <f>J23/J10</f>
        <v>0.7</v>
      </c>
      <c r="L23" s="231">
        <f>L17+L20</f>
        <v>1746.5438388787204</v>
      </c>
      <c r="M23" s="232">
        <f>L23/L10</f>
        <v>0.7</v>
      </c>
      <c r="N23" s="233">
        <f>N17+N20</f>
        <v>1833.1204966252669</v>
      </c>
      <c r="O23" s="232">
        <f>N23/N10</f>
        <v>0.7</v>
      </c>
      <c r="P23" s="233">
        <f>P17+P20</f>
        <v>1923.9887830728567</v>
      </c>
      <c r="Q23" s="232">
        <f>P23/P10</f>
        <v>0.7</v>
      </c>
      <c r="R23" s="231">
        <f>R20+R17</f>
        <v>2019.3614354348119</v>
      </c>
      <c r="S23" s="234">
        <f>R23/R10</f>
        <v>0.7</v>
      </c>
    </row>
    <row r="25" spans="1:20" x14ac:dyDescent="0.4">
      <c r="E25" s="237"/>
      <c r="F25" s="1"/>
      <c r="G25" s="237"/>
      <c r="H25" s="1"/>
      <c r="J25" s="1"/>
      <c r="L25" s="1"/>
      <c r="N25" s="1"/>
      <c r="P25" s="1"/>
    </row>
    <row r="26" spans="1:20" hidden="1" outlineLevel="1" x14ac:dyDescent="0.4">
      <c r="B26" s="174"/>
      <c r="C26" s="200"/>
      <c r="D26" s="466">
        <v>22</v>
      </c>
      <c r="E26" s="228"/>
      <c r="F26" s="466">
        <v>23</v>
      </c>
      <c r="G26" s="192"/>
      <c r="H26" s="466">
        <v>24</v>
      </c>
      <c r="I26" s="192"/>
      <c r="J26" s="466">
        <v>25</v>
      </c>
      <c r="K26" s="192"/>
      <c r="L26" s="466">
        <v>26</v>
      </c>
      <c r="M26" s="192"/>
      <c r="N26" s="468">
        <v>27</v>
      </c>
      <c r="O26" s="192"/>
      <c r="P26" s="468">
        <v>28</v>
      </c>
      <c r="Q26" s="192"/>
      <c r="R26" s="466">
        <v>29</v>
      </c>
      <c r="S26" s="258"/>
    </row>
    <row r="27" spans="1:20" hidden="1" outlineLevel="1" x14ac:dyDescent="0.4">
      <c r="B27" s="176"/>
      <c r="D27" s="481"/>
      <c r="E27" s="259" t="s">
        <v>149</v>
      </c>
      <c r="F27" s="481"/>
      <c r="G27" s="259" t="s">
        <v>149</v>
      </c>
      <c r="H27" s="481"/>
      <c r="I27" s="259" t="s">
        <v>149</v>
      </c>
      <c r="J27" s="481"/>
      <c r="K27" s="259" t="s">
        <v>149</v>
      </c>
      <c r="L27" s="481"/>
      <c r="M27" s="259" t="s">
        <v>149</v>
      </c>
      <c r="N27" s="480"/>
      <c r="O27" s="259" t="s">
        <v>149</v>
      </c>
      <c r="P27" s="480"/>
      <c r="Q27" s="259" t="s">
        <v>149</v>
      </c>
      <c r="R27" s="481"/>
      <c r="S27" s="260" t="s">
        <v>149</v>
      </c>
    </row>
    <row r="28" spans="1:20" hidden="1" outlineLevel="1" x14ac:dyDescent="0.4">
      <c r="B28" s="176"/>
      <c r="C28" t="s">
        <v>3</v>
      </c>
      <c r="D28" s="239">
        <f>D17</f>
        <v>1411.2405999999999</v>
      </c>
      <c r="E28" s="240"/>
      <c r="F28" s="239">
        <f>F18</f>
        <v>1475.5841518006407</v>
      </c>
      <c r="G28" s="240"/>
      <c r="H28" s="239">
        <f>H18</f>
        <v>1543.4642230571199</v>
      </c>
      <c r="I28" s="240"/>
      <c r="J28" s="239">
        <f>J18</f>
        <v>1615.056120010094</v>
      </c>
      <c r="K28" s="240"/>
      <c r="L28" s="239">
        <f>L18</f>
        <v>649.61753555148812</v>
      </c>
      <c r="M28" s="240"/>
      <c r="N28" s="168">
        <f>N18</f>
        <v>289.84294582594055</v>
      </c>
      <c r="O28" s="168"/>
      <c r="P28" s="280">
        <f>P18</f>
        <v>77.942216175591795</v>
      </c>
      <c r="R28" s="395"/>
      <c r="S28" s="323"/>
    </row>
    <row r="29" spans="1:20" hidden="1" outlineLevel="1" x14ac:dyDescent="0.4">
      <c r="B29" s="478" t="s">
        <v>154</v>
      </c>
      <c r="C29" s="479"/>
      <c r="D29" s="239">
        <f t="shared" ref="D29:D37" si="0">D$17*E29</f>
        <v>296.36052599999994</v>
      </c>
      <c r="E29" s="240">
        <v>0.21</v>
      </c>
      <c r="F29" s="239">
        <f t="shared" ref="F29:F37" si="1">F$17*G29</f>
        <v>309.87267187813455</v>
      </c>
      <c r="G29" s="240">
        <v>0.21</v>
      </c>
      <c r="H29" s="239">
        <f t="shared" ref="H29:H37" si="2">H$17*I29</f>
        <v>324.12748684199516</v>
      </c>
      <c r="I29" s="240">
        <v>0.21</v>
      </c>
      <c r="J29" s="239">
        <f>J$17*K29</f>
        <v>339.16178520211975</v>
      </c>
      <c r="K29" s="240">
        <v>0.21</v>
      </c>
      <c r="L29" s="239">
        <f>L$28*M29</f>
        <v>136.41968246581251</v>
      </c>
      <c r="M29" s="240">
        <v>0.21</v>
      </c>
      <c r="N29" s="239">
        <f>N$28*O29</f>
        <v>60.867018623447514</v>
      </c>
      <c r="O29" s="240">
        <v>0.21</v>
      </c>
      <c r="P29" s="239">
        <f>P$28*Q29</f>
        <v>16.367865396874276</v>
      </c>
      <c r="Q29" s="240">
        <v>0.21</v>
      </c>
      <c r="R29" s="324"/>
      <c r="S29" s="345"/>
    </row>
    <row r="30" spans="1:20" ht="18" hidden="1" customHeight="1" outlineLevel="1" x14ac:dyDescent="0.4">
      <c r="B30" s="268" t="s">
        <v>155</v>
      </c>
      <c r="C30" s="396"/>
      <c r="D30" s="270">
        <f t="shared" si="0"/>
        <v>91.730638999999996</v>
      </c>
      <c r="E30" s="271">
        <v>6.5000000000000002E-2</v>
      </c>
      <c r="F30" s="239">
        <f t="shared" si="1"/>
        <v>95.912969867041653</v>
      </c>
      <c r="G30" s="271">
        <v>6.5000000000000002E-2</v>
      </c>
      <c r="H30" s="270">
        <f t="shared" si="2"/>
        <v>100.3251744987128</v>
      </c>
      <c r="I30" s="271">
        <v>6.5000000000000002E-2</v>
      </c>
      <c r="J30" s="270">
        <f>J$17*K30</f>
        <v>104.97864780065612</v>
      </c>
      <c r="K30" s="271">
        <v>6.5000000000000002E-2</v>
      </c>
      <c r="L30" s="270">
        <f>L$28*M30</f>
        <v>42.225139810846727</v>
      </c>
      <c r="M30" s="271">
        <v>6.5000000000000002E-2</v>
      </c>
      <c r="N30" s="270">
        <f>N$28*O30</f>
        <v>18.839791478686138</v>
      </c>
      <c r="O30" s="271">
        <v>6.5000000000000002E-2</v>
      </c>
      <c r="P30" s="270">
        <f>P$28*Q30</f>
        <v>5.0662440514134666</v>
      </c>
      <c r="Q30" s="271">
        <v>6.5000000000000002E-2</v>
      </c>
      <c r="R30" s="325"/>
      <c r="S30" s="346"/>
    </row>
    <row r="31" spans="1:20" hidden="1" outlineLevel="1" x14ac:dyDescent="0.4">
      <c r="A31" s="6">
        <f t="shared" ref="A31:A37" si="3">E31/(SUM($E$31:$E$37))</f>
        <v>0.45517241379310341</v>
      </c>
      <c r="B31" s="408" t="s">
        <v>156</v>
      </c>
      <c r="C31" s="397"/>
      <c r="D31" s="239">
        <f t="shared" si="0"/>
        <v>465.70939799999996</v>
      </c>
      <c r="E31" s="240">
        <v>0.33</v>
      </c>
      <c r="F31" s="239">
        <f t="shared" si="1"/>
        <v>486.94277009421148</v>
      </c>
      <c r="G31" s="240">
        <v>0.33</v>
      </c>
      <c r="H31" s="239">
        <f t="shared" si="2"/>
        <v>509.34319360884956</v>
      </c>
      <c r="I31" s="240">
        <v>0.33</v>
      </c>
      <c r="J31" s="239">
        <f>J$17*K31</f>
        <v>532.96851960333106</v>
      </c>
      <c r="K31" s="240">
        <v>0.33</v>
      </c>
      <c r="L31" s="239">
        <f>L$28*M31</f>
        <v>214.37378673199109</v>
      </c>
      <c r="M31" s="240">
        <v>0.33</v>
      </c>
      <c r="N31" s="239">
        <f>N$28*O31</f>
        <v>95.648172122560382</v>
      </c>
      <c r="O31" s="240">
        <v>0.33</v>
      </c>
      <c r="P31" s="239">
        <f>P$28*Q31</f>
        <v>25.720931337945295</v>
      </c>
      <c r="Q31" s="240">
        <v>0.33</v>
      </c>
      <c r="R31" s="324"/>
      <c r="S31" s="345"/>
    </row>
    <row r="32" spans="1:20" ht="25.2" hidden="1" outlineLevel="1" x14ac:dyDescent="0.4">
      <c r="A32" s="6">
        <f t="shared" si="3"/>
        <v>0.10206896551724136</v>
      </c>
      <c r="B32" s="408" t="s">
        <v>157</v>
      </c>
      <c r="D32" s="239">
        <f t="shared" si="0"/>
        <v>104.43180439999999</v>
      </c>
      <c r="E32" s="240">
        <v>7.3999999999999996E-2</v>
      </c>
      <c r="F32" s="239">
        <f t="shared" si="1"/>
        <v>109.19322723324741</v>
      </c>
      <c r="G32" s="240">
        <v>7.3999999999999996E-2</v>
      </c>
      <c r="H32" s="239">
        <f t="shared" si="2"/>
        <v>114.21635250622687</v>
      </c>
      <c r="I32" s="240">
        <v>7.3999999999999996E-2</v>
      </c>
      <c r="J32" s="239">
        <f>J$28*K32</f>
        <v>119.51415288074695</v>
      </c>
      <c r="K32" s="240">
        <v>7.3999999999999996E-2</v>
      </c>
      <c r="L32" s="239">
        <f>L28*M32</f>
        <v>48.071697630810121</v>
      </c>
      <c r="M32" s="240">
        <v>7.3999999999999996E-2</v>
      </c>
      <c r="N32" s="239">
        <f>N28*O32</f>
        <v>21.4483779911196</v>
      </c>
      <c r="O32" s="240">
        <v>7.3999999999999996E-2</v>
      </c>
      <c r="P32" s="239">
        <f>P28*Q32</f>
        <v>5.7677239969937926</v>
      </c>
      <c r="Q32" s="240">
        <v>7.3999999999999996E-2</v>
      </c>
      <c r="R32" s="324"/>
      <c r="S32" s="345"/>
    </row>
    <row r="33" spans="1:19" hidden="1" outlineLevel="1" x14ac:dyDescent="0.4">
      <c r="A33" s="6">
        <f t="shared" si="3"/>
        <v>5.5172413793103441E-2</v>
      </c>
      <c r="B33" s="482" t="s">
        <v>158</v>
      </c>
      <c r="C33" s="483"/>
      <c r="D33" s="239">
        <f t="shared" si="0"/>
        <v>56.449623999999993</v>
      </c>
      <c r="E33" s="240">
        <v>0.04</v>
      </c>
      <c r="F33" s="239">
        <f t="shared" si="1"/>
        <v>59.023366072025631</v>
      </c>
      <c r="G33" s="240">
        <v>0.04</v>
      </c>
      <c r="H33" s="239">
        <f t="shared" si="2"/>
        <v>61.738568922284799</v>
      </c>
      <c r="I33" s="240">
        <v>0.04</v>
      </c>
      <c r="J33" s="239">
        <f>J$17*K33</f>
        <v>64.602244800403767</v>
      </c>
      <c r="K33" s="240">
        <v>0.04</v>
      </c>
      <c r="L33" s="239">
        <f>L$17*M33</f>
        <v>67.621753555148814</v>
      </c>
      <c r="M33" s="240">
        <v>0.04</v>
      </c>
      <c r="N33" s="239">
        <f>N$28*O33</f>
        <v>11.593717833037623</v>
      </c>
      <c r="O33" s="240">
        <v>0.04</v>
      </c>
      <c r="P33" s="239">
        <f>P$28*Q33</f>
        <v>3.1176886470236718</v>
      </c>
      <c r="Q33" s="240">
        <v>0.04</v>
      </c>
      <c r="R33" s="324"/>
      <c r="S33" s="345"/>
    </row>
    <row r="34" spans="1:19" hidden="1" outlineLevel="1" x14ac:dyDescent="0.4">
      <c r="A34" s="6">
        <f t="shared" si="3"/>
        <v>0.11034482758620688</v>
      </c>
      <c r="B34" s="409" t="s">
        <v>159</v>
      </c>
      <c r="D34" s="239">
        <f t="shared" si="0"/>
        <v>112.89924799999999</v>
      </c>
      <c r="E34" s="240">
        <v>0.08</v>
      </c>
      <c r="F34" s="239">
        <f t="shared" si="1"/>
        <v>118.04673214405126</v>
      </c>
      <c r="G34" s="240">
        <v>0.08</v>
      </c>
      <c r="H34" s="239">
        <f t="shared" si="2"/>
        <v>123.4771378445696</v>
      </c>
      <c r="I34" s="240">
        <v>0.08</v>
      </c>
      <c r="J34" s="239">
        <f>J$17*K34</f>
        <v>129.20448960080753</v>
      </c>
      <c r="K34" s="240">
        <v>0.08</v>
      </c>
      <c r="L34" s="239">
        <f>L$17*M34</f>
        <v>135.24350711029763</v>
      </c>
      <c r="M34" s="240">
        <v>0.08</v>
      </c>
      <c r="N34" s="239">
        <f>N$28*O34</f>
        <v>23.187435666075245</v>
      </c>
      <c r="O34" s="240">
        <v>0.08</v>
      </c>
      <c r="P34" s="239">
        <f>P$28*Q34</f>
        <v>6.2353772940473435</v>
      </c>
      <c r="Q34" s="240">
        <v>0.08</v>
      </c>
      <c r="R34" s="324"/>
      <c r="S34" s="345"/>
    </row>
    <row r="35" spans="1:19" hidden="1" outlineLevel="1" x14ac:dyDescent="0.4">
      <c r="A35" s="6">
        <f t="shared" si="3"/>
        <v>0.22620689655172413</v>
      </c>
      <c r="B35" s="409" t="s">
        <v>160</v>
      </c>
      <c r="D35" s="239">
        <f t="shared" si="0"/>
        <v>231.4434584</v>
      </c>
      <c r="E35" s="240">
        <v>0.16400000000000001</v>
      </c>
      <c r="F35" s="239">
        <f t="shared" si="1"/>
        <v>241.99580089530508</v>
      </c>
      <c r="G35" s="240">
        <v>0.16400000000000001</v>
      </c>
      <c r="H35" s="239">
        <f t="shared" si="2"/>
        <v>253.12813258136768</v>
      </c>
      <c r="I35" s="240">
        <v>0.16400000000000001</v>
      </c>
      <c r="J35" s="239">
        <f>J$17*K35</f>
        <v>264.86920368165545</v>
      </c>
      <c r="K35" s="240">
        <v>0.16400000000000001</v>
      </c>
      <c r="L35" s="239">
        <f>L$17*M35</f>
        <v>277.24918957611015</v>
      </c>
      <c r="M35" s="240">
        <v>0.16400000000000001</v>
      </c>
      <c r="N35" s="239">
        <f>N$28*O35</f>
        <v>47.534243115454252</v>
      </c>
      <c r="O35" s="240">
        <v>0.16400000000000001</v>
      </c>
      <c r="P35" s="239">
        <f>P$28*Q35</f>
        <v>12.782523452797054</v>
      </c>
      <c r="Q35" s="240">
        <v>0.16400000000000001</v>
      </c>
      <c r="R35" s="324"/>
      <c r="S35" s="345"/>
    </row>
    <row r="36" spans="1:19" hidden="1" outlineLevel="1" x14ac:dyDescent="0.4">
      <c r="A36" s="6">
        <f t="shared" si="3"/>
        <v>4.6896551724137932E-2</v>
      </c>
      <c r="B36" s="409" t="s">
        <v>161</v>
      </c>
      <c r="D36" s="239">
        <f t="shared" si="0"/>
        <v>47.982180399999997</v>
      </c>
      <c r="E36" s="240">
        <v>3.4000000000000002E-2</v>
      </c>
      <c r="F36" s="239">
        <f t="shared" si="1"/>
        <v>50.169861161221789</v>
      </c>
      <c r="G36" s="240">
        <v>3.4000000000000002E-2</v>
      </c>
      <c r="H36" s="239">
        <f t="shared" si="2"/>
        <v>52.477783583942077</v>
      </c>
      <c r="I36" s="240">
        <v>3.4000000000000002E-2</v>
      </c>
      <c r="J36" s="239">
        <f>J$17*K36</f>
        <v>54.911908080343203</v>
      </c>
      <c r="K36" s="240">
        <v>3.4000000000000002E-2</v>
      </c>
      <c r="L36" s="239">
        <f>L$17*M36</f>
        <v>57.478490521876495</v>
      </c>
      <c r="M36" s="240">
        <v>3.4000000000000002E-2</v>
      </c>
      <c r="N36" s="239">
        <f>N$28*O36</f>
        <v>9.8546601580819786</v>
      </c>
      <c r="O36" s="240">
        <v>3.4000000000000002E-2</v>
      </c>
      <c r="P36" s="239">
        <f>P$28*Q36</f>
        <v>2.6500353499701212</v>
      </c>
      <c r="Q36" s="240">
        <v>3.4000000000000002E-2</v>
      </c>
      <c r="R36" s="324"/>
      <c r="S36" s="345"/>
    </row>
    <row r="37" spans="1:19" hidden="1" outlineLevel="1" x14ac:dyDescent="0.4">
      <c r="A37" s="6">
        <f t="shared" si="3"/>
        <v>4.1379310344827579E-3</v>
      </c>
      <c r="B37" s="409" t="s">
        <v>16</v>
      </c>
      <c r="D37" s="239">
        <f t="shared" si="0"/>
        <v>4.2337217999999996</v>
      </c>
      <c r="E37" s="240">
        <v>3.0000000000000001E-3</v>
      </c>
      <c r="F37" s="239">
        <f t="shared" si="1"/>
        <v>4.426752455401922</v>
      </c>
      <c r="G37" s="240">
        <v>3.0000000000000001E-3</v>
      </c>
      <c r="H37" s="239">
        <f t="shared" si="2"/>
        <v>4.6303926691713597</v>
      </c>
      <c r="I37" s="240">
        <v>3.0000000000000001E-3</v>
      </c>
      <c r="J37" s="239">
        <f>J$17*K37</f>
        <v>4.8451683600302822</v>
      </c>
      <c r="K37" s="240">
        <v>3.0000000000000001E-3</v>
      </c>
      <c r="L37" s="239">
        <f>L$17*M37</f>
        <v>5.0716315166361614</v>
      </c>
      <c r="M37" s="240">
        <v>3.0000000000000001E-3</v>
      </c>
      <c r="N37" s="239">
        <f>N$28*O37</f>
        <v>0.86952883747782161</v>
      </c>
      <c r="O37" s="240">
        <v>3.0000000000000001E-3</v>
      </c>
      <c r="P37" s="239">
        <f>P$28*Q37</f>
        <v>0.2338266485267754</v>
      </c>
      <c r="Q37" s="240">
        <v>3.0000000000000001E-3</v>
      </c>
      <c r="R37" s="324"/>
      <c r="S37" s="345"/>
    </row>
    <row r="38" spans="1:19" hidden="1" outlineLevel="1" x14ac:dyDescent="0.4">
      <c r="B38" s="176"/>
      <c r="C38" t="s">
        <v>57</v>
      </c>
      <c r="F38" s="168"/>
      <c r="G38" s="168"/>
      <c r="H38" s="168"/>
      <c r="I38" s="122"/>
      <c r="J38" s="168"/>
      <c r="K38" s="168"/>
      <c r="L38" s="168">
        <f>L19</f>
        <v>1040.9263033272323</v>
      </c>
      <c r="M38" s="168"/>
      <c r="N38" s="239">
        <f>N19</f>
        <v>1480.2775507993265</v>
      </c>
      <c r="O38" s="168"/>
      <c r="P38" s="280">
        <f>P19</f>
        <v>1776.0465668972649</v>
      </c>
      <c r="R38" s="280">
        <f>R19</f>
        <v>1942.3614354348119</v>
      </c>
      <c r="S38" s="238"/>
    </row>
    <row r="39" spans="1:19" hidden="1" outlineLevel="1" x14ac:dyDescent="0.4">
      <c r="B39" s="478" t="s">
        <v>154</v>
      </c>
      <c r="C39" s="479"/>
      <c r="D39" s="398"/>
      <c r="E39" s="398"/>
      <c r="F39" s="252"/>
      <c r="G39" s="252"/>
      <c r="H39" s="252"/>
      <c r="I39" s="252"/>
      <c r="J39" s="252"/>
      <c r="K39" s="252"/>
      <c r="L39" s="252"/>
      <c r="M39" s="252"/>
      <c r="N39" s="239">
        <f t="shared" ref="N39:N48" si="4">N$38*O39</f>
        <v>148.02775507993266</v>
      </c>
      <c r="O39" s="263">
        <v>0.1</v>
      </c>
      <c r="P39" s="239">
        <f t="shared" ref="P39:P47" si="5">P$38*Q39</f>
        <v>266.40698503458975</v>
      </c>
      <c r="Q39" s="240">
        <v>0.15</v>
      </c>
      <c r="R39" s="239">
        <f t="shared" ref="R39:R48" si="6">R$38*S39</f>
        <v>411.78062431218012</v>
      </c>
      <c r="S39" s="257">
        <v>0.21199999999999999</v>
      </c>
    </row>
    <row r="40" spans="1:19" hidden="1" outlineLevel="1" x14ac:dyDescent="0.4">
      <c r="B40" s="478" t="s">
        <v>155</v>
      </c>
      <c r="C40" s="479"/>
      <c r="D40" s="398"/>
      <c r="E40" s="398"/>
      <c r="F40" s="252"/>
      <c r="G40" s="252"/>
      <c r="H40" s="252"/>
      <c r="I40" s="252"/>
      <c r="J40" s="252"/>
      <c r="K40" s="252"/>
      <c r="L40" s="252"/>
      <c r="M40" s="252"/>
      <c r="N40" s="303">
        <f t="shared" si="4"/>
        <v>44.408326523979795</v>
      </c>
      <c r="O40" s="263">
        <v>0.03</v>
      </c>
      <c r="P40" s="239">
        <f t="shared" si="5"/>
        <v>88.802328344863255</v>
      </c>
      <c r="Q40" s="240">
        <v>0.05</v>
      </c>
      <c r="R40" s="239">
        <f t="shared" si="6"/>
        <v>126.25349330326279</v>
      </c>
      <c r="S40" s="257">
        <v>6.5000000000000002E-2</v>
      </c>
    </row>
    <row r="41" spans="1:19" hidden="1" outlineLevel="1" x14ac:dyDescent="0.4">
      <c r="B41" s="408" t="s">
        <v>156</v>
      </c>
      <c r="C41" s="397"/>
      <c r="D41" s="398"/>
      <c r="E41" s="398"/>
      <c r="F41" s="252"/>
      <c r="G41" s="252"/>
      <c r="H41" s="252"/>
      <c r="I41" s="255"/>
      <c r="J41" s="252"/>
      <c r="K41" s="252"/>
      <c r="L41" s="261">
        <f t="shared" ref="L41:L47" si="7">L$38*M41</f>
        <v>471.09672806408611</v>
      </c>
      <c r="M41" s="243">
        <v>0.45257452574525742</v>
      </c>
      <c r="N41" s="239">
        <f t="shared" si="4"/>
        <v>582.84424215619003</v>
      </c>
      <c r="O41" s="263">
        <f t="shared" ref="O41:O47" si="8">M41*87%</f>
        <v>0.39373983739837393</v>
      </c>
      <c r="P41" s="239">
        <f t="shared" si="5"/>
        <v>643.03474617201789</v>
      </c>
      <c r="Q41" s="240">
        <f t="shared" ref="Q41:Q47" si="9">M41*0.8</f>
        <v>0.36205962059620594</v>
      </c>
      <c r="R41" s="239">
        <f t="shared" si="6"/>
        <v>640.97927369348793</v>
      </c>
      <c r="S41" s="257">
        <v>0.33</v>
      </c>
    </row>
    <row r="42" spans="1:19" ht="25.2" hidden="1" outlineLevel="1" x14ac:dyDescent="0.4">
      <c r="B42" s="408" t="s">
        <v>157</v>
      </c>
      <c r="D42" s="398"/>
      <c r="E42" s="398"/>
      <c r="F42" s="252"/>
      <c r="G42" s="252"/>
      <c r="H42" s="252"/>
      <c r="I42" s="255"/>
      <c r="J42" s="252"/>
      <c r="K42" s="252"/>
      <c r="L42" s="261">
        <f t="shared" si="7"/>
        <v>108.60613191896596</v>
      </c>
      <c r="M42" s="243">
        <v>0.10433604336043359</v>
      </c>
      <c r="N42" s="239">
        <f t="shared" si="4"/>
        <v>134.36828337133721</v>
      </c>
      <c r="O42" s="240">
        <f t="shared" si="8"/>
        <v>9.0772357723577224E-2</v>
      </c>
      <c r="P42" s="239">
        <f t="shared" si="5"/>
        <v>148.24453729115379</v>
      </c>
      <c r="Q42" s="240">
        <f t="shared" si="9"/>
        <v>8.3468834688346871E-2</v>
      </c>
      <c r="R42" s="239">
        <f t="shared" si="6"/>
        <v>145.67710765761089</v>
      </c>
      <c r="S42" s="257">
        <v>7.4999999999999997E-2</v>
      </c>
    </row>
    <row r="43" spans="1:19" hidden="1" outlineLevel="1" x14ac:dyDescent="0.4">
      <c r="B43" s="482" t="s">
        <v>158</v>
      </c>
      <c r="C43" s="483"/>
      <c r="D43" s="398"/>
      <c r="E43" s="398"/>
      <c r="F43" s="252"/>
      <c r="G43" s="252"/>
      <c r="H43" s="252"/>
      <c r="I43" s="255"/>
      <c r="J43" s="252"/>
      <c r="K43" s="252"/>
      <c r="L43" s="261">
        <f t="shared" si="7"/>
        <v>56.418769828034264</v>
      </c>
      <c r="M43" s="243">
        <v>5.4200542005420051E-2</v>
      </c>
      <c r="N43" s="239">
        <f t="shared" si="4"/>
        <v>69.801705647447903</v>
      </c>
      <c r="O43" s="240">
        <f t="shared" si="8"/>
        <v>4.7154471544715443E-2</v>
      </c>
      <c r="P43" s="239">
        <f t="shared" si="5"/>
        <v>77.010149242157823</v>
      </c>
      <c r="Q43" s="240">
        <f t="shared" si="9"/>
        <v>4.3360433604336043E-2</v>
      </c>
      <c r="R43" s="239">
        <f t="shared" si="6"/>
        <v>77.694457417392485</v>
      </c>
      <c r="S43" s="257">
        <v>0.04</v>
      </c>
    </row>
    <row r="44" spans="1:19" hidden="1" outlineLevel="1" x14ac:dyDescent="0.4">
      <c r="B44" s="409" t="s">
        <v>159</v>
      </c>
      <c r="D44" s="398"/>
      <c r="E44" s="398"/>
      <c r="F44" s="252"/>
      <c r="G44" s="252"/>
      <c r="H44" s="252"/>
      <c r="I44" s="255"/>
      <c r="J44" s="252"/>
      <c r="K44" s="252"/>
      <c r="L44" s="261">
        <f t="shared" si="7"/>
        <v>115.65847814747025</v>
      </c>
      <c r="M44" s="243">
        <v>0.1111111111111111</v>
      </c>
      <c r="N44" s="239">
        <f t="shared" si="4"/>
        <v>143.09349657726821</v>
      </c>
      <c r="O44" s="240">
        <f t="shared" si="8"/>
        <v>9.6666666666666665E-2</v>
      </c>
      <c r="P44" s="239">
        <f t="shared" si="5"/>
        <v>157.87080594642356</v>
      </c>
      <c r="Q44" s="240">
        <f t="shared" si="9"/>
        <v>8.8888888888888892E-2</v>
      </c>
      <c r="R44" s="239">
        <f t="shared" si="6"/>
        <v>155.38891483478497</v>
      </c>
      <c r="S44" s="257">
        <v>0.08</v>
      </c>
    </row>
    <row r="45" spans="1:19" hidden="1" outlineLevel="1" x14ac:dyDescent="0.4">
      <c r="B45" s="409" t="s">
        <v>160</v>
      </c>
      <c r="D45" s="398"/>
      <c r="E45" s="398"/>
      <c r="F45" s="252"/>
      <c r="G45" s="252"/>
      <c r="H45" s="252"/>
      <c r="I45" s="255"/>
      <c r="J45" s="252"/>
      <c r="K45" s="252"/>
      <c r="L45" s="261">
        <f t="shared" si="7"/>
        <v>236.95883327774393</v>
      </c>
      <c r="M45" s="243">
        <v>0.22764227642276422</v>
      </c>
      <c r="N45" s="239">
        <f t="shared" si="4"/>
        <v>293.16716371928123</v>
      </c>
      <c r="O45" s="240">
        <f t="shared" si="8"/>
        <v>0.19804878048780486</v>
      </c>
      <c r="P45" s="239">
        <f t="shared" si="5"/>
        <v>323.44262681706289</v>
      </c>
      <c r="Q45" s="240">
        <f t="shared" si="9"/>
        <v>0.1821138211382114</v>
      </c>
      <c r="R45" s="239">
        <f t="shared" si="6"/>
        <v>320.48963684674396</v>
      </c>
      <c r="S45" s="257">
        <v>0.16500000000000001</v>
      </c>
    </row>
    <row r="46" spans="1:19" hidden="1" outlineLevel="1" x14ac:dyDescent="0.4">
      <c r="B46" s="409" t="s">
        <v>161</v>
      </c>
      <c r="D46" s="398"/>
      <c r="E46" s="398"/>
      <c r="F46" s="252"/>
      <c r="G46" s="252"/>
      <c r="H46" s="252"/>
      <c r="I46" s="252"/>
      <c r="J46" s="252"/>
      <c r="K46" s="252"/>
      <c r="L46" s="261">
        <f t="shared" si="7"/>
        <v>47.955954353829121</v>
      </c>
      <c r="M46" s="243">
        <v>4.607046070460704E-2</v>
      </c>
      <c r="N46" s="239">
        <f t="shared" si="4"/>
        <v>59.331449800330724</v>
      </c>
      <c r="O46" s="240">
        <f t="shared" si="8"/>
        <v>4.0081300813008126E-2</v>
      </c>
      <c r="P46" s="239">
        <f t="shared" si="5"/>
        <v>65.458626855834154</v>
      </c>
      <c r="Q46" s="240">
        <f t="shared" si="9"/>
        <v>3.6856368563685633E-2</v>
      </c>
      <c r="R46" s="239">
        <f t="shared" si="6"/>
        <v>60.213204498479172</v>
      </c>
      <c r="S46" s="257">
        <v>3.1E-2</v>
      </c>
    </row>
    <row r="47" spans="1:19" ht="15.6" hidden="1" outlineLevel="1" thickBot="1" x14ac:dyDescent="0.45">
      <c r="B47" s="244" t="s">
        <v>16</v>
      </c>
      <c r="C47" s="207"/>
      <c r="D47" s="253"/>
      <c r="E47" s="253"/>
      <c r="F47" s="254"/>
      <c r="G47" s="254"/>
      <c r="H47" s="254"/>
      <c r="I47" s="254"/>
      <c r="J47" s="254"/>
      <c r="K47" s="254"/>
      <c r="L47" s="262">
        <f t="shared" si="7"/>
        <v>4.23140773710257</v>
      </c>
      <c r="M47" s="245">
        <v>4.0650406504065036E-3</v>
      </c>
      <c r="N47" s="265">
        <f t="shared" si="4"/>
        <v>5.2351279235585935</v>
      </c>
      <c r="O47" s="264">
        <f t="shared" si="8"/>
        <v>3.5365853658536582E-3</v>
      </c>
      <c r="P47" s="265">
        <f t="shared" si="5"/>
        <v>5.7757611931618369</v>
      </c>
      <c r="Q47" s="264">
        <f t="shared" si="9"/>
        <v>3.2520325203252032E-3</v>
      </c>
      <c r="R47" s="265">
        <f t="shared" si="6"/>
        <v>5.8270843063044362</v>
      </c>
      <c r="S47" s="266">
        <v>3.0000000000000001E-3</v>
      </c>
    </row>
    <row r="48" spans="1:19" collapsed="1" x14ac:dyDescent="0.4">
      <c r="B48" s="410"/>
      <c r="N48" s="4">
        <f t="shared" si="4"/>
        <v>1480.2775507993263</v>
      </c>
      <c r="O48" s="6">
        <f>SUM(O39:O47)</f>
        <v>0.99999999999999989</v>
      </c>
      <c r="R48" s="4">
        <f t="shared" si="6"/>
        <v>1944.3037968702465</v>
      </c>
      <c r="S48" s="6">
        <f>SUM(S39:S47)</f>
        <v>1.0009999999999999</v>
      </c>
    </row>
    <row r="49" spans="2:19" ht="15.6" thickBot="1" x14ac:dyDescent="0.45">
      <c r="B49" s="410"/>
    </row>
    <row r="50" spans="2:19" x14ac:dyDescent="0.4">
      <c r="B50" s="474" t="s">
        <v>29</v>
      </c>
      <c r="C50" s="475"/>
      <c r="D50" s="466">
        <v>22</v>
      </c>
      <c r="E50" s="228"/>
      <c r="F50" s="466">
        <v>23</v>
      </c>
      <c r="G50" s="192"/>
      <c r="H50" s="466">
        <v>24</v>
      </c>
      <c r="I50" s="199"/>
      <c r="J50" s="466">
        <v>25</v>
      </c>
      <c r="K50" s="199"/>
      <c r="L50" s="466">
        <v>26</v>
      </c>
      <c r="M50" s="199"/>
      <c r="N50" s="466">
        <v>27</v>
      </c>
      <c r="O50" s="199"/>
      <c r="P50" s="466">
        <v>28</v>
      </c>
      <c r="Q50" s="199"/>
      <c r="R50" s="466">
        <v>29</v>
      </c>
      <c r="S50" s="201"/>
    </row>
    <row r="51" spans="2:19" ht="15.6" thickBot="1" x14ac:dyDescent="0.45">
      <c r="B51" s="476"/>
      <c r="C51" s="477"/>
      <c r="D51" s="467"/>
      <c r="E51" s="193" t="s">
        <v>151</v>
      </c>
      <c r="F51" s="467"/>
      <c r="G51" s="193" t="s">
        <v>151</v>
      </c>
      <c r="H51" s="467"/>
      <c r="I51" s="193" t="s">
        <v>151</v>
      </c>
      <c r="J51" s="467"/>
      <c r="K51" s="193" t="s">
        <v>151</v>
      </c>
      <c r="L51" s="467"/>
      <c r="M51" s="193" t="s">
        <v>151</v>
      </c>
      <c r="N51" s="469"/>
      <c r="O51" s="193" t="s">
        <v>151</v>
      </c>
      <c r="P51" s="469"/>
      <c r="Q51" s="193" t="s">
        <v>151</v>
      </c>
      <c r="R51" s="467"/>
      <c r="S51" s="235" t="s">
        <v>151</v>
      </c>
    </row>
    <row r="52" spans="2:19" x14ac:dyDescent="0.4">
      <c r="B52" s="216" t="s">
        <v>144</v>
      </c>
      <c r="C52" s="229"/>
      <c r="D52" s="208">
        <f>D4-D17</f>
        <v>604.81740000000013</v>
      </c>
      <c r="E52" s="209">
        <v>0.3</v>
      </c>
      <c r="F52" s="208">
        <f>F4-F17</f>
        <v>632.39320791456043</v>
      </c>
      <c r="G52" s="209">
        <f>1-G17</f>
        <v>0.30000000000000004</v>
      </c>
      <c r="H52" s="208">
        <f t="shared" ref="H52:H58" si="10">H4-H17</f>
        <v>661.48466702448013</v>
      </c>
      <c r="I52" s="209">
        <f t="shared" ref="I52:I58" si="11">1-I17</f>
        <v>0.30000000000000004</v>
      </c>
      <c r="J52" s="208">
        <f>J4-J17</f>
        <v>692.16690857575463</v>
      </c>
      <c r="K52" s="209">
        <f>1-K17</f>
        <v>0.30000000000000004</v>
      </c>
      <c r="L52" s="208">
        <f>L4-L17</f>
        <v>724.51878809088043</v>
      </c>
      <c r="M52" s="209">
        <f>1-M17</f>
        <v>0.30000000000000004</v>
      </c>
      <c r="N52" s="210">
        <f>N4-N17</f>
        <v>758.62306998225745</v>
      </c>
      <c r="O52" s="209">
        <f>1-O17</f>
        <v>0.30000000000000004</v>
      </c>
      <c r="P52" s="210">
        <f>P4-P17</f>
        <v>794.56662131693884</v>
      </c>
      <c r="Q52" s="209">
        <f>1-Q17</f>
        <v>0.30000000000000004</v>
      </c>
      <c r="R52" s="208">
        <f>R4-R17</f>
        <v>832.44061518634817</v>
      </c>
      <c r="S52" s="212">
        <f>1-S17</f>
        <v>0.30000000000000004</v>
      </c>
    </row>
    <row r="53" spans="2:19" x14ac:dyDescent="0.4">
      <c r="B53" s="217"/>
      <c r="C53" s="219" t="s">
        <v>3</v>
      </c>
      <c r="D53" s="213">
        <f>D52</f>
        <v>604.81740000000013</v>
      </c>
      <c r="E53" s="214">
        <v>0.3</v>
      </c>
      <c r="F53" s="213">
        <f>F52</f>
        <v>632.39320791456043</v>
      </c>
      <c r="G53" s="214">
        <f>G52</f>
        <v>0.30000000000000004</v>
      </c>
      <c r="H53" s="213">
        <f t="shared" si="10"/>
        <v>457.63926691713618</v>
      </c>
      <c r="I53" s="214">
        <f t="shared" si="11"/>
        <v>0.30000000000000004</v>
      </c>
      <c r="J53" s="213">
        <f>J5-J18</f>
        <v>-15.999999999999773</v>
      </c>
      <c r="K53" s="214">
        <f>1-K18</f>
        <v>0.30000000000000004</v>
      </c>
      <c r="L53" s="213">
        <f>L5*M53</f>
        <v>278.40751523635208</v>
      </c>
      <c r="M53" s="214">
        <f>1-M18</f>
        <v>0.30000000000000004</v>
      </c>
      <c r="N53" s="215">
        <f>N5-N18</f>
        <v>289.84294582594055</v>
      </c>
      <c r="O53" s="214">
        <f>1-O18</f>
        <v>0.5</v>
      </c>
      <c r="P53" s="215">
        <f>P5-P18</f>
        <v>116.91332426338766</v>
      </c>
      <c r="Q53" s="214">
        <f>1-Q18</f>
        <v>0.6</v>
      </c>
      <c r="R53" s="328"/>
      <c r="S53" s="327"/>
    </row>
    <row r="54" spans="2:19" x14ac:dyDescent="0.4">
      <c r="B54" s="217"/>
      <c r="C54" s="222" t="s">
        <v>57</v>
      </c>
      <c r="D54" s="331"/>
      <c r="E54" s="332"/>
      <c r="F54" s="331"/>
      <c r="G54" s="332"/>
      <c r="H54" s="188">
        <f t="shared" si="10"/>
        <v>203.84540010734403</v>
      </c>
      <c r="I54" s="198">
        <f t="shared" si="11"/>
        <v>1</v>
      </c>
      <c r="J54" s="188">
        <f>J6-J19</f>
        <v>708.16690857575452</v>
      </c>
      <c r="K54" s="198">
        <f>1-K19</f>
        <v>1</v>
      </c>
      <c r="L54" s="188">
        <f>L52-L53</f>
        <v>446.11127285452835</v>
      </c>
      <c r="M54" s="198">
        <f>1-M19</f>
        <v>0.30000000000000016</v>
      </c>
      <c r="N54" s="186">
        <f>N6-N19</f>
        <v>468.78012415631679</v>
      </c>
      <c r="O54" s="198">
        <f>1-O19</f>
        <v>0.24051629163153687</v>
      </c>
      <c r="P54" s="186">
        <f>P6-P19</f>
        <v>677.65329705355111</v>
      </c>
      <c r="Q54" s="198">
        <f>1-Q19</f>
        <v>0.27617611551008125</v>
      </c>
      <c r="R54" s="188">
        <f>R6-R19</f>
        <v>832.44061518634817</v>
      </c>
      <c r="S54" s="204">
        <f>1-S19</f>
        <v>0.30000000000000004</v>
      </c>
    </row>
    <row r="55" spans="2:19" x14ac:dyDescent="0.4">
      <c r="B55" s="224" t="s">
        <v>150</v>
      </c>
      <c r="C55" s="230"/>
      <c r="D55" s="189">
        <f>D7-D20</f>
        <v>12</v>
      </c>
      <c r="E55" s="195">
        <f>1-E20</f>
        <v>0.30000000000000004</v>
      </c>
      <c r="F55" s="189">
        <f>F7-F20</f>
        <v>15</v>
      </c>
      <c r="G55" s="195">
        <f>1-G20</f>
        <v>0.30000000000000004</v>
      </c>
      <c r="H55" s="189">
        <f t="shared" si="10"/>
        <v>18</v>
      </c>
      <c r="I55" s="194">
        <f t="shared" si="11"/>
        <v>0.30000000000000004</v>
      </c>
      <c r="J55" s="189">
        <f>J56+J57</f>
        <v>21.000000000000004</v>
      </c>
      <c r="K55" s="194">
        <f>J55/J7</f>
        <v>0.30000000000000004</v>
      </c>
      <c r="L55" s="189">
        <f>L7-L20</f>
        <v>24</v>
      </c>
      <c r="M55" s="194">
        <f>1-M20</f>
        <v>0.30000000000000004</v>
      </c>
      <c r="N55" s="180">
        <f>N7-N20</f>
        <v>27.000000000000007</v>
      </c>
      <c r="O55" s="194">
        <f>1-O20</f>
        <v>0.30000000000000004</v>
      </c>
      <c r="P55" s="180">
        <f>P7-P20</f>
        <v>30</v>
      </c>
      <c r="Q55" s="194">
        <f>1-Q20</f>
        <v>0.30000000000000004</v>
      </c>
      <c r="R55" s="189">
        <f>R7-R20</f>
        <v>33</v>
      </c>
      <c r="S55" s="203">
        <f>1-S20</f>
        <v>0.30000000000000004</v>
      </c>
    </row>
    <row r="56" spans="2:19" x14ac:dyDescent="0.4">
      <c r="B56" s="217"/>
      <c r="C56" s="219" t="s">
        <v>3</v>
      </c>
      <c r="D56" s="213">
        <f>D55</f>
        <v>12</v>
      </c>
      <c r="E56" s="214">
        <f>E55</f>
        <v>0.30000000000000004</v>
      </c>
      <c r="F56" s="213">
        <f>F55</f>
        <v>15</v>
      </c>
      <c r="G56" s="214">
        <f>G55</f>
        <v>0.30000000000000004</v>
      </c>
      <c r="H56" s="213">
        <f t="shared" si="10"/>
        <v>15.5</v>
      </c>
      <c r="I56" s="214">
        <f t="shared" si="11"/>
        <v>0.30000000000000004</v>
      </c>
      <c r="J56" s="213">
        <f>J8*K56</f>
        <v>19.500000000000004</v>
      </c>
      <c r="K56" s="214">
        <f>1-K21</f>
        <v>0.30000000000000004</v>
      </c>
      <c r="L56" s="213">
        <f>L8*M56</f>
        <v>21.000000000000004</v>
      </c>
      <c r="M56" s="214">
        <f>M55</f>
        <v>0.30000000000000004</v>
      </c>
      <c r="N56" s="330"/>
      <c r="O56" s="329"/>
      <c r="P56" s="330"/>
      <c r="Q56" s="329"/>
      <c r="R56" s="328"/>
      <c r="S56" s="327"/>
    </row>
    <row r="57" spans="2:19" ht="15.6" thickBot="1" x14ac:dyDescent="0.45">
      <c r="B57" s="226"/>
      <c r="C57" s="227" t="s">
        <v>57</v>
      </c>
      <c r="D57" s="331"/>
      <c r="E57" s="332"/>
      <c r="F57" s="331"/>
      <c r="G57" s="332"/>
      <c r="H57" s="188">
        <f t="shared" si="10"/>
        <v>2.5</v>
      </c>
      <c r="I57" s="194">
        <f t="shared" si="11"/>
        <v>1</v>
      </c>
      <c r="J57" s="188">
        <f>J9*K57</f>
        <v>1.5000000000000002</v>
      </c>
      <c r="K57" s="194">
        <f>1-K22</f>
        <v>0.30000000000000004</v>
      </c>
      <c r="L57" s="188">
        <f>L9-L22</f>
        <v>3</v>
      </c>
      <c r="M57" s="194">
        <f>1-M22</f>
        <v>0.30000000000000004</v>
      </c>
      <c r="N57" s="186">
        <f>N9-N22</f>
        <v>4.5</v>
      </c>
      <c r="O57" s="194">
        <f>1-O22</f>
        <v>0.30000000000000004</v>
      </c>
      <c r="P57" s="186">
        <f>P9-P22</f>
        <v>6</v>
      </c>
      <c r="Q57" s="194">
        <f>1-Q22</f>
        <v>0.30000000000000004</v>
      </c>
      <c r="R57" s="188">
        <f>R9-R22</f>
        <v>33</v>
      </c>
      <c r="S57" s="203">
        <f>1-S22</f>
        <v>0.30000000000000004</v>
      </c>
    </row>
    <row r="58" spans="2:19" ht="16.2" thickTop="1" thickBot="1" x14ac:dyDescent="0.45">
      <c r="B58" s="218" t="s">
        <v>20</v>
      </c>
      <c r="C58" s="223"/>
      <c r="D58" s="231">
        <f>D52+D55</f>
        <v>616.81740000000013</v>
      </c>
      <c r="E58" s="232">
        <f>D58/$D$10</f>
        <v>0.30000000000000004</v>
      </c>
      <c r="F58" s="231">
        <f>F52+F55</f>
        <v>647.39320791456043</v>
      </c>
      <c r="G58" s="232">
        <f>F58/F10</f>
        <v>0.30000000000000004</v>
      </c>
      <c r="H58" s="231">
        <f t="shared" si="10"/>
        <v>679.48466702448013</v>
      </c>
      <c r="I58" s="232">
        <f t="shared" si="11"/>
        <v>0.30000000000000004</v>
      </c>
      <c r="J58" s="231">
        <f>J10-J23</f>
        <v>713.16690857575463</v>
      </c>
      <c r="K58" s="232">
        <f>1-K23</f>
        <v>0.30000000000000004</v>
      </c>
      <c r="L58" s="231">
        <f>L10-L23</f>
        <v>748.51878809088043</v>
      </c>
      <c r="M58" s="232">
        <f>1-M23</f>
        <v>0.30000000000000004</v>
      </c>
      <c r="N58" s="233">
        <f>N10-N23</f>
        <v>785.62306998225745</v>
      </c>
      <c r="O58" s="232">
        <f>1-O23</f>
        <v>0.30000000000000004</v>
      </c>
      <c r="P58" s="233">
        <f>P10-P23</f>
        <v>824.56662131693884</v>
      </c>
      <c r="Q58" s="232">
        <f>1-Q23</f>
        <v>0.30000000000000004</v>
      </c>
      <c r="R58" s="231">
        <f>R10-R23</f>
        <v>865.44061518634817</v>
      </c>
      <c r="S58" s="234">
        <f>1-S23</f>
        <v>0.30000000000000004</v>
      </c>
    </row>
    <row r="60" spans="2:19" x14ac:dyDescent="0.4">
      <c r="D60" s="4"/>
      <c r="P60" s="4"/>
    </row>
    <row r="61" spans="2:19" x14ac:dyDescent="0.4">
      <c r="B61" s="29"/>
      <c r="C61" s="335" t="s">
        <v>3</v>
      </c>
      <c r="D61" s="293">
        <f>D52*E61</f>
        <v>604.81740000000013</v>
      </c>
      <c r="E61" s="294">
        <v>1</v>
      </c>
      <c r="F61" s="293">
        <f>F52*G61</f>
        <v>632.39320791456043</v>
      </c>
      <c r="G61" s="294">
        <v>1</v>
      </c>
      <c r="H61" s="293">
        <f>H52-H68</f>
        <v>457.63926691713607</v>
      </c>
      <c r="I61" s="294">
        <v>1</v>
      </c>
      <c r="J61" s="293">
        <f>J52-J68</f>
        <v>-15.999999999999886</v>
      </c>
      <c r="K61" s="294">
        <v>1</v>
      </c>
      <c r="L61" s="293">
        <f>L53</f>
        <v>278.40751523635208</v>
      </c>
      <c r="M61" s="294">
        <v>1</v>
      </c>
      <c r="N61" s="293">
        <f>N53</f>
        <v>289.84294582594055</v>
      </c>
      <c r="O61" s="294">
        <v>1</v>
      </c>
      <c r="P61" s="293">
        <f>P53</f>
        <v>116.91332426338766</v>
      </c>
      <c r="Q61" s="294">
        <v>1</v>
      </c>
      <c r="R61" s="336"/>
      <c r="S61" s="337"/>
    </row>
    <row r="62" spans="2:19" x14ac:dyDescent="0.4">
      <c r="B62" s="33" t="s">
        <v>163</v>
      </c>
      <c r="C62" s="343"/>
      <c r="D62" s="168">
        <f t="shared" ref="D62:D67" si="12">E62*$D$52</f>
        <v>354.68572292133291</v>
      </c>
      <c r="E62" s="122">
        <v>0.58643438981969243</v>
      </c>
      <c r="F62" s="168">
        <f t="shared" ref="F62:F67" si="13">G62*F$52</f>
        <v>370.85712500949313</v>
      </c>
      <c r="G62" s="122">
        <v>0.58643438981969243</v>
      </c>
      <c r="H62" s="168">
        <f>H61*I$62</f>
        <v>268.37540425208203</v>
      </c>
      <c r="I62" s="122">
        <v>0.58643438981969243</v>
      </c>
      <c r="J62" s="168">
        <f>J61*K$62</f>
        <v>-9.3829502371150113</v>
      </c>
      <c r="K62" s="122">
        <v>0.58643438981969243</v>
      </c>
      <c r="L62" s="168">
        <f>L61*M$62</f>
        <v>163.26774131884684</v>
      </c>
      <c r="M62" s="122">
        <v>0.58643438981969243</v>
      </c>
      <c r="N62" s="168">
        <f>N61*O$62</f>
        <v>169.97387107897762</v>
      </c>
      <c r="O62" s="122">
        <v>0.58643438981969243</v>
      </c>
      <c r="P62" s="168">
        <f>P61*Q$62</f>
        <v>68.561993976191587</v>
      </c>
      <c r="Q62" s="122">
        <v>0.58643438981969243</v>
      </c>
      <c r="R62" s="334"/>
      <c r="S62" s="338"/>
    </row>
    <row r="63" spans="2:19" x14ac:dyDescent="0.4">
      <c r="B63" s="33" t="s">
        <v>164</v>
      </c>
      <c r="C63" s="343"/>
      <c r="D63" s="168">
        <f t="shared" si="12"/>
        <v>31.256290296112319</v>
      </c>
      <c r="E63" s="122">
        <v>5.1678887373465633E-2</v>
      </c>
      <c r="F63" s="168">
        <f t="shared" si="13"/>
        <v>32.681377367561204</v>
      </c>
      <c r="G63" s="122">
        <v>5.1678887373465633E-2</v>
      </c>
      <c r="H63" s="168">
        <f>H$61*I63</f>
        <v>23.65028813268605</v>
      </c>
      <c r="I63" s="122">
        <v>5.1678887373465633E-2</v>
      </c>
      <c r="J63" s="168">
        <f>J$61*K63</f>
        <v>-0.82686219797544425</v>
      </c>
      <c r="K63" s="122">
        <v>5.1678887373465633E-2</v>
      </c>
      <c r="L63" s="168">
        <f>L$61*M63</f>
        <v>14.387790623825856</v>
      </c>
      <c r="M63" s="122">
        <v>5.1678887373465633E-2</v>
      </c>
      <c r="N63" s="168">
        <f>N$61*O63</f>
        <v>14.978760953332282</v>
      </c>
      <c r="O63" s="122">
        <v>5.1678887373465633E-2</v>
      </c>
      <c r="P63" s="168">
        <f>P$61*Q63</f>
        <v>6.0419505170650778</v>
      </c>
      <c r="Q63" s="122">
        <v>5.1678887373465633E-2</v>
      </c>
      <c r="R63" s="334"/>
      <c r="S63" s="338"/>
    </row>
    <row r="64" spans="2:19" x14ac:dyDescent="0.4">
      <c r="B64" s="33" t="s">
        <v>165</v>
      </c>
      <c r="C64" s="343"/>
      <c r="D64" s="168">
        <f t="shared" si="12"/>
        <v>101.20242099719718</v>
      </c>
      <c r="E64" s="122">
        <v>0.16732723132171323</v>
      </c>
      <c r="F64" s="168">
        <f t="shared" si="13"/>
        <v>105.81660458699994</v>
      </c>
      <c r="G64" s="122">
        <v>0.16732723132171323</v>
      </c>
      <c r="H64" s="168">
        <f>H$61*I64</f>
        <v>76.575511477342886</v>
      </c>
      <c r="I64" s="122">
        <v>0.16732723132171323</v>
      </c>
      <c r="J64" s="168">
        <f>J$61*K64</f>
        <v>-2.6772357011473926</v>
      </c>
      <c r="K64" s="122">
        <v>0.16732723132171323</v>
      </c>
      <c r="L64" s="168">
        <f>L$61*M64</f>
        <v>46.585158703656489</v>
      </c>
      <c r="M64" s="122">
        <v>0.16732723132171323</v>
      </c>
      <c r="N64" s="168">
        <f>N$61*O64</f>
        <v>48.498617643183948</v>
      </c>
      <c r="O64" s="122">
        <v>0.16732723132171323</v>
      </c>
      <c r="P64" s="168">
        <f>P$61*Q64</f>
        <v>19.562782853610337</v>
      </c>
      <c r="Q64" s="122">
        <v>0.16732723132171323</v>
      </c>
      <c r="R64" s="334"/>
      <c r="S64" s="338"/>
    </row>
    <row r="65" spans="2:19" x14ac:dyDescent="0.4">
      <c r="B65" s="33" t="s">
        <v>166</v>
      </c>
      <c r="C65" s="343"/>
      <c r="D65" s="168">
        <f t="shared" si="12"/>
        <v>77.476171279670695</v>
      </c>
      <c r="E65" s="122">
        <v>0.12809844968030132</v>
      </c>
      <c r="F65" s="168">
        <f t="shared" si="13"/>
        <v>81.008589522207643</v>
      </c>
      <c r="G65" s="122">
        <v>0.12809844968030132</v>
      </c>
      <c r="H65" s="168">
        <f>H$61*I65</f>
        <v>58.622880604914741</v>
      </c>
      <c r="I65" s="122">
        <v>0.12809844968030132</v>
      </c>
      <c r="J65" s="168">
        <f>J$61*K65</f>
        <v>-2.0495751948848064</v>
      </c>
      <c r="K65" s="122">
        <v>0.12809844968030132</v>
      </c>
      <c r="L65" s="168">
        <f>L$61*M65</f>
        <v>35.663571081121567</v>
      </c>
      <c r="M65" s="122">
        <v>0.12809844968030132</v>
      </c>
      <c r="N65" s="168">
        <f>N$61*O65</f>
        <v>37.128432011074544</v>
      </c>
      <c r="O65" s="122">
        <v>0.12809844968030132</v>
      </c>
      <c r="P65" s="168">
        <f>P$61*Q65</f>
        <v>14.976415585110315</v>
      </c>
      <c r="Q65" s="122">
        <v>0.12809844968030132</v>
      </c>
      <c r="R65" s="334"/>
      <c r="S65" s="338"/>
    </row>
    <row r="66" spans="2:19" x14ac:dyDescent="0.4">
      <c r="B66" s="33" t="s">
        <v>161</v>
      </c>
      <c r="C66" s="343"/>
      <c r="D66" s="168">
        <f t="shared" si="12"/>
        <v>32.260926363255301</v>
      </c>
      <c r="E66" s="122">
        <v>5.3339944193495914E-2</v>
      </c>
      <c r="F66" s="168">
        <f t="shared" si="13"/>
        <v>33.73181841850851</v>
      </c>
      <c r="G66" s="122">
        <v>5.3339944193495914E-2</v>
      </c>
      <c r="H66" s="168">
        <f>H$61*I66</f>
        <v>24.410452958112419</v>
      </c>
      <c r="I66" s="122">
        <v>5.3339944193495914E-2</v>
      </c>
      <c r="J66" s="168">
        <f>J$61*K66</f>
        <v>-0.85343910709592852</v>
      </c>
      <c r="K66" s="122">
        <v>5.3339944193495914E-2</v>
      </c>
      <c r="L66" s="168">
        <f>L$61*M66</f>
        <v>14.850241325756883</v>
      </c>
      <c r="M66" s="122">
        <v>5.3339944193495914E-2</v>
      </c>
      <c r="N66" s="168">
        <f>N$61*O66</f>
        <v>15.460206555234128</v>
      </c>
      <c r="O66" s="122">
        <v>5.3339944193495914E-2</v>
      </c>
      <c r="P66" s="168">
        <f>P$61*Q66</f>
        <v>6.2361501916851898</v>
      </c>
      <c r="Q66" s="122">
        <v>5.3339944193495914E-2</v>
      </c>
      <c r="R66" s="334"/>
      <c r="S66" s="338"/>
    </row>
    <row r="67" spans="2:19" ht="15.6" thickBot="1" x14ac:dyDescent="0.45">
      <c r="B67" s="33" t="s">
        <v>16</v>
      </c>
      <c r="C67" s="343"/>
      <c r="D67" s="168">
        <f t="shared" si="12"/>
        <v>7.9358681424317137</v>
      </c>
      <c r="E67" s="122">
        <v>1.3121097611331473E-2</v>
      </c>
      <c r="F67" s="168">
        <f t="shared" si="13"/>
        <v>8.2976930097899864</v>
      </c>
      <c r="G67" s="122">
        <v>1.3121097611331473E-2</v>
      </c>
      <c r="H67" s="168">
        <f>H$61*I67</f>
        <v>6.0047294919979208</v>
      </c>
      <c r="I67" s="122">
        <v>1.3121097611331473E-2</v>
      </c>
      <c r="J67" s="168">
        <f>J$61*K67</f>
        <v>-0.20993756178130207</v>
      </c>
      <c r="K67" s="122">
        <v>1.3121097611331473E-2</v>
      </c>
      <c r="L67" s="168">
        <f>L$61*M67</f>
        <v>3.6530121831444302</v>
      </c>
      <c r="M67" s="122">
        <v>1.3121097611331473E-2</v>
      </c>
      <c r="N67" s="168">
        <f>N$61*O67</f>
        <v>3.8030575841380263</v>
      </c>
      <c r="O67" s="122">
        <v>1.3121097611331473E-2</v>
      </c>
      <c r="P67" s="168">
        <f>P$61*Q67</f>
        <v>1.5340311397251578</v>
      </c>
      <c r="Q67" s="122">
        <v>1.3121097611331473E-2</v>
      </c>
      <c r="R67" s="334"/>
      <c r="S67" s="338"/>
    </row>
    <row r="68" spans="2:19" x14ac:dyDescent="0.4">
      <c r="B68" s="339"/>
      <c r="C68" s="246" t="s">
        <v>57</v>
      </c>
      <c r="D68" s="249"/>
      <c r="E68" s="249"/>
      <c r="F68" s="250"/>
      <c r="G68" s="250"/>
      <c r="H68" s="248">
        <f>H6</f>
        <v>203.84540010734403</v>
      </c>
      <c r="I68" s="247">
        <v>1</v>
      </c>
      <c r="J68" s="248">
        <f>J6</f>
        <v>708.16690857575452</v>
      </c>
      <c r="K68" s="247">
        <v>1</v>
      </c>
      <c r="L68" s="248">
        <f>L54</f>
        <v>446.11127285452835</v>
      </c>
      <c r="M68" s="247">
        <v>1</v>
      </c>
      <c r="N68" s="248">
        <f>N54</f>
        <v>468.78012415631679</v>
      </c>
      <c r="O68" s="247">
        <v>1</v>
      </c>
      <c r="P68" s="248">
        <f>P54</f>
        <v>677.65329705355111</v>
      </c>
      <c r="Q68" s="247">
        <v>1</v>
      </c>
      <c r="R68" s="248">
        <f>R54</f>
        <v>832.44061518634817</v>
      </c>
      <c r="S68" s="340">
        <v>1</v>
      </c>
    </row>
    <row r="69" spans="2:19" x14ac:dyDescent="0.4">
      <c r="B69" s="33" t="s">
        <v>163</v>
      </c>
      <c r="C69" s="343"/>
      <c r="D69" s="398"/>
      <c r="E69" s="398"/>
      <c r="F69" s="252"/>
      <c r="G69" s="252"/>
      <c r="H69" s="168">
        <f t="shared" ref="H69:H74" si="14">H$68*I69</f>
        <v>119.54195282950137</v>
      </c>
      <c r="I69" s="122">
        <v>0.58643438981969243</v>
      </c>
      <c r="J69" s="168">
        <f t="shared" ref="J69:J74" si="15">J$68*K69</f>
        <v>415.29342892112049</v>
      </c>
      <c r="K69" s="122">
        <v>0.58643438981969243</v>
      </c>
      <c r="L69" s="168">
        <f t="shared" ref="L69:L74" si="16">L$68*M69</f>
        <v>261.61499208813166</v>
      </c>
      <c r="M69" s="122">
        <v>0.58643438981969243</v>
      </c>
      <c r="N69" s="168">
        <f t="shared" ref="N69:N74" si="17">N$68*O69</f>
        <v>274.90878606920927</v>
      </c>
      <c r="O69" s="122">
        <v>0.58643438981969243</v>
      </c>
      <c r="P69" s="168">
        <f t="shared" ref="P69:P74" si="18">P$68*Q69</f>
        <v>397.39919776690203</v>
      </c>
      <c r="Q69" s="122">
        <v>0.58643438981969243</v>
      </c>
      <c r="R69" s="168">
        <f t="shared" ref="R69:R74" si="19">R$68*S69</f>
        <v>488.17180422793547</v>
      </c>
      <c r="S69" s="68">
        <v>0.58643438981969243</v>
      </c>
    </row>
    <row r="70" spans="2:19" x14ac:dyDescent="0.4">
      <c r="B70" s="33" t="s">
        <v>164</v>
      </c>
      <c r="C70" s="343"/>
      <c r="D70" s="398"/>
      <c r="E70" s="398"/>
      <c r="F70" s="252"/>
      <c r="G70" s="252"/>
      <c r="H70" s="168">
        <f t="shared" si="14"/>
        <v>10.534503473746472</v>
      </c>
      <c r="I70" s="122">
        <v>5.1678887373465633E-2</v>
      </c>
      <c r="J70" s="168">
        <f t="shared" si="15"/>
        <v>36.597277909901749</v>
      </c>
      <c r="K70" s="122">
        <v>5.1678887373465633E-2</v>
      </c>
      <c r="L70" s="168">
        <f t="shared" si="16"/>
        <v>23.054534225882566</v>
      </c>
      <c r="M70" s="122">
        <v>5.1678887373465633E-2</v>
      </c>
      <c r="N70" s="168">
        <f t="shared" si="17"/>
        <v>24.226035239193532</v>
      </c>
      <c r="O70" s="122">
        <v>5.1678887373465633E-2</v>
      </c>
      <c r="P70" s="168">
        <f t="shared" si="18"/>
        <v>35.020368416688122</v>
      </c>
      <c r="Q70" s="122">
        <v>5.1678887373465633E-2</v>
      </c>
      <c r="R70" s="168">
        <f t="shared" si="19"/>
        <v>43.019604797313733</v>
      </c>
      <c r="S70" s="68">
        <v>5.1678887373465633E-2</v>
      </c>
    </row>
    <row r="71" spans="2:19" x14ac:dyDescent="0.4">
      <c r="B71" s="33" t="s">
        <v>165</v>
      </c>
      <c r="C71" s="343"/>
      <c r="D71" s="398"/>
      <c r="E71" s="398"/>
      <c r="F71" s="252"/>
      <c r="G71" s="252"/>
      <c r="H71" s="168">
        <f t="shared" si="14"/>
        <v>34.108886417628746</v>
      </c>
      <c r="I71" s="122">
        <v>0.16732723132171323</v>
      </c>
      <c r="J71" s="168">
        <f t="shared" si="15"/>
        <v>118.49560812563782</v>
      </c>
      <c r="K71" s="122">
        <v>0.16732723132171323</v>
      </c>
      <c r="L71" s="168">
        <f t="shared" si="16"/>
        <v>74.646564148153601</v>
      </c>
      <c r="M71" s="122">
        <v>0.16732723132171323</v>
      </c>
      <c r="N71" s="168">
        <f t="shared" si="17"/>
        <v>78.439680273725472</v>
      </c>
      <c r="O71" s="122">
        <v>0.16732723132171323</v>
      </c>
      <c r="P71" s="168">
        <f t="shared" si="18"/>
        <v>113.3898499920012</v>
      </c>
      <c r="Q71" s="122">
        <v>0.16732723132171323</v>
      </c>
      <c r="R71" s="168">
        <f t="shared" si="19"/>
        <v>139.28998337887535</v>
      </c>
      <c r="S71" s="68">
        <v>0.16732723132171323</v>
      </c>
    </row>
    <row r="72" spans="2:19" x14ac:dyDescent="0.4">
      <c r="B72" s="33" t="s">
        <v>166</v>
      </c>
      <c r="C72" s="343"/>
      <c r="D72" s="398"/>
      <c r="E72" s="398"/>
      <c r="F72" s="252"/>
      <c r="G72" s="252"/>
      <c r="H72" s="168">
        <f t="shared" si="14"/>
        <v>26.112279728211497</v>
      </c>
      <c r="I72" s="122">
        <v>0.12809844968030132</v>
      </c>
      <c r="J72" s="168">
        <f t="shared" si="15"/>
        <v>90.715083103445835</v>
      </c>
      <c r="K72" s="122">
        <v>0.12809844968030132</v>
      </c>
      <c r="L72" s="168">
        <f t="shared" si="16"/>
        <v>57.146162437570972</v>
      </c>
      <c r="M72" s="122">
        <v>0.12809844968030132</v>
      </c>
      <c r="N72" s="168">
        <f t="shared" si="17"/>
        <v>60.050007145363352</v>
      </c>
      <c r="O72" s="122">
        <v>0.12809844968030132</v>
      </c>
      <c r="P72" s="168">
        <f t="shared" si="18"/>
        <v>86.806336773304594</v>
      </c>
      <c r="Q72" s="122">
        <v>0.12809844968030132</v>
      </c>
      <c r="R72" s="168">
        <f t="shared" si="19"/>
        <v>106.6343522562875</v>
      </c>
      <c r="S72" s="68">
        <v>0.12809844968030132</v>
      </c>
    </row>
    <row r="73" spans="2:19" x14ac:dyDescent="0.4">
      <c r="B73" s="33" t="s">
        <v>161</v>
      </c>
      <c r="C73" s="343"/>
      <c r="D73" s="398"/>
      <c r="E73" s="398"/>
      <c r="F73" s="252"/>
      <c r="G73" s="252"/>
      <c r="H73" s="168">
        <f t="shared" si="14"/>
        <v>10.873102265826576</v>
      </c>
      <c r="I73" s="122">
        <v>5.3339944193495914E-2</v>
      </c>
      <c r="J73" s="168">
        <f t="shared" si="15"/>
        <v>37.773583383111266</v>
      </c>
      <c r="K73" s="122">
        <v>5.3339944193495914E-2</v>
      </c>
      <c r="L73" s="168">
        <f t="shared" si="16"/>
        <v>23.79555039814997</v>
      </c>
      <c r="M73" s="122">
        <v>5.3339944193495914E-2</v>
      </c>
      <c r="N73" s="168">
        <f t="shared" si="17"/>
        <v>25.004705661518024</v>
      </c>
      <c r="O73" s="122">
        <v>5.3339944193495914E-2</v>
      </c>
      <c r="P73" s="168">
        <f t="shared" si="18"/>
        <v>36.145989047374925</v>
      </c>
      <c r="Q73" s="122">
        <v>5.3339944193495914E-2</v>
      </c>
      <c r="R73" s="168">
        <f t="shared" si="19"/>
        <v>44.402335958439217</v>
      </c>
      <c r="S73" s="68">
        <v>5.3339944193495914E-2</v>
      </c>
    </row>
    <row r="74" spans="2:19" x14ac:dyDescent="0.4">
      <c r="B74" s="35" t="s">
        <v>16</v>
      </c>
      <c r="C74" s="344"/>
      <c r="D74" s="341"/>
      <c r="E74" s="341"/>
      <c r="F74" s="342"/>
      <c r="G74" s="342"/>
      <c r="H74" s="114">
        <f t="shared" si="14"/>
        <v>2.6746753924293802</v>
      </c>
      <c r="I74" s="289">
        <v>1.3121097611331473E-2</v>
      </c>
      <c r="J74" s="114">
        <f t="shared" si="15"/>
        <v>9.2919271325373263</v>
      </c>
      <c r="K74" s="289">
        <v>1.3121097611331473E-2</v>
      </c>
      <c r="L74" s="114">
        <f t="shared" si="16"/>
        <v>5.8534695566395953</v>
      </c>
      <c r="M74" s="289">
        <v>1.3121097611331473E-2</v>
      </c>
      <c r="N74" s="114">
        <f t="shared" si="17"/>
        <v>6.1509097673071196</v>
      </c>
      <c r="O74" s="289">
        <v>1.3121097611331473E-2</v>
      </c>
      <c r="P74" s="114">
        <f t="shared" si="18"/>
        <v>8.8915550572802466</v>
      </c>
      <c r="Q74" s="289">
        <v>1.3121097611331473E-2</v>
      </c>
      <c r="R74" s="114">
        <f t="shared" si="19"/>
        <v>10.922534567496895</v>
      </c>
      <c r="S74" s="117">
        <v>1.3121097611331473E-2</v>
      </c>
    </row>
  </sheetData>
  <mergeCells count="40">
    <mergeCell ref="J50:J51"/>
    <mergeCell ref="P2:P3"/>
    <mergeCell ref="P26:P27"/>
    <mergeCell ref="N15:N16"/>
    <mergeCell ref="P15:P16"/>
    <mergeCell ref="R15:R16"/>
    <mergeCell ref="N2:N3"/>
    <mergeCell ref="R50:R51"/>
    <mergeCell ref="B2:C3"/>
    <mergeCell ref="B15:C16"/>
    <mergeCell ref="D50:D51"/>
    <mergeCell ref="F50:F51"/>
    <mergeCell ref="H50:H51"/>
    <mergeCell ref="B29:C29"/>
    <mergeCell ref="D2:D3"/>
    <mergeCell ref="F2:F3"/>
    <mergeCell ref="H2:H3"/>
    <mergeCell ref="B43:C43"/>
    <mergeCell ref="B50:C51"/>
    <mergeCell ref="B39:C39"/>
    <mergeCell ref="B33:C33"/>
    <mergeCell ref="B40:C40"/>
    <mergeCell ref="D15:D16"/>
    <mergeCell ref="F15:F16"/>
    <mergeCell ref="J2:J3"/>
    <mergeCell ref="L2:L3"/>
    <mergeCell ref="P50:P51"/>
    <mergeCell ref="R26:R27"/>
    <mergeCell ref="D26:D27"/>
    <mergeCell ref="F26:F27"/>
    <mergeCell ref="H26:H27"/>
    <mergeCell ref="J26:J27"/>
    <mergeCell ref="N26:N27"/>
    <mergeCell ref="L26:L27"/>
    <mergeCell ref="L50:L51"/>
    <mergeCell ref="N50:N51"/>
    <mergeCell ref="R2:R3"/>
    <mergeCell ref="H15:H16"/>
    <mergeCell ref="J15:J16"/>
    <mergeCell ref="L15:L16"/>
  </mergeCells>
  <phoneticPr fontId="2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D634D-BF7B-40AD-B2F0-9743CA730300}">
  <dimension ref="A1:S25"/>
  <sheetViews>
    <sheetView workbookViewId="0">
      <selection activeCell="K26" sqref="K26"/>
    </sheetView>
  </sheetViews>
  <sheetFormatPr defaultRowHeight="15" x14ac:dyDescent="0.4"/>
  <cols>
    <col min="1" max="1" width="12.25" customWidth="1"/>
    <col min="2" max="6" width="10.5" bestFit="1" customWidth="1"/>
    <col min="7" max="7" width="9.5" bestFit="1" customWidth="1"/>
    <col min="8" max="8" width="9.375" bestFit="1" customWidth="1"/>
    <col min="9" max="9" width="9.625" bestFit="1" customWidth="1"/>
    <col min="10" max="10" width="9.375" bestFit="1" customWidth="1"/>
    <col min="15" max="15" width="5" bestFit="1" customWidth="1"/>
    <col min="16" max="16" width="9.25" customWidth="1"/>
    <col min="17" max="17" width="11.625" customWidth="1"/>
    <col min="18" max="18" width="5.75" bestFit="1" customWidth="1"/>
  </cols>
  <sheetData>
    <row r="1" spans="1:19" ht="15.6" thickBot="1" x14ac:dyDescent="0.45"/>
    <row r="2" spans="1:19" x14ac:dyDescent="0.4">
      <c r="O2" s="174"/>
      <c r="P2" s="200"/>
      <c r="Q2" s="200"/>
      <c r="R2" s="200"/>
      <c r="S2" s="313" t="s">
        <v>185</v>
      </c>
    </row>
    <row r="3" spans="1:19" x14ac:dyDescent="0.4">
      <c r="A3" t="s">
        <v>176</v>
      </c>
      <c r="B3">
        <v>2022</v>
      </c>
      <c r="C3">
        <v>2023</v>
      </c>
      <c r="D3">
        <v>2024</v>
      </c>
      <c r="E3">
        <v>2025</v>
      </c>
      <c r="F3">
        <v>2026</v>
      </c>
      <c r="G3">
        <v>2027</v>
      </c>
      <c r="H3">
        <v>2028</v>
      </c>
      <c r="I3">
        <v>2029</v>
      </c>
      <c r="O3" s="450" t="s">
        <v>183</v>
      </c>
      <c r="P3" s="451"/>
      <c r="Q3" s="452"/>
      <c r="R3" s="306">
        <f>1-R8</f>
        <v>0.93500000000000005</v>
      </c>
      <c r="S3" s="314">
        <f>R3*S9</f>
        <v>8098.6971756109378</v>
      </c>
    </row>
    <row r="4" spans="1:19" x14ac:dyDescent="0.4">
      <c r="A4" t="s">
        <v>3</v>
      </c>
      <c r="B4" s="4">
        <f>ﾕﾆﾀﾘACcase３!J74</f>
        <v>4113.4254878329739</v>
      </c>
      <c r="C4" s="4">
        <f>ﾕﾆﾀﾘACcase３!O74</f>
        <v>4316.3558428704737</v>
      </c>
      <c r="D4" s="4">
        <f>ﾕﾆﾀﾘACcase３!U74</f>
        <v>4529.4056889908807</v>
      </c>
      <c r="E4" s="4">
        <f>ﾕﾆﾀﾘACcase３!Z74</f>
        <v>4753.076652146282</v>
      </c>
      <c r="F4" s="4">
        <f>ﾕﾆﾀﾘACcase３!AE74</f>
        <v>3103.5344355152461</v>
      </c>
      <c r="G4" s="4">
        <f>ﾕﾆﾀﾘACcase３!AJ74</f>
        <v>829.36433472391047</v>
      </c>
      <c r="H4" s="4">
        <f>ﾕﾆﾀﾘACcase３!AO74</f>
        <v>223.02593592944183</v>
      </c>
      <c r="I4" s="4">
        <f>ﾕﾆﾀﾘACcase３!AT74</f>
        <v>0</v>
      </c>
      <c r="O4" s="304"/>
      <c r="P4" s="453" t="s">
        <v>181</v>
      </c>
      <c r="Q4" s="454"/>
      <c r="R4" s="310">
        <f>R3-R7</f>
        <v>0.86020000000000008</v>
      </c>
      <c r="S4" s="315">
        <f>R4*S9</f>
        <v>7450.8014015620629</v>
      </c>
    </row>
    <row r="5" spans="1:19" x14ac:dyDescent="0.4">
      <c r="A5" t="s">
        <v>57</v>
      </c>
      <c r="B5" s="4"/>
      <c r="C5" s="4"/>
      <c r="D5" s="4"/>
      <c r="E5" s="4"/>
      <c r="F5" s="4">
        <f>ﾕﾆﾀﾘACcase３!AF74</f>
        <v>2948.7207825243181</v>
      </c>
      <c r="G5" s="4">
        <f>ﾕﾆﾀﾘACcase３!AK74</f>
        <v>4086.1762009126105</v>
      </c>
      <c r="H5" s="4">
        <f>ﾕﾆﾀﾘACcase３!AP74</f>
        <v>4834.9210859264258</v>
      </c>
      <c r="I5" s="4">
        <f>ﾕﾆﾀﾘACcase３!AU74</f>
        <v>5358.1595109190011</v>
      </c>
      <c r="O5" s="304"/>
      <c r="P5" s="25"/>
      <c r="Q5" s="309" t="s">
        <v>122</v>
      </c>
      <c r="R5" s="310">
        <f>R4*0.88</f>
        <v>0.75697600000000009</v>
      </c>
      <c r="S5" s="316">
        <f>B13</f>
        <v>6556.705233374616</v>
      </c>
    </row>
    <row r="6" spans="1:19" x14ac:dyDescent="0.4">
      <c r="O6" s="304"/>
      <c r="P6" s="25"/>
      <c r="Q6" s="311" t="s">
        <v>31</v>
      </c>
      <c r="R6" s="18">
        <f>R4*0.12</f>
        <v>0.10322400000000001</v>
      </c>
      <c r="S6" s="317">
        <f>R6*S9</f>
        <v>894.09616818744757</v>
      </c>
    </row>
    <row r="7" spans="1:19" x14ac:dyDescent="0.4">
      <c r="A7" t="s">
        <v>177</v>
      </c>
      <c r="B7">
        <v>2022</v>
      </c>
      <c r="C7">
        <v>2023</v>
      </c>
      <c r="D7">
        <v>2024</v>
      </c>
      <c r="E7">
        <v>2025</v>
      </c>
      <c r="F7">
        <v>2026</v>
      </c>
      <c r="G7">
        <v>2027</v>
      </c>
      <c r="H7">
        <v>2028</v>
      </c>
      <c r="I7">
        <v>2029</v>
      </c>
      <c r="O7" s="304"/>
      <c r="P7" s="455" t="s">
        <v>182</v>
      </c>
      <c r="Q7" s="456"/>
      <c r="R7" s="312">
        <f>R3*8%</f>
        <v>7.4800000000000005E-2</v>
      </c>
      <c r="S7" s="318">
        <f>R7*S9</f>
        <v>647.89577404887507</v>
      </c>
    </row>
    <row r="8" spans="1:19" ht="15.6" thickBot="1" x14ac:dyDescent="0.45">
      <c r="A8" t="s">
        <v>3</v>
      </c>
      <c r="B8" s="4">
        <f>ﾕﾆﾀﾘHPcase３!J50</f>
        <v>2443.2797455416426</v>
      </c>
      <c r="C8" s="4">
        <f>ﾕﾆﾀﾘHPcase３!O50</f>
        <v>2436.9500167422871</v>
      </c>
      <c r="D8" s="4">
        <v>2098</v>
      </c>
      <c r="E8" s="4">
        <f>ﾕﾆﾀﾘHPcase３!Y50</f>
        <v>-98.185403414120401</v>
      </c>
      <c r="F8" s="4">
        <f>ﾕﾆﾀﾘHPcase３!AD50</f>
        <v>1168.41033444086</v>
      </c>
      <c r="G8" s="4">
        <f>ﾕﾆﾀﾘHPcase３!AI50</f>
        <v>1154.6294534573074</v>
      </c>
      <c r="H8" s="4">
        <f>ﾕﾆﾀﾘHPcase３!AN50</f>
        <v>465.74039368609908</v>
      </c>
      <c r="I8" s="4">
        <f>ﾕﾆﾀﾘHPcase３!AS50</f>
        <v>0</v>
      </c>
      <c r="O8" s="443" t="s">
        <v>184</v>
      </c>
      <c r="P8" s="444"/>
      <c r="Q8" s="445"/>
      <c r="R8" s="308">
        <v>6.5000000000000002E-2</v>
      </c>
      <c r="S8" s="319">
        <f>R8*S9</f>
        <v>563.01103359862134</v>
      </c>
    </row>
    <row r="9" spans="1:19" ht="16.2" thickTop="1" thickBot="1" x14ac:dyDescent="0.45">
      <c r="A9" t="s">
        <v>57</v>
      </c>
      <c r="B9" s="4"/>
      <c r="C9" s="4"/>
      <c r="D9" s="4">
        <f>ﾕﾆﾀﾘHPcase３!U50</f>
        <v>672.01173013912853</v>
      </c>
      <c r="E9" s="4">
        <f>ﾕﾆﾀﾘHPcase３!Z50</f>
        <v>2627.5467200948683</v>
      </c>
      <c r="F9" s="4">
        <f>ﾕﾆﾀﾘHPcase３!AE50</f>
        <v>1660.6288715902965</v>
      </c>
      <c r="G9" s="4">
        <f>ﾕﾆﾀﾘHPcase３!AJ50</f>
        <v>1748.553632580489</v>
      </c>
      <c r="H9" s="4">
        <f>ﾕﾆﾀﾘHPcase３!AO50</f>
        <v>2526.3251101092078</v>
      </c>
      <c r="I9" s="4">
        <f>ﾕﾆﾀﾘHPcase３!AT50</f>
        <v>3170.7269325184707</v>
      </c>
      <c r="O9" s="178" t="s">
        <v>20</v>
      </c>
      <c r="P9" s="207"/>
      <c r="Q9" s="307"/>
      <c r="R9" s="305">
        <v>1</v>
      </c>
      <c r="S9" s="320">
        <f>S5/R5</f>
        <v>8661.7082092095588</v>
      </c>
    </row>
    <row r="12" spans="1:19" x14ac:dyDescent="0.4">
      <c r="A12" t="s">
        <v>178</v>
      </c>
      <c r="B12">
        <v>2022</v>
      </c>
      <c r="C12">
        <v>2023</v>
      </c>
      <c r="D12">
        <v>2024</v>
      </c>
      <c r="E12">
        <v>2025</v>
      </c>
      <c r="F12">
        <v>2026</v>
      </c>
      <c r="G12">
        <v>2027</v>
      </c>
      <c r="H12">
        <v>2028</v>
      </c>
      <c r="I12">
        <v>2029</v>
      </c>
    </row>
    <row r="13" spans="1:19" x14ac:dyDescent="0.4">
      <c r="A13" t="s">
        <v>3</v>
      </c>
      <c r="B13" s="5">
        <f t="shared" ref="B13:I14" si="0">B4+B8</f>
        <v>6556.705233374616</v>
      </c>
      <c r="C13" s="5">
        <f t="shared" si="0"/>
        <v>6753.3058596127612</v>
      </c>
      <c r="D13" s="5">
        <f t="shared" si="0"/>
        <v>6627.4056889908807</v>
      </c>
      <c r="E13" s="5">
        <f t="shared" si="0"/>
        <v>4654.8912487321613</v>
      </c>
      <c r="F13" s="5">
        <f t="shared" si="0"/>
        <v>4271.944769956106</v>
      </c>
      <c r="G13" s="5">
        <f t="shared" si="0"/>
        <v>1983.993788181218</v>
      </c>
      <c r="H13" s="5">
        <f t="shared" si="0"/>
        <v>688.76632961554094</v>
      </c>
      <c r="I13" s="5">
        <f t="shared" si="0"/>
        <v>0</v>
      </c>
    </row>
    <row r="14" spans="1:19" x14ac:dyDescent="0.4">
      <c r="A14" t="s">
        <v>57</v>
      </c>
      <c r="B14" s="5">
        <f t="shared" si="0"/>
        <v>0</v>
      </c>
      <c r="C14" s="5">
        <f t="shared" si="0"/>
        <v>0</v>
      </c>
      <c r="D14" s="5">
        <f t="shared" si="0"/>
        <v>672.01173013912853</v>
      </c>
      <c r="E14" s="5">
        <f t="shared" si="0"/>
        <v>2627.5467200948683</v>
      </c>
      <c r="F14" s="5">
        <f t="shared" si="0"/>
        <v>4609.3496541146142</v>
      </c>
      <c r="G14" s="5">
        <f t="shared" si="0"/>
        <v>5834.7298334930992</v>
      </c>
      <c r="H14" s="5">
        <f t="shared" si="0"/>
        <v>7361.2461960356341</v>
      </c>
      <c r="I14" s="5">
        <f t="shared" si="0"/>
        <v>8528.8864434374718</v>
      </c>
    </row>
    <row r="16" spans="1:19" x14ac:dyDescent="0.4">
      <c r="A16" t="s">
        <v>121</v>
      </c>
      <c r="B16">
        <v>2022</v>
      </c>
      <c r="C16">
        <v>2023</v>
      </c>
      <c r="D16">
        <v>2024</v>
      </c>
      <c r="E16">
        <v>2025</v>
      </c>
      <c r="F16">
        <v>2026</v>
      </c>
      <c r="G16">
        <v>2027</v>
      </c>
      <c r="H16">
        <v>2028</v>
      </c>
      <c r="I16">
        <v>2029</v>
      </c>
    </row>
    <row r="17" spans="1:11" x14ac:dyDescent="0.4">
      <c r="A17" t="s">
        <v>3</v>
      </c>
      <c r="B17" s="4">
        <f t="shared" ref="B17:I17" si="1">B13*2090</f>
        <v>13703513.937752947</v>
      </c>
      <c r="C17" s="4">
        <f t="shared" si="1"/>
        <v>14114409.24659067</v>
      </c>
      <c r="D17" s="4">
        <f t="shared" si="1"/>
        <v>13851277.889990941</v>
      </c>
      <c r="E17" s="4">
        <f t="shared" si="1"/>
        <v>9728722.7098502163</v>
      </c>
      <c r="F17" s="4">
        <f t="shared" si="1"/>
        <v>8928364.5692082625</v>
      </c>
      <c r="G17" s="4">
        <f t="shared" si="1"/>
        <v>4146547.0172987455</v>
      </c>
      <c r="H17" s="4">
        <f t="shared" si="1"/>
        <v>1439521.6288964807</v>
      </c>
      <c r="I17" s="4">
        <f t="shared" si="1"/>
        <v>0</v>
      </c>
    </row>
    <row r="18" spans="1:11" x14ac:dyDescent="0.4">
      <c r="A18" t="s">
        <v>57</v>
      </c>
      <c r="B18" s="4">
        <f>B14*675</f>
        <v>0</v>
      </c>
      <c r="C18" s="4">
        <f>C14*675</f>
        <v>0</v>
      </c>
      <c r="D18" s="4">
        <f t="shared" ref="D18:I18" si="2">D14*$K$18</f>
        <v>312485.45451469475</v>
      </c>
      <c r="E18" s="4">
        <f t="shared" si="2"/>
        <v>1221809.2248441137</v>
      </c>
      <c r="F18" s="4">
        <f t="shared" si="2"/>
        <v>2143347.5891632955</v>
      </c>
      <c r="G18" s="4">
        <f t="shared" si="2"/>
        <v>2713149.3725742912</v>
      </c>
      <c r="H18" s="4">
        <f t="shared" si="2"/>
        <v>3422979.4811565699</v>
      </c>
      <c r="I18" s="4">
        <f t="shared" si="2"/>
        <v>3965932.1961984243</v>
      </c>
      <c r="K18">
        <v>465</v>
      </c>
    </row>
    <row r="19" spans="1:11" x14ac:dyDescent="0.4">
      <c r="A19" t="s">
        <v>179</v>
      </c>
      <c r="B19" s="5">
        <f t="shared" ref="B19:I19" si="3">B17+B18</f>
        <v>13703513.937752947</v>
      </c>
      <c r="C19" s="5">
        <f t="shared" si="3"/>
        <v>14114409.24659067</v>
      </c>
      <c r="D19" s="5">
        <f t="shared" si="3"/>
        <v>14163763.344505636</v>
      </c>
      <c r="E19" s="5">
        <f t="shared" si="3"/>
        <v>10950531.934694329</v>
      </c>
      <c r="F19" s="5">
        <f t="shared" si="3"/>
        <v>11071712.158371558</v>
      </c>
      <c r="G19" s="5">
        <f t="shared" si="3"/>
        <v>6859696.3898730371</v>
      </c>
      <c r="H19" s="5">
        <f t="shared" si="3"/>
        <v>4862501.1100530503</v>
      </c>
      <c r="I19" s="5">
        <f t="shared" si="3"/>
        <v>3965932.1961984243</v>
      </c>
    </row>
    <row r="20" spans="1:11" x14ac:dyDescent="0.4">
      <c r="B20" s="18">
        <v>0.9</v>
      </c>
      <c r="C20" s="6">
        <f t="shared" ref="C20:I20" si="4">C19/$B$22</f>
        <v>0.92698620073900473</v>
      </c>
      <c r="D20" s="6">
        <f t="shared" si="4"/>
        <v>0.93022760935326509</v>
      </c>
      <c r="E20" s="6">
        <f t="shared" si="4"/>
        <v>0.71919354305710015</v>
      </c>
      <c r="F20" s="6">
        <f t="shared" si="4"/>
        <v>0.72715224633604836</v>
      </c>
      <c r="G20" s="6">
        <f t="shared" si="4"/>
        <v>0.45052143405913003</v>
      </c>
      <c r="H20" s="6">
        <f t="shared" si="4"/>
        <v>0.31935246820096619</v>
      </c>
      <c r="I20" s="6">
        <f t="shared" si="4"/>
        <v>0.26046888358650211</v>
      </c>
      <c r="J20" s="18"/>
    </row>
    <row r="22" spans="1:11" x14ac:dyDescent="0.4">
      <c r="A22" t="s">
        <v>180</v>
      </c>
      <c r="B22" s="4">
        <f>B19/B20</f>
        <v>15226126.597503275</v>
      </c>
      <c r="I22" s="18">
        <v>0.3</v>
      </c>
      <c r="J22" s="18"/>
    </row>
    <row r="23" spans="1:11" x14ac:dyDescent="0.4">
      <c r="I23" s="18">
        <f>I20-I22</f>
        <v>-3.953111641349788E-2</v>
      </c>
      <c r="J23" s="18"/>
    </row>
    <row r="24" spans="1:11" x14ac:dyDescent="0.4">
      <c r="I24" s="4">
        <f>B22*I23</f>
        <v>-601905.78305255831</v>
      </c>
      <c r="J24" s="4"/>
    </row>
    <row r="25" spans="1:11" x14ac:dyDescent="0.4">
      <c r="I25" s="4">
        <f>I24/675</f>
        <v>-891.71227118897525</v>
      </c>
      <c r="J25" s="4"/>
    </row>
  </sheetData>
  <mergeCells count="4">
    <mergeCell ref="O3:Q3"/>
    <mergeCell ref="O8:Q8"/>
    <mergeCell ref="P7:Q7"/>
    <mergeCell ref="P4:Q4"/>
  </mergeCells>
  <phoneticPr fontId="2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5AF19-92FC-42CB-B493-863C3170AC02}">
  <dimension ref="A1:AU76"/>
  <sheetViews>
    <sheetView workbookViewId="0">
      <selection activeCell="D5" sqref="D5:D73"/>
    </sheetView>
  </sheetViews>
  <sheetFormatPr defaultRowHeight="15" x14ac:dyDescent="0.4"/>
  <cols>
    <col min="1" max="1" width="15.5" bestFit="1" customWidth="1"/>
    <col min="2" max="2" width="12.625" customWidth="1"/>
    <col min="3" max="3" width="17.125" style="1" bestFit="1" customWidth="1"/>
    <col min="4" max="4" width="17.125" style="1" customWidth="1"/>
    <col min="5" max="5" width="9.375" style="4" customWidth="1"/>
    <col min="6" max="6" width="8.75" style="4"/>
    <col min="7" max="7" width="7.25" style="4" customWidth="1"/>
    <col min="8" max="8" width="10.375" style="4" bestFit="1" customWidth="1"/>
    <col min="9" max="9" width="8.25" style="4" hidden="1" customWidth="1"/>
    <col min="10" max="10" width="12.375" style="4" bestFit="1" customWidth="1"/>
    <col min="11" max="11" width="0" style="4" hidden="1" customWidth="1"/>
    <col min="12" max="12" width="8.75" style="272"/>
    <col min="13" max="13" width="8.75" style="4"/>
    <col min="14" max="14" width="0" style="4" hidden="1" customWidth="1"/>
    <col min="15" max="15" width="8.75" style="4"/>
    <col min="16" max="16" width="0" style="4" hidden="1" customWidth="1"/>
    <col min="17" max="17" width="8.75" style="4" hidden="1" customWidth="1"/>
    <col min="18" max="19" width="8.75" style="4"/>
    <col min="20" max="20" width="9.375" style="4" hidden="1" customWidth="1"/>
    <col min="22" max="22" width="0" hidden="1" customWidth="1"/>
    <col min="25" max="25" width="0" hidden="1" customWidth="1"/>
    <col min="27" max="27" width="0" hidden="1" customWidth="1"/>
    <col min="44" max="44" width="0" hidden="1" customWidth="1"/>
    <col min="46" max="46" width="0" hidden="1" customWidth="1"/>
  </cols>
  <sheetData>
    <row r="1" spans="1:47" x14ac:dyDescent="0.4">
      <c r="D1" s="1">
        <v>0.93</v>
      </c>
      <c r="G1" s="4" t="s">
        <v>42</v>
      </c>
      <c r="L1" s="272" t="s">
        <v>64</v>
      </c>
      <c r="R1" s="272" t="s">
        <v>19</v>
      </c>
      <c r="U1" s="4"/>
      <c r="V1" s="4"/>
      <c r="W1" s="272" t="s">
        <v>32</v>
      </c>
      <c r="X1" s="4"/>
      <c r="Y1" s="4"/>
      <c r="Z1" s="4"/>
      <c r="AA1" s="4"/>
      <c r="AB1" s="272" t="s">
        <v>172</v>
      </c>
      <c r="AC1" s="4"/>
      <c r="AD1" s="4"/>
      <c r="AE1" s="4"/>
      <c r="AF1" s="4"/>
      <c r="AG1" s="272" t="s">
        <v>173</v>
      </c>
      <c r="AH1" s="4"/>
      <c r="AI1" s="4"/>
      <c r="AJ1" s="4"/>
      <c r="AK1" s="4"/>
      <c r="AL1" s="272" t="s">
        <v>174</v>
      </c>
      <c r="AM1" s="4"/>
      <c r="AN1" s="4"/>
      <c r="AO1" s="4"/>
      <c r="AP1" s="4"/>
      <c r="AQ1" s="272" t="s">
        <v>43</v>
      </c>
      <c r="AR1" s="4"/>
      <c r="AS1" s="4"/>
      <c r="AT1" s="4"/>
      <c r="AU1" s="4"/>
    </row>
    <row r="2" spans="1:47" ht="18" customHeight="1" x14ac:dyDescent="0.4">
      <c r="C2" s="2" t="s">
        <v>4</v>
      </c>
      <c r="D2" s="2" t="s">
        <v>168</v>
      </c>
      <c r="G2" s="4">
        <f>機器台数case３!D29</f>
        <v>296.36052599999994</v>
      </c>
      <c r="H2" s="4" t="s">
        <v>169</v>
      </c>
      <c r="I2" s="4" t="s">
        <v>170</v>
      </c>
      <c r="J2" s="4" t="s">
        <v>171</v>
      </c>
      <c r="K2" s="4" t="s">
        <v>84</v>
      </c>
      <c r="L2" s="272">
        <f>機器台数case３!F29</f>
        <v>309.87267187813455</v>
      </c>
      <c r="M2" s="4" t="s">
        <v>169</v>
      </c>
      <c r="N2" s="4" t="s">
        <v>170</v>
      </c>
      <c r="O2" s="4" t="s">
        <v>171</v>
      </c>
      <c r="P2" s="4" t="s">
        <v>84</v>
      </c>
      <c r="R2" s="272">
        <f>機器台数case３!H29</f>
        <v>324.12748684199516</v>
      </c>
      <c r="S2" s="4" t="s">
        <v>169</v>
      </c>
      <c r="T2" s="4" t="s">
        <v>170</v>
      </c>
      <c r="U2" s="4" t="s">
        <v>171</v>
      </c>
      <c r="V2" s="4" t="s">
        <v>84</v>
      </c>
      <c r="W2" s="272">
        <f>機器台数case３!J29</f>
        <v>339.16178520211975</v>
      </c>
      <c r="X2" s="4" t="s">
        <v>169</v>
      </c>
      <c r="Y2" s="4" t="s">
        <v>170</v>
      </c>
      <c r="Z2" s="4" t="s">
        <v>171</v>
      </c>
      <c r="AA2" s="4" t="s">
        <v>84</v>
      </c>
      <c r="AB2" s="272">
        <f>機器台数case３!L29</f>
        <v>136.41968246581251</v>
      </c>
      <c r="AC2" s="4" t="s">
        <v>169</v>
      </c>
      <c r="AD2" s="4" t="s">
        <v>170</v>
      </c>
      <c r="AE2" s="4" t="s">
        <v>171</v>
      </c>
      <c r="AF2" s="4" t="s">
        <v>84</v>
      </c>
      <c r="AG2" s="272">
        <f>機器台数case３!N29</f>
        <v>60.867018623447514</v>
      </c>
      <c r="AH2" s="4" t="s">
        <v>169</v>
      </c>
      <c r="AI2" s="4" t="s">
        <v>170</v>
      </c>
      <c r="AJ2" s="4" t="s">
        <v>171</v>
      </c>
      <c r="AK2" s="4" t="s">
        <v>84</v>
      </c>
      <c r="AL2" s="272">
        <f>機器台数case３!S29</f>
        <v>0</v>
      </c>
      <c r="AM2" s="4" t="s">
        <v>169</v>
      </c>
      <c r="AN2" s="4" t="s">
        <v>170</v>
      </c>
      <c r="AO2" s="4" t="s">
        <v>171</v>
      </c>
      <c r="AP2" s="4" t="s">
        <v>84</v>
      </c>
      <c r="AQ2" s="272">
        <f>機器台数case３!X29</f>
        <v>0</v>
      </c>
      <c r="AR2" s="4" t="s">
        <v>169</v>
      </c>
      <c r="AS2" s="4" t="s">
        <v>170</v>
      </c>
      <c r="AT2" s="4" t="s">
        <v>171</v>
      </c>
      <c r="AU2" s="4" t="s">
        <v>84</v>
      </c>
    </row>
    <row r="3" spans="1:47" x14ac:dyDescent="0.4">
      <c r="B3" t="s">
        <v>2</v>
      </c>
      <c r="C3" s="1" t="s">
        <v>8</v>
      </c>
      <c r="D3" s="1" t="s">
        <v>8</v>
      </c>
      <c r="F3" s="4" t="s">
        <v>21</v>
      </c>
      <c r="G3" s="4">
        <v>0</v>
      </c>
      <c r="H3" s="4">
        <f>G2*(1-G$3)</f>
        <v>296.36052599999994</v>
      </c>
      <c r="I3" s="4">
        <f>G2*G$3</f>
        <v>0</v>
      </c>
      <c r="J3" s="4">
        <f>SUM(J4:J10)</f>
        <v>729.64982921725584</v>
      </c>
      <c r="K3" s="4">
        <f>SUM(K4:K10)</f>
        <v>0</v>
      </c>
      <c r="L3" s="272">
        <v>0</v>
      </c>
      <c r="M3" s="4">
        <f>L2*(1-L$3)</f>
        <v>309.87267187813455</v>
      </c>
      <c r="N3" s="4">
        <f>L2*L$3</f>
        <v>0</v>
      </c>
      <c r="O3" s="4">
        <f>SUM(O4:O10)</f>
        <v>762.9171980717017</v>
      </c>
      <c r="P3" s="4">
        <f>SUM(P4:P10)</f>
        <v>0</v>
      </c>
      <c r="Q3" s="4" t="s">
        <v>21</v>
      </c>
      <c r="R3" s="272">
        <v>0</v>
      </c>
      <c r="S3" s="4">
        <f>R2*(1-R$3)</f>
        <v>324.12748684199516</v>
      </c>
      <c r="U3" s="4">
        <f>SUM(U4:U10)</f>
        <v>798.01304381164505</v>
      </c>
      <c r="V3" s="4">
        <f>SUM(V4:V10)</f>
        <v>0</v>
      </c>
      <c r="W3" s="272">
        <v>0</v>
      </c>
      <c r="X3" s="4">
        <f>W2*(1-W$3)</f>
        <v>339.16178520211975</v>
      </c>
      <c r="Y3" s="4">
        <f>W2*W$3</f>
        <v>0</v>
      </c>
      <c r="Z3" s="4">
        <f>SUM(Z4:Z10)</f>
        <v>835.02800453845316</v>
      </c>
      <c r="AA3" s="4">
        <f>SUM(AA4:AA10)</f>
        <v>0</v>
      </c>
      <c r="AB3" s="6">
        <f>機器台数case３!L13</f>
        <v>1.0495702746299964</v>
      </c>
      <c r="AC3" s="4">
        <f>機器台数case３!L29</f>
        <v>136.41968246581251</v>
      </c>
      <c r="AD3" s="4">
        <v>0</v>
      </c>
      <c r="AE3" s="4">
        <f>SUM(AE4:AE10)</f>
        <v>335.86995999950551</v>
      </c>
      <c r="AF3" s="4">
        <f>SUM(AF4:AF10)</f>
        <v>0</v>
      </c>
      <c r="AG3" s="6">
        <f>機器台数case３!N13</f>
        <v>1.0495702746299964</v>
      </c>
      <c r="AH3" s="4">
        <f>機器台数case３!N29</f>
        <v>60.867018623447514</v>
      </c>
      <c r="AI3" s="4">
        <f>機器台数case３!N39</f>
        <v>148.02775507993266</v>
      </c>
      <c r="AJ3" s="4">
        <f>SUM(AJ4:AJ10)</f>
        <v>149.85669766142215</v>
      </c>
      <c r="AK3" s="4">
        <f>SUM(AK4:AK10)</f>
        <v>338.93797441344338</v>
      </c>
      <c r="AL3" s="6">
        <f>機器台数case３!S13</f>
        <v>0</v>
      </c>
      <c r="AM3" s="4">
        <f>機器台数case３!P29</f>
        <v>16.367865396874276</v>
      </c>
      <c r="AN3" s="4">
        <f>機器台数case３!P39</f>
        <v>266.40698503458975</v>
      </c>
      <c r="AO3" s="4">
        <f>SUM(AO4:AO10)</f>
        <v>40.298248733302458</v>
      </c>
      <c r="AP3" s="4">
        <f>SUM(AP4:AP10)</f>
        <v>609.98995646767901</v>
      </c>
      <c r="AQ3" s="6">
        <f>機器台数case３!X13</f>
        <v>0</v>
      </c>
      <c r="AR3" s="4">
        <f>機器台数case３!R29</f>
        <v>0</v>
      </c>
      <c r="AS3" s="4">
        <f>機器台数case３!R39</f>
        <v>411.78062431218012</v>
      </c>
      <c r="AT3" s="4">
        <f>SUM(AT4:AT10)</f>
        <v>0</v>
      </c>
      <c r="AU3" s="4">
        <f>SUM(AU4:AU10)</f>
        <v>942.85082302105343</v>
      </c>
    </row>
    <row r="4" spans="1:47" x14ac:dyDescent="0.4">
      <c r="A4" t="s">
        <v>0</v>
      </c>
      <c r="B4">
        <v>1.5</v>
      </c>
      <c r="C4" s="1">
        <v>2.1</v>
      </c>
      <c r="D4" s="1">
        <f t="shared" ref="D4:D35" si="0">C4*$D$1</f>
        <v>1.9530000000000003</v>
      </c>
      <c r="E4" s="4">
        <v>39305</v>
      </c>
      <c r="F4" s="6">
        <v>0.12088750280650926</v>
      </c>
      <c r="H4" s="4">
        <f t="shared" ref="H4:H10" si="1">F4*H$3</f>
        <v>35.826283918563554</v>
      </c>
      <c r="I4" s="4">
        <f t="shared" ref="I4:I10" si="2">$F4*I$3</f>
        <v>0</v>
      </c>
      <c r="J4" s="267">
        <f t="shared" ref="J4:K10" si="3">C4*H4</f>
        <v>75.235196228983469</v>
      </c>
      <c r="K4" s="267">
        <f t="shared" si="3"/>
        <v>0</v>
      </c>
      <c r="L4" s="273"/>
      <c r="M4" s="4">
        <f>F$4*M$3</f>
        <v>37.459733491328514</v>
      </c>
      <c r="N4" s="4">
        <f t="shared" ref="N4:N10" si="4">$F4*N$3</f>
        <v>0</v>
      </c>
      <c r="O4" s="4">
        <f>C$4*M$4</f>
        <v>78.665440331789881</v>
      </c>
      <c r="P4" s="267">
        <f>D$4*N$4</f>
        <v>0</v>
      </c>
      <c r="Q4" s="6">
        <f t="shared" ref="Q4:Q10" si="5">E4/$A$6</f>
        <v>0.12088750280650926</v>
      </c>
      <c r="R4" s="273">
        <f>SUM(S4:S10)</f>
        <v>324.12748684199516</v>
      </c>
      <c r="S4" s="4">
        <f t="shared" ref="S4:T10" si="6">$F4*S$3</f>
        <v>39.18296247527848</v>
      </c>
      <c r="T4" s="4">
        <f t="shared" si="6"/>
        <v>0</v>
      </c>
      <c r="U4" s="4">
        <f t="shared" ref="U4:U10" si="7">$C4*S4</f>
        <v>82.284221198084808</v>
      </c>
      <c r="V4" s="4">
        <f t="shared" ref="V4:V10" si="8">$D4*T4</f>
        <v>0</v>
      </c>
      <c r="W4" s="273">
        <f>SUM(X4:X10)</f>
        <v>339.16178520211975</v>
      </c>
      <c r="X4" s="4">
        <f t="shared" ref="X4:Y10" si="9">$F4*X$3</f>
        <v>41.000421260481943</v>
      </c>
      <c r="Y4" s="4">
        <f t="shared" si="9"/>
        <v>0</v>
      </c>
      <c r="Z4" s="4">
        <f t="shared" ref="Z4:Z10" si="10">$C4*X4</f>
        <v>86.10088464701208</v>
      </c>
      <c r="AA4" s="4">
        <f t="shared" ref="AA4:AA10" si="11">$D4*Y4</f>
        <v>0</v>
      </c>
      <c r="AB4" s="273">
        <f>SUM(AC4:AC10)</f>
        <v>136.41968246581251</v>
      </c>
      <c r="AC4" s="4">
        <f t="shared" ref="AC4:AD10" si="12">$F4*AC$3</f>
        <v>16.491434746949011</v>
      </c>
      <c r="AD4" s="4">
        <f t="shared" si="12"/>
        <v>0</v>
      </c>
      <c r="AE4" s="4">
        <f t="shared" ref="AE4:AE10" si="13">$C4*AC4</f>
        <v>34.632012968592925</v>
      </c>
      <c r="AF4" s="4">
        <f t="shared" ref="AF4:AF10" si="14">$D4*AD4</f>
        <v>0</v>
      </c>
      <c r="AG4" s="273">
        <f>SUM(AH4:AH10)</f>
        <v>60.867018623447521</v>
      </c>
      <c r="AH4" s="4">
        <f t="shared" ref="AH4:AI10" si="15">$F4*AH$3</f>
        <v>7.3580618846658625</v>
      </c>
      <c r="AI4" s="4">
        <f t="shared" si="15"/>
        <v>17.894705657666623</v>
      </c>
      <c r="AJ4" s="4">
        <f t="shared" ref="AJ4:AJ10" si="16">$C4*AH4</f>
        <v>15.451929957798312</v>
      </c>
      <c r="AK4" s="4">
        <f t="shared" ref="AK4:AK10" si="17">$D4*AI4</f>
        <v>34.948360149422918</v>
      </c>
      <c r="AL4" s="273">
        <f>SUM(AM4:AM10)</f>
        <v>16.367865396874276</v>
      </c>
      <c r="AM4" s="4">
        <f t="shared" ref="AM4:AN10" si="18">$F4*AM$3</f>
        <v>1.9786703741012048</v>
      </c>
      <c r="AN4" s="4">
        <f t="shared" si="18"/>
        <v>32.205275151042635</v>
      </c>
      <c r="AO4" s="4">
        <f t="shared" ref="AO4:AO10" si="19">$C4*AM4</f>
        <v>4.1552077856125305</v>
      </c>
      <c r="AP4" s="4">
        <f t="shared" ref="AP4:AP10" si="20">$D4*AN4</f>
        <v>62.896902369986272</v>
      </c>
      <c r="AQ4" s="273">
        <f>SUM(AR4:AR10)</f>
        <v>0</v>
      </c>
      <c r="AR4" s="4">
        <f t="shared" ref="AR4:AS10" si="21">$F4*AR$3</f>
        <v>0</v>
      </c>
      <c r="AS4" s="4">
        <f t="shared" si="21"/>
        <v>49.779131377204806</v>
      </c>
      <c r="AT4" s="4">
        <f t="shared" ref="AT4:AT10" si="22">$C4*AR4</f>
        <v>0</v>
      </c>
      <c r="AU4" s="4">
        <f t="shared" ref="AU4:AU10" si="23">$D4*AS4</f>
        <v>97.218643579681</v>
      </c>
    </row>
    <row r="5" spans="1:47" x14ac:dyDescent="0.4">
      <c r="A5" t="s">
        <v>1</v>
      </c>
      <c r="B5">
        <v>2</v>
      </c>
      <c r="C5" s="1">
        <v>2.1</v>
      </c>
      <c r="D5" s="1">
        <f t="shared" si="0"/>
        <v>1.9530000000000003</v>
      </c>
      <c r="E5" s="4">
        <v>92478</v>
      </c>
      <c r="F5" s="6">
        <v>0.28442779505254706</v>
      </c>
      <c r="H5" s="4">
        <f t="shared" si="1"/>
        <v>84.293170950793026</v>
      </c>
      <c r="I5" s="4">
        <f t="shared" si="2"/>
        <v>0</v>
      </c>
      <c r="J5" s="267">
        <f t="shared" si="3"/>
        <v>177.01565899666537</v>
      </c>
      <c r="K5" s="267">
        <f t="shared" si="3"/>
        <v>0</v>
      </c>
      <c r="L5" s="273"/>
      <c r="M5" s="4">
        <f t="shared" ref="M5:M10" si="24">$F5*M$3</f>
        <v>88.136400809339221</v>
      </c>
      <c r="N5" s="4">
        <f t="shared" si="4"/>
        <v>0</v>
      </c>
      <c r="O5" s="4">
        <f t="shared" ref="O5:O10" si="25">$C5*$M5</f>
        <v>185.08644169961238</v>
      </c>
      <c r="P5" s="267">
        <f t="shared" ref="P5:P10" si="26">$D5*$N5</f>
        <v>0</v>
      </c>
      <c r="Q5" s="6">
        <f t="shared" si="5"/>
        <v>0.28442779505254706</v>
      </c>
      <c r="R5" s="273">
        <f>SUM(S4:S10)</f>
        <v>324.12748684199516</v>
      </c>
      <c r="S5" s="4">
        <f t="shared" si="6"/>
        <v>92.190866398392146</v>
      </c>
      <c r="T5" s="4">
        <f t="shared" si="6"/>
        <v>0</v>
      </c>
      <c r="U5" s="4">
        <f t="shared" si="7"/>
        <v>193.60081943662351</v>
      </c>
      <c r="V5" s="267">
        <f t="shared" si="8"/>
        <v>0</v>
      </c>
      <c r="W5" s="273">
        <f>SUM(X4:X10)</f>
        <v>339.16178520211975</v>
      </c>
      <c r="X5" s="4">
        <f t="shared" si="9"/>
        <v>96.467038731124504</v>
      </c>
      <c r="Y5" s="4">
        <f t="shared" si="9"/>
        <v>0</v>
      </c>
      <c r="Z5" s="4">
        <f t="shared" si="10"/>
        <v>202.58078133536148</v>
      </c>
      <c r="AA5" s="267">
        <f t="shared" si="11"/>
        <v>0</v>
      </c>
      <c r="AB5" s="273">
        <f>SUM(AC4:AC10)</f>
        <v>136.41968246581251</v>
      </c>
      <c r="AC5" s="4">
        <f t="shared" si="12"/>
        <v>38.801549485519672</v>
      </c>
      <c r="AD5" s="4">
        <f t="shared" si="12"/>
        <v>0</v>
      </c>
      <c r="AE5" s="4">
        <f t="shared" si="13"/>
        <v>81.48325391959132</v>
      </c>
      <c r="AF5" s="267">
        <f t="shared" si="14"/>
        <v>0</v>
      </c>
      <c r="AG5" s="273">
        <f>SUM(AH4:AH10)</f>
        <v>60.867018623447521</v>
      </c>
      <c r="AH5" s="4">
        <f t="shared" si="15"/>
        <v>17.312271898489495</v>
      </c>
      <c r="AI5" s="4">
        <f t="shared" si="15"/>
        <v>42.103207983963721</v>
      </c>
      <c r="AJ5" s="4">
        <f t="shared" si="16"/>
        <v>36.355770986827942</v>
      </c>
      <c r="AK5" s="267">
        <f t="shared" si="17"/>
        <v>82.227565192681155</v>
      </c>
      <c r="AL5" s="273">
        <f>SUM(AM4:AM10)</f>
        <v>16.367865396874276</v>
      </c>
      <c r="AM5" s="4">
        <f t="shared" si="18"/>
        <v>4.6554758645498335</v>
      </c>
      <c r="AN5" s="4">
        <f t="shared" si="18"/>
        <v>75.773551339985261</v>
      </c>
      <c r="AO5" s="4">
        <f t="shared" si="19"/>
        <v>9.7764993155546502</v>
      </c>
      <c r="AP5" s="267">
        <f t="shared" si="20"/>
        <v>147.98574576699124</v>
      </c>
      <c r="AQ5" s="273">
        <f>SUM(AR4:AR10)</f>
        <v>0</v>
      </c>
      <c r="AR5" s="4">
        <f t="shared" si="21"/>
        <v>0</v>
      </c>
      <c r="AS5" s="4">
        <f t="shared" si="21"/>
        <v>117.12185501847465</v>
      </c>
      <c r="AT5" s="4">
        <f t="shared" si="22"/>
        <v>0</v>
      </c>
      <c r="AU5" s="267">
        <f t="shared" si="23"/>
        <v>228.73898285108103</v>
      </c>
    </row>
    <row r="6" spans="1:47" x14ac:dyDescent="0.4">
      <c r="A6" s="5">
        <f>SUM(E4:E10)</f>
        <v>325137</v>
      </c>
      <c r="B6">
        <v>2.5</v>
      </c>
      <c r="C6" s="1">
        <v>2.2999999999999998</v>
      </c>
      <c r="D6" s="1">
        <f t="shared" si="0"/>
        <v>2.1389999999999998</v>
      </c>
      <c r="E6" s="4">
        <v>79805</v>
      </c>
      <c r="F6" s="6">
        <v>0.24545037937853889</v>
      </c>
      <c r="H6" s="4">
        <f t="shared" si="1"/>
        <v>72.741803539523318</v>
      </c>
      <c r="I6" s="4">
        <f t="shared" si="2"/>
        <v>0</v>
      </c>
      <c r="J6" s="267">
        <f t="shared" si="3"/>
        <v>167.30614814090362</v>
      </c>
      <c r="K6" s="267">
        <f t="shared" si="3"/>
        <v>0</v>
      </c>
      <c r="L6" s="273"/>
      <c r="M6" s="4">
        <f t="shared" si="24"/>
        <v>76.058364871529619</v>
      </c>
      <c r="N6" s="4">
        <f t="shared" si="4"/>
        <v>0</v>
      </c>
      <c r="O6" s="4">
        <f t="shared" si="25"/>
        <v>174.93423920451812</v>
      </c>
      <c r="P6" s="267">
        <f t="shared" si="26"/>
        <v>0</v>
      </c>
      <c r="Q6" s="6">
        <f t="shared" si="5"/>
        <v>0.24545037937853889</v>
      </c>
      <c r="R6" s="273"/>
      <c r="S6" s="4">
        <f t="shared" si="6"/>
        <v>79.557214612380079</v>
      </c>
      <c r="T6" s="4">
        <f t="shared" si="6"/>
        <v>0</v>
      </c>
      <c r="U6" s="4">
        <f t="shared" si="7"/>
        <v>182.98159360847416</v>
      </c>
      <c r="V6" s="267">
        <f t="shared" si="8"/>
        <v>0</v>
      </c>
      <c r="W6" s="273"/>
      <c r="X6" s="4">
        <f t="shared" si="9"/>
        <v>83.247388848562807</v>
      </c>
      <c r="Y6" s="4">
        <f t="shared" si="9"/>
        <v>0</v>
      </c>
      <c r="Z6" s="4">
        <f t="shared" si="10"/>
        <v>191.46899435169445</v>
      </c>
      <c r="AA6" s="267">
        <f t="shared" si="11"/>
        <v>0</v>
      </c>
      <c r="AB6" s="273"/>
      <c r="AC6" s="4">
        <f t="shared" si="12"/>
        <v>33.484262815933491</v>
      </c>
      <c r="AD6" s="4">
        <f t="shared" si="12"/>
        <v>0</v>
      </c>
      <c r="AE6" s="4">
        <f t="shared" si="13"/>
        <v>77.013804476647024</v>
      </c>
      <c r="AF6" s="267">
        <f t="shared" si="14"/>
        <v>0</v>
      </c>
      <c r="AG6" s="273"/>
      <c r="AH6" s="4">
        <f t="shared" si="15"/>
        <v>14.939832812765784</v>
      </c>
      <c r="AI6" s="4">
        <f t="shared" si="15"/>
        <v>36.333468642922909</v>
      </c>
      <c r="AJ6" s="4">
        <f t="shared" si="16"/>
        <v>34.361615469361304</v>
      </c>
      <c r="AK6" s="267">
        <f t="shared" si="17"/>
        <v>77.717289427212094</v>
      </c>
      <c r="AL6" s="273"/>
      <c r="AM6" s="4">
        <f t="shared" si="18"/>
        <v>4.0174987712796497</v>
      </c>
      <c r="AN6" s="4">
        <f t="shared" si="18"/>
        <v>65.389695545832794</v>
      </c>
      <c r="AO6" s="4">
        <f t="shared" si="19"/>
        <v>9.2402471739431942</v>
      </c>
      <c r="AP6" s="267">
        <f t="shared" si="20"/>
        <v>139.86855877253635</v>
      </c>
      <c r="AQ6" s="273"/>
      <c r="AR6" s="4">
        <f t="shared" si="21"/>
        <v>0</v>
      </c>
      <c r="AS6" s="4">
        <f t="shared" si="21"/>
        <v>101.0717104581562</v>
      </c>
      <c r="AT6" s="4">
        <f t="shared" si="22"/>
        <v>0</v>
      </c>
      <c r="AU6" s="267">
        <f t="shared" si="23"/>
        <v>216.19238866999609</v>
      </c>
    </row>
    <row r="7" spans="1:47" x14ac:dyDescent="0.4">
      <c r="A7" s="237">
        <f>A6/$E$75</f>
        <v>0.2149519735184976</v>
      </c>
      <c r="B7">
        <v>3</v>
      </c>
      <c r="C7" s="1">
        <v>2.2000000000000002</v>
      </c>
      <c r="D7" s="1">
        <f t="shared" si="0"/>
        <v>2.0460000000000003</v>
      </c>
      <c r="E7" s="4">
        <v>64156</v>
      </c>
      <c r="F7" s="6">
        <v>0.19731989899642305</v>
      </c>
      <c r="H7" s="4">
        <f t="shared" si="1"/>
        <v>58.477829056846794</v>
      </c>
      <c r="I7" s="4">
        <f t="shared" si="2"/>
        <v>0</v>
      </c>
      <c r="J7" s="267">
        <f t="shared" si="3"/>
        <v>128.65122392506296</v>
      </c>
      <c r="K7" s="267">
        <f t="shared" si="3"/>
        <v>0</v>
      </c>
      <c r="L7" s="273"/>
      <c r="M7" s="4">
        <f t="shared" si="24"/>
        <v>61.144044316745251</v>
      </c>
      <c r="N7" s="4">
        <f t="shared" si="4"/>
        <v>0</v>
      </c>
      <c r="O7" s="4">
        <f t="shared" si="25"/>
        <v>134.51689749683956</v>
      </c>
      <c r="P7" s="267">
        <f t="shared" si="26"/>
        <v>0</v>
      </c>
      <c r="Q7" s="6">
        <f t="shared" si="5"/>
        <v>0.19731989899642305</v>
      </c>
      <c r="R7" s="273"/>
      <c r="S7" s="4">
        <f t="shared" si="6"/>
        <v>63.956802965626927</v>
      </c>
      <c r="T7" s="4">
        <f t="shared" si="6"/>
        <v>0</v>
      </c>
      <c r="U7" s="4">
        <f t="shared" si="7"/>
        <v>140.70496652437924</v>
      </c>
      <c r="V7" s="267">
        <f t="shared" si="8"/>
        <v>0</v>
      </c>
      <c r="W7" s="273"/>
      <c r="X7" s="4">
        <f t="shared" si="9"/>
        <v>66.923369199528793</v>
      </c>
      <c r="Y7" s="4">
        <f t="shared" si="9"/>
        <v>0</v>
      </c>
      <c r="Z7" s="4">
        <f t="shared" si="10"/>
        <v>147.23141223896334</v>
      </c>
      <c r="AA7" s="267">
        <f t="shared" si="11"/>
        <v>0</v>
      </c>
      <c r="AB7" s="273"/>
      <c r="AC7" s="4">
        <f t="shared" si="12"/>
        <v>26.918317965278231</v>
      </c>
      <c r="AD7" s="4">
        <f t="shared" si="12"/>
        <v>0</v>
      </c>
      <c r="AE7" s="4">
        <f t="shared" si="13"/>
        <v>59.220299523612113</v>
      </c>
      <c r="AF7" s="267">
        <f t="shared" si="14"/>
        <v>0</v>
      </c>
      <c r="AG7" s="273"/>
      <c r="AH7" s="4">
        <f t="shared" si="15"/>
        <v>12.010273966992065</v>
      </c>
      <c r="AI7" s="4">
        <f t="shared" si="15"/>
        <v>29.208821681039563</v>
      </c>
      <c r="AJ7" s="4">
        <f t="shared" si="16"/>
        <v>26.422602727382547</v>
      </c>
      <c r="AK7" s="267">
        <f t="shared" si="17"/>
        <v>59.761249159406951</v>
      </c>
      <c r="AL7" s="273"/>
      <c r="AM7" s="4">
        <f t="shared" si="18"/>
        <v>3.22970554689828</v>
      </c>
      <c r="AN7" s="4">
        <f t="shared" si="18"/>
        <v>52.56739937896684</v>
      </c>
      <c r="AO7" s="4">
        <f t="shared" si="19"/>
        <v>7.1053522031762171</v>
      </c>
      <c r="AP7" s="267">
        <f t="shared" si="20"/>
        <v>107.55289912936617</v>
      </c>
      <c r="AQ7" s="273"/>
      <c r="AR7" s="4">
        <f t="shared" si="21"/>
        <v>0</v>
      </c>
      <c r="AS7" s="4">
        <f t="shared" si="21"/>
        <v>81.2525111979634</v>
      </c>
      <c r="AT7" s="4">
        <f t="shared" si="22"/>
        <v>0</v>
      </c>
      <c r="AU7" s="267">
        <f t="shared" si="23"/>
        <v>166.24263791103314</v>
      </c>
    </row>
    <row r="8" spans="1:47" x14ac:dyDescent="0.4">
      <c r="A8" s="18">
        <f>SUM(F4:F10)</f>
        <v>1</v>
      </c>
      <c r="B8">
        <v>3.5</v>
      </c>
      <c r="C8" s="1">
        <v>2.5</v>
      </c>
      <c r="D8" s="1">
        <f t="shared" si="0"/>
        <v>2.3250000000000002</v>
      </c>
      <c r="E8" s="4">
        <v>16575</v>
      </c>
      <c r="F8" s="6">
        <v>5.097851059707139E-2</v>
      </c>
      <c r="H8" s="4">
        <f t="shared" si="1"/>
        <v>15.108018215244648</v>
      </c>
      <c r="I8" s="4">
        <f t="shared" si="2"/>
        <v>0</v>
      </c>
      <c r="J8" s="267">
        <f t="shared" si="3"/>
        <v>37.770045538111617</v>
      </c>
      <c r="K8" s="267">
        <f t="shared" si="3"/>
        <v>0</v>
      </c>
      <c r="L8" s="273"/>
      <c r="M8" s="4">
        <f t="shared" si="24"/>
        <v>15.796847287082308</v>
      </c>
      <c r="N8" s="4">
        <f t="shared" si="4"/>
        <v>0</v>
      </c>
      <c r="O8" s="4">
        <f t="shared" si="25"/>
        <v>39.492118217705766</v>
      </c>
      <c r="P8" s="267">
        <f t="shared" si="26"/>
        <v>0</v>
      </c>
      <c r="Q8" s="6">
        <f t="shared" si="5"/>
        <v>5.097851059707139E-2</v>
      </c>
      <c r="R8" s="273"/>
      <c r="S8" s="4">
        <f t="shared" si="6"/>
        <v>16.523536522776769</v>
      </c>
      <c r="T8" s="4">
        <f t="shared" si="6"/>
        <v>0</v>
      </c>
      <c r="U8" s="4">
        <f t="shared" si="7"/>
        <v>41.308841306941922</v>
      </c>
      <c r="V8" s="267">
        <f t="shared" si="8"/>
        <v>0</v>
      </c>
      <c r="W8" s="273"/>
      <c r="X8" s="4">
        <f t="shared" si="9"/>
        <v>17.289962661047912</v>
      </c>
      <c r="Y8" s="4">
        <f t="shared" si="9"/>
        <v>0</v>
      </c>
      <c r="Z8" s="4">
        <f t="shared" si="10"/>
        <v>43.224906652619779</v>
      </c>
      <c r="AA8" s="267">
        <f t="shared" si="11"/>
        <v>0</v>
      </c>
      <c r="AB8" s="273"/>
      <c r="AC8" s="4">
        <f t="shared" si="12"/>
        <v>6.9544722282325377</v>
      </c>
      <c r="AD8" s="4">
        <f t="shared" si="12"/>
        <v>0</v>
      </c>
      <c r="AE8" s="4">
        <f t="shared" si="13"/>
        <v>17.386180570581345</v>
      </c>
      <c r="AF8" s="267">
        <f t="shared" si="14"/>
        <v>0</v>
      </c>
      <c r="AG8" s="273"/>
      <c r="AH8" s="4">
        <f t="shared" si="15"/>
        <v>3.1029099539075609</v>
      </c>
      <c r="AI8" s="4">
        <f t="shared" si="15"/>
        <v>7.5462344810030357</v>
      </c>
      <c r="AJ8" s="4">
        <f t="shared" si="16"/>
        <v>7.7572748847689024</v>
      </c>
      <c r="AK8" s="267">
        <f t="shared" si="17"/>
        <v>17.544995168332058</v>
      </c>
      <c r="AL8" s="273"/>
      <c r="AM8" s="4">
        <f t="shared" si="18"/>
        <v>0.83440939958599336</v>
      </c>
      <c r="AN8" s="4">
        <f t="shared" si="18"/>
        <v>13.581031309719673</v>
      </c>
      <c r="AO8" s="4">
        <f t="shared" si="19"/>
        <v>2.0860234989649835</v>
      </c>
      <c r="AP8" s="267">
        <f t="shared" si="20"/>
        <v>31.575897795098243</v>
      </c>
      <c r="AQ8" s="273"/>
      <c r="AR8" s="4">
        <f t="shared" si="21"/>
        <v>0</v>
      </c>
      <c r="AS8" s="4">
        <f t="shared" si="21"/>
        <v>20.991962920167147</v>
      </c>
      <c r="AT8" s="4">
        <f t="shared" si="22"/>
        <v>0</v>
      </c>
      <c r="AU8" s="267">
        <f t="shared" si="23"/>
        <v>48.806313789388618</v>
      </c>
    </row>
    <row r="9" spans="1:47" x14ac:dyDescent="0.4">
      <c r="B9">
        <v>4</v>
      </c>
      <c r="C9" s="1">
        <v>3.4</v>
      </c>
      <c r="D9" s="1">
        <f t="shared" si="0"/>
        <v>3.1619999999999999</v>
      </c>
      <c r="E9" s="4">
        <v>15110</v>
      </c>
      <c r="F9" s="6">
        <v>4.6472717654404146E-2</v>
      </c>
      <c r="H9" s="4">
        <f t="shared" si="1"/>
        <v>13.772679048708696</v>
      </c>
      <c r="I9" s="4">
        <f t="shared" si="2"/>
        <v>0</v>
      </c>
      <c r="J9" s="267">
        <f t="shared" si="3"/>
        <v>46.827108765609566</v>
      </c>
      <c r="K9" s="267">
        <f t="shared" si="3"/>
        <v>0</v>
      </c>
      <c r="L9" s="273"/>
      <c r="M9" s="4">
        <f t="shared" si="24"/>
        <v>14.400625189008366</v>
      </c>
      <c r="N9" s="4">
        <f t="shared" si="4"/>
        <v>0</v>
      </c>
      <c r="O9" s="4">
        <f t="shared" si="25"/>
        <v>48.962125642628443</v>
      </c>
      <c r="P9" s="267">
        <f t="shared" si="26"/>
        <v>0</v>
      </c>
      <c r="Q9" s="6">
        <f t="shared" si="5"/>
        <v>4.6472717654404146E-2</v>
      </c>
      <c r="R9" s="273"/>
      <c r="S9" s="4">
        <f t="shared" si="6"/>
        <v>15.063085180039636</v>
      </c>
      <c r="T9" s="4">
        <f t="shared" si="6"/>
        <v>0</v>
      </c>
      <c r="U9" s="4">
        <f t="shared" si="7"/>
        <v>51.214489612134763</v>
      </c>
      <c r="V9" s="267">
        <f t="shared" si="8"/>
        <v>0</v>
      </c>
      <c r="W9" s="273"/>
      <c r="X9" s="4">
        <f t="shared" si="9"/>
        <v>15.761769882861778</v>
      </c>
      <c r="Y9" s="4">
        <f t="shared" si="9"/>
        <v>0</v>
      </c>
      <c r="Z9" s="4">
        <f t="shared" si="10"/>
        <v>53.59001760173004</v>
      </c>
      <c r="AA9" s="267">
        <f t="shared" si="11"/>
        <v>0</v>
      </c>
      <c r="AB9" s="273"/>
      <c r="AC9" s="4">
        <f t="shared" si="12"/>
        <v>6.3397933857371731</v>
      </c>
      <c r="AD9" s="4">
        <f t="shared" si="12"/>
        <v>0</v>
      </c>
      <c r="AE9" s="4">
        <f t="shared" si="13"/>
        <v>21.555297511506389</v>
      </c>
      <c r="AF9" s="267">
        <f t="shared" si="14"/>
        <v>0</v>
      </c>
      <c r="AG9" s="273"/>
      <c r="AH9" s="4">
        <f t="shared" si="15"/>
        <v>2.8286557709528353</v>
      </c>
      <c r="AI9" s="4">
        <f t="shared" si="15"/>
        <v>6.8792520668449999</v>
      </c>
      <c r="AJ9" s="4">
        <f t="shared" si="16"/>
        <v>9.6174296212396388</v>
      </c>
      <c r="AK9" s="267">
        <f t="shared" si="17"/>
        <v>21.75219503536389</v>
      </c>
      <c r="AL9" s="273"/>
      <c r="AM9" s="4">
        <f t="shared" si="18"/>
        <v>0.76065918719422987</v>
      </c>
      <c r="AN9" s="4">
        <f t="shared" si="18"/>
        <v>12.38065659667356</v>
      </c>
      <c r="AO9" s="4">
        <f t="shared" si="19"/>
        <v>2.5862412364603813</v>
      </c>
      <c r="AP9" s="267">
        <f t="shared" si="20"/>
        <v>39.147636158681799</v>
      </c>
      <c r="AQ9" s="273"/>
      <c r="AR9" s="4">
        <f t="shared" si="21"/>
        <v>0</v>
      </c>
      <c r="AS9" s="4">
        <f t="shared" si="21"/>
        <v>19.136564689214214</v>
      </c>
      <c r="AT9" s="4">
        <f t="shared" si="22"/>
        <v>0</v>
      </c>
      <c r="AU9" s="267">
        <f t="shared" si="23"/>
        <v>60.509817547295341</v>
      </c>
    </row>
    <row r="10" spans="1:47" x14ac:dyDescent="0.4">
      <c r="B10">
        <v>5</v>
      </c>
      <c r="C10" s="1">
        <v>6</v>
      </c>
      <c r="D10" s="1">
        <f t="shared" si="0"/>
        <v>5.58</v>
      </c>
      <c r="E10" s="4">
        <v>17708</v>
      </c>
      <c r="F10" s="6">
        <v>5.4463195514506194E-2</v>
      </c>
      <c r="H10" s="4">
        <f t="shared" si="1"/>
        <v>16.140741270319893</v>
      </c>
      <c r="I10" s="4">
        <f t="shared" si="2"/>
        <v>0</v>
      </c>
      <c r="J10" s="267">
        <f t="shared" si="3"/>
        <v>96.844447621919358</v>
      </c>
      <c r="K10" s="267">
        <f t="shared" si="3"/>
        <v>0</v>
      </c>
      <c r="L10" s="273"/>
      <c r="M10" s="4">
        <f t="shared" si="24"/>
        <v>16.876655913101267</v>
      </c>
      <c r="N10" s="4">
        <f t="shared" si="4"/>
        <v>0</v>
      </c>
      <c r="O10" s="4">
        <f t="shared" si="25"/>
        <v>101.2599354786076</v>
      </c>
      <c r="P10" s="267">
        <f t="shared" si="26"/>
        <v>0</v>
      </c>
      <c r="Q10" s="6">
        <f t="shared" si="5"/>
        <v>5.4463195514506194E-2</v>
      </c>
      <c r="R10" s="273"/>
      <c r="S10" s="4">
        <f t="shared" si="6"/>
        <v>17.653018687501117</v>
      </c>
      <c r="T10" s="4">
        <f t="shared" si="6"/>
        <v>0</v>
      </c>
      <c r="U10" s="4">
        <f t="shared" si="7"/>
        <v>105.9181121250067</v>
      </c>
      <c r="V10" s="267">
        <f t="shared" si="8"/>
        <v>0</v>
      </c>
      <c r="W10" s="273"/>
      <c r="X10" s="4">
        <f t="shared" si="9"/>
        <v>18.471834618512002</v>
      </c>
      <c r="Y10" s="4">
        <f t="shared" si="9"/>
        <v>0</v>
      </c>
      <c r="Z10" s="4">
        <f t="shared" si="10"/>
        <v>110.831007711072</v>
      </c>
      <c r="AA10" s="267">
        <f t="shared" si="11"/>
        <v>0</v>
      </c>
      <c r="AB10" s="273"/>
      <c r="AC10" s="4">
        <f t="shared" si="12"/>
        <v>7.4298518381623992</v>
      </c>
      <c r="AD10" s="4">
        <f t="shared" si="12"/>
        <v>0</v>
      </c>
      <c r="AE10" s="4">
        <f t="shared" si="13"/>
        <v>44.579111028974395</v>
      </c>
      <c r="AF10" s="267">
        <f t="shared" si="14"/>
        <v>0</v>
      </c>
      <c r="AG10" s="273"/>
      <c r="AH10" s="4">
        <f t="shared" si="15"/>
        <v>3.3150123356739116</v>
      </c>
      <c r="AI10" s="4">
        <f t="shared" si="15"/>
        <v>8.0620645664918094</v>
      </c>
      <c r="AJ10" s="4">
        <f t="shared" si="16"/>
        <v>19.890074014043471</v>
      </c>
      <c r="AK10" s="267">
        <f t="shared" si="17"/>
        <v>44.986320281024298</v>
      </c>
      <c r="AL10" s="273"/>
      <c r="AM10" s="4">
        <f t="shared" si="18"/>
        <v>0.8914462532650842</v>
      </c>
      <c r="AN10" s="4">
        <f t="shared" si="18"/>
        <v>14.509375712368987</v>
      </c>
      <c r="AO10" s="4">
        <f t="shared" si="19"/>
        <v>5.3486775195905052</v>
      </c>
      <c r="AP10" s="267">
        <f t="shared" si="20"/>
        <v>80.962316475018952</v>
      </c>
      <c r="AQ10" s="273"/>
      <c r="AR10" s="4">
        <f t="shared" si="21"/>
        <v>0</v>
      </c>
      <c r="AS10" s="4">
        <f t="shared" si="21"/>
        <v>22.42688865099969</v>
      </c>
      <c r="AT10" s="4">
        <f t="shared" si="22"/>
        <v>0</v>
      </c>
      <c r="AU10" s="267">
        <f t="shared" si="23"/>
        <v>125.14203867257827</v>
      </c>
    </row>
    <row r="11" spans="1:47" x14ac:dyDescent="0.4">
      <c r="D11" s="1">
        <f t="shared" si="0"/>
        <v>0</v>
      </c>
      <c r="F11" s="6"/>
      <c r="G11" s="4" cm="1">
        <f t="array" ref="G11">機器台数case３!D30:D30</f>
        <v>91.730638999999996</v>
      </c>
      <c r="H11" s="4">
        <f>G11*(1-G$3)</f>
        <v>91.730638999999996</v>
      </c>
      <c r="I11" s="4">
        <f>G11*$G$3</f>
        <v>0</v>
      </c>
      <c r="J11" s="4">
        <f>SUM(J12:J18)</f>
        <v>209.80726195177337</v>
      </c>
      <c r="K11" s="267">
        <f t="shared" ref="K11:K42" si="27">D11*I11</f>
        <v>0</v>
      </c>
      <c r="L11" s="273">
        <f>機器台数case３!F30</f>
        <v>95.912969867041653</v>
      </c>
      <c r="M11" s="4">
        <f>L11*(1-L$3)</f>
        <v>95.912969867041653</v>
      </c>
      <c r="N11" s="4">
        <f>L11*$G$3</f>
        <v>0</v>
      </c>
      <c r="O11" s="4">
        <f>SUM(O12:O18)</f>
        <v>219.37313217088735</v>
      </c>
      <c r="P11" s="267">
        <f>SUM(P12:P18)</f>
        <v>0</v>
      </c>
      <c r="Q11" s="6"/>
      <c r="R11" s="273">
        <f>機器台数case３!H30</f>
        <v>100.3251744987128</v>
      </c>
      <c r="S11" s="4">
        <f>R11*(1-R$3)</f>
        <v>100.3251744987128</v>
      </c>
      <c r="T11" s="4">
        <f>R11*$G$3</f>
        <v>0</v>
      </c>
      <c r="U11" s="4">
        <f>SUM(U12:U18)</f>
        <v>229.46477203117277</v>
      </c>
      <c r="V11" s="267">
        <f>SUM(V12:V18)</f>
        <v>0</v>
      </c>
      <c r="W11" s="273">
        <f>機器台数case３!J30</f>
        <v>104.97864780065612</v>
      </c>
      <c r="X11" s="4">
        <f>W11*(1-W$3)</f>
        <v>104.97864780065612</v>
      </c>
      <c r="Y11" s="4">
        <f>W11*$G$3</f>
        <v>0</v>
      </c>
      <c r="Z11" s="4">
        <f>SUM(Z12:Z18)</f>
        <v>240.10824407813419</v>
      </c>
      <c r="AA11" s="267">
        <f>SUM(AA12:AA18)</f>
        <v>0</v>
      </c>
      <c r="AB11" s="273">
        <f>機器台数case３!L30</f>
        <v>42.225139810846727</v>
      </c>
      <c r="AC11" s="4">
        <f>AB11</f>
        <v>42.225139810846727</v>
      </c>
      <c r="AD11" s="4">
        <v>0</v>
      </c>
      <c r="AE11" s="4">
        <f>SUM(AE12:AE18)</f>
        <v>96.577774512663893</v>
      </c>
      <c r="AF11" s="267">
        <f>SUM(AF12:AF18)</f>
        <v>0</v>
      </c>
      <c r="AG11" s="273">
        <f>機器台数case３!N30</f>
        <v>18.839791478686138</v>
      </c>
      <c r="AH11" s="4">
        <f>機器台数case３!N30</f>
        <v>18.839791478686138</v>
      </c>
      <c r="AI11" s="4">
        <f>機器台数case３!N40</f>
        <v>44.408326523979795</v>
      </c>
      <c r="AJ11" s="4">
        <f>SUM(AJ12:AJ18)</f>
        <v>43.090565038857847</v>
      </c>
      <c r="AK11" s="267">
        <f>SUM(AK12:AK18)</f>
        <v>94.461198925547208</v>
      </c>
      <c r="AL11" s="273">
        <f>機器台数case３!S30</f>
        <v>0</v>
      </c>
      <c r="AM11" s="4">
        <f>機器台数case３!P30</f>
        <v>5.0662440514134666</v>
      </c>
      <c r="AN11" s="4">
        <f>機器台数case３!P40</f>
        <v>88.802328344863255</v>
      </c>
      <c r="AO11" s="4">
        <f>SUM(AO12:AO18)</f>
        <v>11.587565554912562</v>
      </c>
      <c r="AP11" s="267">
        <f>SUM(AP12:AP18)</f>
        <v>188.89192769527799</v>
      </c>
      <c r="AQ11" s="273">
        <f>機器台数case３!X30</f>
        <v>0</v>
      </c>
      <c r="AR11" s="4">
        <f>機器台数case３!R30</f>
        <v>0</v>
      </c>
      <c r="AS11" s="4">
        <f>機器台数case３!R40</f>
        <v>126.25349330326279</v>
      </c>
      <c r="AT11" s="4">
        <f>SUM(AT12:AT18)</f>
        <v>0</v>
      </c>
      <c r="AU11" s="267">
        <f>SUM(AU12:AU18)</f>
        <v>268.55450946850846</v>
      </c>
    </row>
    <row r="12" spans="1:47" x14ac:dyDescent="0.4">
      <c r="A12" t="s">
        <v>0</v>
      </c>
      <c r="B12">
        <v>1.5</v>
      </c>
      <c r="C12" s="1">
        <v>1.8</v>
      </c>
      <c r="D12" s="1">
        <f t="shared" si="0"/>
        <v>1.6740000000000002</v>
      </c>
      <c r="E12" s="4">
        <v>5564</v>
      </c>
      <c r="F12" s="237">
        <f t="shared" ref="F12:F18" si="28">E12/$A$15</f>
        <v>7.66665748064045E-2</v>
      </c>
      <c r="H12" s="4">
        <f t="shared" ref="H12:H18" si="29">F12*H$11</f>
        <v>7.0326738969327858</v>
      </c>
      <c r="I12" s="4">
        <f t="shared" ref="I12:I18" si="30">$F12*I$11</f>
        <v>0</v>
      </c>
      <c r="J12" s="267">
        <f t="shared" ref="J12:J18" si="31">C12*H12</f>
        <v>12.658813014479014</v>
      </c>
      <c r="K12" s="267">
        <f t="shared" si="27"/>
        <v>0</v>
      </c>
      <c r="L12" s="273">
        <f>SUM(M12:M18)</f>
        <v>95.912969867041653</v>
      </c>
      <c r="M12" s="4">
        <f t="shared" ref="M12:N18" si="32">$F12*M$11</f>
        <v>7.3533188792159692</v>
      </c>
      <c r="N12" s="4">
        <f t="shared" si="32"/>
        <v>0</v>
      </c>
      <c r="O12" s="4">
        <f t="shared" ref="O12:O18" si="33">$C12*$M12</f>
        <v>13.235973982588744</v>
      </c>
      <c r="P12" s="267">
        <f t="shared" ref="P12:P18" si="34">$D12*$N12</f>
        <v>0</v>
      </c>
      <c r="Q12" s="6">
        <f t="shared" ref="Q12:Q18" si="35">E12/$A$15</f>
        <v>7.66665748064045E-2</v>
      </c>
      <c r="R12" s="273">
        <f>SUM(S12:S18)</f>
        <v>100.32517449871278</v>
      </c>
      <c r="S12" s="4">
        <f t="shared" ref="S12:T18" si="36">$F12*S$11</f>
        <v>7.6915874956711496</v>
      </c>
      <c r="T12" s="4">
        <f t="shared" si="36"/>
        <v>0</v>
      </c>
      <c r="U12" s="4">
        <f t="shared" ref="U12:U18" si="37">$C12*S12</f>
        <v>13.844857492208069</v>
      </c>
      <c r="V12" s="267">
        <f t="shared" ref="V12:V18" si="38">$D12*T12</f>
        <v>0</v>
      </c>
      <c r="W12" s="273">
        <f>SUM(X12:X18)</f>
        <v>104.97864780065612</v>
      </c>
      <c r="X12" s="4">
        <f t="shared" ref="X12:Y18" si="39">$F12*X$11</f>
        <v>8.0483533546841937</v>
      </c>
      <c r="Y12" s="4">
        <f t="shared" si="39"/>
        <v>0</v>
      </c>
      <c r="Z12" s="4">
        <f t="shared" ref="Z12:Z18" si="40">$C12*X12</f>
        <v>14.487036038431549</v>
      </c>
      <c r="AA12" s="267">
        <f t="shared" ref="AA12:AA18" si="41">$D12*Y12</f>
        <v>0</v>
      </c>
      <c r="AB12" s="273">
        <f>SUM(AC12:AC18)</f>
        <v>42.225139810846727</v>
      </c>
      <c r="AC12" s="4">
        <f t="shared" ref="AC12:AD18" si="42">$F12*AC$11</f>
        <v>3.2372568400191692</v>
      </c>
      <c r="AD12" s="4">
        <f t="shared" si="42"/>
        <v>0</v>
      </c>
      <c r="AE12" s="4">
        <f t="shared" ref="AE12:AE18" si="43">$C12*AC12</f>
        <v>5.8270623120345046</v>
      </c>
      <c r="AF12" s="267">
        <f t="shared" ref="AF12:AF18" si="44">$D12*AD12</f>
        <v>0</v>
      </c>
      <c r="AG12" s="273">
        <f>SUM(AH12:AH18)</f>
        <v>18.839791478686138</v>
      </c>
      <c r="AH12" s="4">
        <f t="shared" ref="AH12:AI18" si="45">$F12*AH$11</f>
        <v>1.4443822827377528</v>
      </c>
      <c r="AI12" s="4">
        <f t="shared" si="45"/>
        <v>3.4046342874779341</v>
      </c>
      <c r="AJ12" s="4">
        <f t="shared" ref="AJ12:AJ18" si="46">$C12*AH12</f>
        <v>2.5998881089279551</v>
      </c>
      <c r="AK12" s="267">
        <f t="shared" ref="AK12:AK18" si="47">$D12*AI12</f>
        <v>5.6993577972380622</v>
      </c>
      <c r="AL12" s="273">
        <f>SUM(AM12:AM18)</f>
        <v>5.0662440514134675</v>
      </c>
      <c r="AM12" s="4">
        <f t="shared" ref="AM12:AN18" si="48">$F12*AM$11</f>
        <v>0.38841157855519232</v>
      </c>
      <c r="AN12" s="4">
        <f t="shared" si="48"/>
        <v>6.8081703490343539</v>
      </c>
      <c r="AO12" s="4">
        <f t="shared" ref="AO12:AO18" si="49">$C12*AM12</f>
        <v>0.69914084139934618</v>
      </c>
      <c r="AP12" s="267">
        <f t="shared" ref="AP12:AP18" si="50">$D12*AN12</f>
        <v>11.396877164283509</v>
      </c>
      <c r="AQ12" s="273">
        <f>SUM(AR12:AR18)</f>
        <v>0</v>
      </c>
      <c r="AR12" s="4">
        <f t="shared" ref="AR12:AS18" si="51">$F12*AR$11</f>
        <v>0</v>
      </c>
      <c r="AS12" s="4">
        <f t="shared" si="51"/>
        <v>9.6794228889044867</v>
      </c>
      <c r="AT12" s="4">
        <f t="shared" ref="AT12:AT18" si="52">$C12*AR12</f>
        <v>0</v>
      </c>
      <c r="AU12" s="267">
        <f t="shared" ref="AU12:AU18" si="53">$D12*AS12</f>
        <v>16.203353916026114</v>
      </c>
    </row>
    <row r="13" spans="1:47" x14ac:dyDescent="0.4">
      <c r="A13" t="s">
        <v>1</v>
      </c>
      <c r="B13">
        <v>2</v>
      </c>
      <c r="C13" s="1">
        <v>1.9</v>
      </c>
      <c r="D13" s="1">
        <f t="shared" si="0"/>
        <v>1.7669999999999999</v>
      </c>
      <c r="E13" s="4">
        <v>19551</v>
      </c>
      <c r="F13" s="6">
        <f t="shared" si="28"/>
        <v>0.26939399785046986</v>
      </c>
      <c r="H13" s="4">
        <f t="shared" si="29"/>
        <v>24.711683565588224</v>
      </c>
      <c r="I13" s="4">
        <f t="shared" si="30"/>
        <v>0</v>
      </c>
      <c r="J13" s="267">
        <f t="shared" si="31"/>
        <v>46.952198774617621</v>
      </c>
      <c r="K13" s="267">
        <f t="shared" si="27"/>
        <v>0</v>
      </c>
      <c r="L13" s="273"/>
      <c r="M13" s="4">
        <f t="shared" si="32"/>
        <v>25.838378398193999</v>
      </c>
      <c r="N13" s="4">
        <f t="shared" si="32"/>
        <v>0</v>
      </c>
      <c r="O13" s="4">
        <f t="shared" si="33"/>
        <v>49.092918956568596</v>
      </c>
      <c r="P13" s="267">
        <f t="shared" si="34"/>
        <v>0</v>
      </c>
      <c r="Q13" s="6">
        <f t="shared" si="35"/>
        <v>0.26939399785046986</v>
      </c>
      <c r="R13" s="273"/>
      <c r="S13" s="4">
        <f t="shared" si="36"/>
        <v>27.026999843254249</v>
      </c>
      <c r="T13" s="4">
        <f t="shared" si="36"/>
        <v>0</v>
      </c>
      <c r="U13" s="4">
        <f t="shared" si="37"/>
        <v>51.35129970218307</v>
      </c>
      <c r="V13" s="267">
        <f t="shared" si="38"/>
        <v>0</v>
      </c>
      <c r="W13" s="273"/>
      <c r="X13" s="4">
        <f t="shared" si="39"/>
        <v>28.280617619955187</v>
      </c>
      <c r="Y13" s="4">
        <f t="shared" si="39"/>
        <v>0</v>
      </c>
      <c r="Z13" s="4">
        <f t="shared" si="40"/>
        <v>53.733173477914853</v>
      </c>
      <c r="AA13" s="267">
        <f t="shared" si="41"/>
        <v>0</v>
      </c>
      <c r="AB13" s="273"/>
      <c r="AC13" s="4">
        <f t="shared" si="42"/>
        <v>11.375199223439033</v>
      </c>
      <c r="AD13" s="4">
        <f t="shared" si="42"/>
        <v>0</v>
      </c>
      <c r="AE13" s="4">
        <f t="shared" si="43"/>
        <v>21.61287852453416</v>
      </c>
      <c r="AF13" s="267">
        <f t="shared" si="44"/>
        <v>0</v>
      </c>
      <c r="AG13" s="273"/>
      <c r="AH13" s="4">
        <f t="shared" si="45"/>
        <v>5.0753267451124735</v>
      </c>
      <c r="AI13" s="4">
        <f t="shared" si="45"/>
        <v>11.963336620143977</v>
      </c>
      <c r="AJ13" s="4">
        <f t="shared" si="46"/>
        <v>9.6431208157136989</v>
      </c>
      <c r="AK13" s="267">
        <f t="shared" si="47"/>
        <v>21.139215807794407</v>
      </c>
      <c r="AL13" s="273"/>
      <c r="AM13" s="4">
        <f t="shared" si="48"/>
        <v>1.3648157390964351</v>
      </c>
      <c r="AN13" s="4">
        <f t="shared" si="48"/>
        <v>23.922814251252809</v>
      </c>
      <c r="AO13" s="4">
        <f t="shared" si="49"/>
        <v>2.5931499042832264</v>
      </c>
      <c r="AP13" s="267">
        <f t="shared" si="50"/>
        <v>42.271612781963711</v>
      </c>
      <c r="AQ13" s="273"/>
      <c r="AR13" s="4">
        <f t="shared" si="51"/>
        <v>0</v>
      </c>
      <c r="AS13" s="4">
        <f t="shared" si="51"/>
        <v>34.011933303553484</v>
      </c>
      <c r="AT13" s="4">
        <f t="shared" si="52"/>
        <v>0</v>
      </c>
      <c r="AU13" s="267">
        <f t="shared" si="53"/>
        <v>60.099086147379005</v>
      </c>
    </row>
    <row r="14" spans="1:47" x14ac:dyDescent="0.4">
      <c r="A14" t="s">
        <v>5</v>
      </c>
      <c r="B14">
        <v>2.5</v>
      </c>
      <c r="C14" s="1">
        <v>2.1</v>
      </c>
      <c r="D14" s="1">
        <f t="shared" si="0"/>
        <v>1.9530000000000003</v>
      </c>
      <c r="E14" s="4">
        <v>20512</v>
      </c>
      <c r="F14" s="6">
        <f t="shared" si="28"/>
        <v>0.28263565464215834</v>
      </c>
      <c r="H14" s="4">
        <f t="shared" si="29"/>
        <v>25.926349204508501</v>
      </c>
      <c r="I14" s="4">
        <f t="shared" si="30"/>
        <v>0</v>
      </c>
      <c r="J14" s="267">
        <f t="shared" si="31"/>
        <v>54.445333329467857</v>
      </c>
      <c r="K14" s="267">
        <f t="shared" si="27"/>
        <v>0</v>
      </c>
      <c r="L14" s="273"/>
      <c r="M14" s="4">
        <f t="shared" si="32"/>
        <v>27.108425027044923</v>
      </c>
      <c r="N14" s="4">
        <f t="shared" si="32"/>
        <v>0</v>
      </c>
      <c r="O14" s="4">
        <f t="shared" si="33"/>
        <v>56.927692556794341</v>
      </c>
      <c r="P14" s="267">
        <f t="shared" si="34"/>
        <v>0</v>
      </c>
      <c r="Q14" s="6">
        <f t="shared" si="35"/>
        <v>0.28263565464215834</v>
      </c>
      <c r="R14" s="273"/>
      <c r="S14" s="4">
        <f t="shared" si="36"/>
        <v>28.35547137153246</v>
      </c>
      <c r="T14" s="4">
        <f t="shared" si="36"/>
        <v>0</v>
      </c>
      <c r="U14" s="4">
        <f t="shared" si="37"/>
        <v>59.546489880218168</v>
      </c>
      <c r="V14" s="267">
        <f t="shared" si="38"/>
        <v>0</v>
      </c>
      <c r="W14" s="273"/>
      <c r="X14" s="4">
        <f t="shared" si="39"/>
        <v>29.670708844587018</v>
      </c>
      <c r="Y14" s="4">
        <f t="shared" si="39"/>
        <v>0</v>
      </c>
      <c r="Z14" s="4">
        <f t="shared" si="40"/>
        <v>62.308488573632744</v>
      </c>
      <c r="AA14" s="267">
        <f t="shared" si="41"/>
        <v>0</v>
      </c>
      <c r="AB14" s="273"/>
      <c r="AC14" s="4">
        <f t="shared" si="42"/>
        <v>11.934330032795327</v>
      </c>
      <c r="AD14" s="4">
        <f t="shared" si="42"/>
        <v>0</v>
      </c>
      <c r="AE14" s="4">
        <f t="shared" si="43"/>
        <v>25.062093068870187</v>
      </c>
      <c r="AF14" s="267">
        <f t="shared" si="44"/>
        <v>0</v>
      </c>
      <c r="AG14" s="273"/>
      <c r="AH14" s="4">
        <f t="shared" si="45"/>
        <v>5.3247967979002127</v>
      </c>
      <c r="AI14" s="4">
        <f t="shared" si="45"/>
        <v>12.551376438667754</v>
      </c>
      <c r="AJ14" s="4">
        <f t="shared" si="46"/>
        <v>11.182073275590447</v>
      </c>
      <c r="AK14" s="267">
        <f t="shared" si="47"/>
        <v>24.512838184718127</v>
      </c>
      <c r="AL14" s="273"/>
      <c r="AM14" s="4">
        <f t="shared" si="48"/>
        <v>1.4319012040481855</v>
      </c>
      <c r="AN14" s="4">
        <f t="shared" si="48"/>
        <v>25.098704205498318</v>
      </c>
      <c r="AO14" s="4">
        <f t="shared" si="49"/>
        <v>3.0069925285011898</v>
      </c>
      <c r="AP14" s="267">
        <f t="shared" si="50"/>
        <v>49.017769313338221</v>
      </c>
      <c r="AQ14" s="273"/>
      <c r="AR14" s="4">
        <f t="shared" si="51"/>
        <v>0</v>
      </c>
      <c r="AS14" s="4">
        <f t="shared" si="51"/>
        <v>35.683738730627034</v>
      </c>
      <c r="AT14" s="4">
        <f t="shared" si="52"/>
        <v>0</v>
      </c>
      <c r="AU14" s="267">
        <f t="shared" si="53"/>
        <v>69.690341740914604</v>
      </c>
    </row>
    <row r="15" spans="1:47" x14ac:dyDescent="0.4">
      <c r="A15" s="5">
        <f>SUM(E12:E18)</f>
        <v>72574</v>
      </c>
      <c r="B15">
        <v>3</v>
      </c>
      <c r="C15" s="1">
        <v>2.2000000000000002</v>
      </c>
      <c r="D15" s="1">
        <f t="shared" si="0"/>
        <v>2.0460000000000003</v>
      </c>
      <c r="E15" s="4">
        <v>15655</v>
      </c>
      <c r="F15" s="6">
        <f t="shared" si="28"/>
        <v>0.21571086063879627</v>
      </c>
      <c r="H15" s="4">
        <f t="shared" si="29"/>
        <v>19.787295085636728</v>
      </c>
      <c r="I15" s="4">
        <f t="shared" si="30"/>
        <v>0</v>
      </c>
      <c r="J15" s="267">
        <f t="shared" si="31"/>
        <v>43.532049188400805</v>
      </c>
      <c r="K15" s="267">
        <f t="shared" si="27"/>
        <v>0</v>
      </c>
      <c r="L15" s="273"/>
      <c r="M15" s="4">
        <f t="shared" si="32"/>
        <v>20.689469276442487</v>
      </c>
      <c r="N15" s="4">
        <f t="shared" si="32"/>
        <v>0</v>
      </c>
      <c r="O15" s="4">
        <f t="shared" si="33"/>
        <v>45.516832408173478</v>
      </c>
      <c r="P15" s="267">
        <f t="shared" si="34"/>
        <v>0</v>
      </c>
      <c r="Q15" s="6">
        <f t="shared" si="35"/>
        <v>0.21571086063879627</v>
      </c>
      <c r="R15" s="273"/>
      <c r="S15" s="4">
        <f t="shared" si="36"/>
        <v>21.641229734854754</v>
      </c>
      <c r="T15" s="4">
        <f t="shared" si="36"/>
        <v>0</v>
      </c>
      <c r="U15" s="4">
        <f t="shared" si="37"/>
        <v>47.61070541668046</v>
      </c>
      <c r="V15" s="267">
        <f t="shared" si="38"/>
        <v>0</v>
      </c>
      <c r="W15" s="273"/>
      <c r="X15" s="4">
        <f t="shared" si="39"/>
        <v>22.645034465776607</v>
      </c>
      <c r="Y15" s="4">
        <f t="shared" si="39"/>
        <v>0</v>
      </c>
      <c r="Z15" s="4">
        <f t="shared" si="40"/>
        <v>49.819075824708541</v>
      </c>
      <c r="AA15" s="267">
        <f t="shared" si="41"/>
        <v>0</v>
      </c>
      <c r="AB15" s="273"/>
      <c r="AC15" s="4">
        <f t="shared" si="42"/>
        <v>9.1084212491912471</v>
      </c>
      <c r="AD15" s="4">
        <f t="shared" si="42"/>
        <v>0</v>
      </c>
      <c r="AE15" s="4">
        <f t="shared" si="43"/>
        <v>20.038526748220747</v>
      </c>
      <c r="AF15" s="267">
        <f t="shared" si="44"/>
        <v>0</v>
      </c>
      <c r="AG15" s="273"/>
      <c r="AH15" s="4">
        <f t="shared" si="45"/>
        <v>4.0639476341228473</v>
      </c>
      <c r="AI15" s="4">
        <f t="shared" si="45"/>
        <v>9.5793583340163657</v>
      </c>
      <c r="AJ15" s="4">
        <f t="shared" si="46"/>
        <v>8.9406847950702648</v>
      </c>
      <c r="AK15" s="267">
        <f t="shared" si="47"/>
        <v>19.599367151397487</v>
      </c>
      <c r="AL15" s="273"/>
      <c r="AM15" s="4">
        <f t="shared" si="48"/>
        <v>1.092843864536581</v>
      </c>
      <c r="AN15" s="4">
        <f t="shared" si="48"/>
        <v>19.155626673999425</v>
      </c>
      <c r="AO15" s="4">
        <f t="shared" si="49"/>
        <v>2.4042565019804782</v>
      </c>
      <c r="AP15" s="267">
        <f t="shared" si="50"/>
        <v>39.192412175002829</v>
      </c>
      <c r="AQ15" s="273"/>
      <c r="AR15" s="4">
        <f t="shared" si="51"/>
        <v>0</v>
      </c>
      <c r="AS15" s="4">
        <f t="shared" si="51"/>
        <v>27.234249699101316</v>
      </c>
      <c r="AT15" s="4">
        <f t="shared" si="52"/>
        <v>0</v>
      </c>
      <c r="AU15" s="267">
        <f t="shared" si="53"/>
        <v>55.7212748843613</v>
      </c>
    </row>
    <row r="16" spans="1:47" x14ac:dyDescent="0.4">
      <c r="A16" s="237">
        <f>A15/$E$75</f>
        <v>4.7979542550160223E-2</v>
      </c>
      <c r="B16">
        <v>3.5</v>
      </c>
      <c r="C16" s="1">
        <v>2.5</v>
      </c>
      <c r="D16" s="1">
        <f t="shared" si="0"/>
        <v>2.3250000000000002</v>
      </c>
      <c r="E16" s="4">
        <v>4647</v>
      </c>
      <c r="F16" s="6">
        <f t="shared" si="28"/>
        <v>6.403119574503266E-2</v>
      </c>
      <c r="H16" s="4">
        <f t="shared" si="29"/>
        <v>5.8736225016259267</v>
      </c>
      <c r="I16" s="4">
        <f t="shared" si="30"/>
        <v>0</v>
      </c>
      <c r="J16" s="267">
        <f t="shared" si="31"/>
        <v>14.684056254064817</v>
      </c>
      <c r="K16" s="267">
        <f t="shared" si="27"/>
        <v>0</v>
      </c>
      <c r="L16" s="273"/>
      <c r="M16" s="4">
        <f t="shared" si="32"/>
        <v>6.1414221480439632</v>
      </c>
      <c r="N16" s="4">
        <f t="shared" si="32"/>
        <v>0</v>
      </c>
      <c r="O16" s="4">
        <f t="shared" si="33"/>
        <v>15.353555370109909</v>
      </c>
      <c r="P16" s="267">
        <f t="shared" si="34"/>
        <v>0</v>
      </c>
      <c r="Q16" s="6">
        <f t="shared" si="35"/>
        <v>6.403119574503266E-2</v>
      </c>
      <c r="R16" s="273"/>
      <c r="S16" s="4">
        <f t="shared" si="36"/>
        <v>6.4239408864816383</v>
      </c>
      <c r="T16" s="4">
        <f t="shared" si="36"/>
        <v>0</v>
      </c>
      <c r="U16" s="4">
        <f t="shared" si="37"/>
        <v>16.059852216204096</v>
      </c>
      <c r="V16" s="267">
        <f t="shared" si="38"/>
        <v>0</v>
      </c>
      <c r="W16" s="273"/>
      <c r="X16" s="4">
        <f t="shared" si="39"/>
        <v>6.7219083463726541</v>
      </c>
      <c r="Y16" s="4">
        <f t="shared" si="39"/>
        <v>0</v>
      </c>
      <c r="Z16" s="4">
        <f t="shared" si="40"/>
        <v>16.804770865931637</v>
      </c>
      <c r="AA16" s="267">
        <f t="shared" si="41"/>
        <v>0</v>
      </c>
      <c r="AB16" s="273"/>
      <c r="AC16" s="4">
        <f t="shared" si="42"/>
        <v>2.703726192589698</v>
      </c>
      <c r="AD16" s="4">
        <f t="shared" si="42"/>
        <v>0</v>
      </c>
      <c r="AE16" s="4">
        <f t="shared" si="43"/>
        <v>6.7593154814742453</v>
      </c>
      <c r="AF16" s="267">
        <f t="shared" si="44"/>
        <v>0</v>
      </c>
      <c r="AG16" s="273"/>
      <c r="AH16" s="4">
        <f t="shared" si="45"/>
        <v>1.2063343759673504</v>
      </c>
      <c r="AI16" s="4">
        <f t="shared" si="45"/>
        <v>2.843518248366276</v>
      </c>
      <c r="AJ16" s="4">
        <f t="shared" si="46"/>
        <v>3.0158359399183761</v>
      </c>
      <c r="AK16" s="267">
        <f t="shared" si="47"/>
        <v>6.6111799274515919</v>
      </c>
      <c r="AL16" s="273"/>
      <c r="AM16" s="4">
        <f t="shared" si="48"/>
        <v>0.32439766454816299</v>
      </c>
      <c r="AN16" s="4">
        <f t="shared" si="48"/>
        <v>5.6861192688646014</v>
      </c>
      <c r="AO16" s="4">
        <f t="shared" si="49"/>
        <v>0.81099416137040747</v>
      </c>
      <c r="AP16" s="267">
        <f t="shared" si="50"/>
        <v>13.220227300110199</v>
      </c>
      <c r="AQ16" s="273"/>
      <c r="AR16" s="4">
        <f t="shared" si="51"/>
        <v>0</v>
      </c>
      <c r="AS16" s="4">
        <f t="shared" si="51"/>
        <v>8.0841621431953889</v>
      </c>
      <c r="AT16" s="4">
        <f t="shared" si="52"/>
        <v>0</v>
      </c>
      <c r="AU16" s="267">
        <f t="shared" si="53"/>
        <v>18.79567698292928</v>
      </c>
    </row>
    <row r="17" spans="1:47" x14ac:dyDescent="0.4">
      <c r="A17" s="18">
        <f>SUM(F12:F18)</f>
        <v>1</v>
      </c>
      <c r="B17">
        <v>4</v>
      </c>
      <c r="C17" s="1">
        <v>3.4</v>
      </c>
      <c r="D17" s="1">
        <f t="shared" si="0"/>
        <v>3.1619999999999999</v>
      </c>
      <c r="E17" s="4">
        <v>3913</v>
      </c>
      <c r="F17" s="6">
        <f t="shared" si="28"/>
        <v>5.3917380880205035E-2</v>
      </c>
      <c r="H17" s="4">
        <f t="shared" si="29"/>
        <v>4.9458758013475901</v>
      </c>
      <c r="I17" s="4">
        <f t="shared" si="30"/>
        <v>0</v>
      </c>
      <c r="J17" s="267">
        <f t="shared" si="31"/>
        <v>16.815977724581806</v>
      </c>
      <c r="K17" s="267">
        <f t="shared" si="27"/>
        <v>0</v>
      </c>
      <c r="L17" s="273"/>
      <c r="M17" s="4">
        <f t="shared" si="32"/>
        <v>5.1713761276729135</v>
      </c>
      <c r="N17" s="4">
        <f t="shared" si="32"/>
        <v>0</v>
      </c>
      <c r="O17" s="4">
        <f t="shared" si="33"/>
        <v>17.582678834087904</v>
      </c>
      <c r="P17" s="267">
        <f t="shared" si="34"/>
        <v>0</v>
      </c>
      <c r="Q17" s="6">
        <f t="shared" si="35"/>
        <v>5.3917380880205035E-2</v>
      </c>
      <c r="R17" s="273"/>
      <c r="S17" s="4">
        <f t="shared" si="36"/>
        <v>5.4092706453201309</v>
      </c>
      <c r="T17" s="4">
        <f t="shared" si="36"/>
        <v>0</v>
      </c>
      <c r="U17" s="4">
        <f t="shared" si="37"/>
        <v>18.391520194088443</v>
      </c>
      <c r="V17" s="267">
        <f t="shared" si="38"/>
        <v>0</v>
      </c>
      <c r="W17" s="273"/>
      <c r="X17" s="4">
        <f t="shared" si="39"/>
        <v>5.6601737377568746</v>
      </c>
      <c r="Y17" s="4">
        <f t="shared" si="39"/>
        <v>0</v>
      </c>
      <c r="Z17" s="4">
        <f t="shared" si="40"/>
        <v>19.244590708373373</v>
      </c>
      <c r="AA17" s="267">
        <f t="shared" si="41"/>
        <v>0</v>
      </c>
      <c r="AB17" s="273"/>
      <c r="AC17" s="4">
        <f t="shared" si="42"/>
        <v>2.2766689459013318</v>
      </c>
      <c r="AD17" s="4">
        <f t="shared" si="42"/>
        <v>0</v>
      </c>
      <c r="AE17" s="4">
        <f t="shared" si="43"/>
        <v>7.740674416064528</v>
      </c>
      <c r="AF17" s="267">
        <f t="shared" si="44"/>
        <v>0</v>
      </c>
      <c r="AG17" s="273"/>
      <c r="AH17" s="4">
        <f t="shared" si="45"/>
        <v>1.0157922128599617</v>
      </c>
      <c r="AI17" s="4">
        <f t="shared" si="45"/>
        <v>2.3943806554459304</v>
      </c>
      <c r="AJ17" s="4">
        <f t="shared" si="46"/>
        <v>3.4536935237238695</v>
      </c>
      <c r="AK17" s="267">
        <f t="shared" si="47"/>
        <v>7.5710316325200315</v>
      </c>
      <c r="AL17" s="273"/>
      <c r="AM17" s="4">
        <f t="shared" si="48"/>
        <v>0.27315861015213294</v>
      </c>
      <c r="AN17" s="4">
        <f t="shared" si="48"/>
        <v>4.7879889604190193</v>
      </c>
      <c r="AO17" s="4">
        <f t="shared" si="49"/>
        <v>0.92873927451725202</v>
      </c>
      <c r="AP17" s="267">
        <f t="shared" si="50"/>
        <v>15.139621092844939</v>
      </c>
      <c r="AQ17" s="273"/>
      <c r="AR17" s="4">
        <f t="shared" si="51"/>
        <v>0</v>
      </c>
      <c r="AS17" s="4">
        <f t="shared" si="51"/>
        <v>6.8072576858884357</v>
      </c>
      <c r="AT17" s="4">
        <f t="shared" si="52"/>
        <v>0</v>
      </c>
      <c r="AU17" s="267">
        <f t="shared" si="53"/>
        <v>21.524548802779233</v>
      </c>
    </row>
    <row r="18" spans="1:47" x14ac:dyDescent="0.4">
      <c r="B18">
        <v>5</v>
      </c>
      <c r="C18" s="1">
        <v>6</v>
      </c>
      <c r="D18" s="1">
        <f t="shared" si="0"/>
        <v>5.58</v>
      </c>
      <c r="E18" s="4">
        <v>2732</v>
      </c>
      <c r="F18" s="6">
        <f t="shared" si="28"/>
        <v>3.7644335436933338E-2</v>
      </c>
      <c r="H18" s="4">
        <f t="shared" si="29"/>
        <v>3.4531389443602389</v>
      </c>
      <c r="I18" s="4">
        <f t="shared" si="30"/>
        <v>0</v>
      </c>
      <c r="J18" s="267">
        <f t="shared" si="31"/>
        <v>20.718833666161434</v>
      </c>
      <c r="K18" s="267">
        <f t="shared" si="27"/>
        <v>0</v>
      </c>
      <c r="L18" s="273"/>
      <c r="M18" s="4">
        <f t="shared" si="32"/>
        <v>3.6105800104273955</v>
      </c>
      <c r="N18" s="4">
        <f t="shared" si="32"/>
        <v>0</v>
      </c>
      <c r="O18" s="4">
        <f t="shared" si="33"/>
        <v>21.663480062564375</v>
      </c>
      <c r="P18" s="267">
        <f t="shared" si="34"/>
        <v>0</v>
      </c>
      <c r="Q18" s="6">
        <f t="shared" si="35"/>
        <v>3.7644335436933338E-2</v>
      </c>
      <c r="R18" s="273"/>
      <c r="S18" s="4">
        <f t="shared" si="36"/>
        <v>3.776674521598415</v>
      </c>
      <c r="T18" s="4">
        <f t="shared" si="36"/>
        <v>0</v>
      </c>
      <c r="U18" s="4">
        <f t="shared" si="37"/>
        <v>22.660047129590488</v>
      </c>
      <c r="V18" s="267">
        <f t="shared" si="38"/>
        <v>0</v>
      </c>
      <c r="W18" s="273"/>
      <c r="X18" s="4">
        <f t="shared" si="39"/>
        <v>3.9518514315235831</v>
      </c>
      <c r="Y18" s="4">
        <f t="shared" si="39"/>
        <v>0</v>
      </c>
      <c r="Z18" s="4">
        <f t="shared" si="40"/>
        <v>23.711108589141499</v>
      </c>
      <c r="AA18" s="267">
        <f t="shared" si="41"/>
        <v>0</v>
      </c>
      <c r="AB18" s="273"/>
      <c r="AC18" s="4">
        <f t="shared" si="42"/>
        <v>1.5895373269109221</v>
      </c>
      <c r="AD18" s="4">
        <f t="shared" si="42"/>
        <v>0</v>
      </c>
      <c r="AE18" s="4">
        <f t="shared" si="43"/>
        <v>9.5372239614655321</v>
      </c>
      <c r="AF18" s="267">
        <f t="shared" si="44"/>
        <v>0</v>
      </c>
      <c r="AG18" s="273"/>
      <c r="AH18" s="4">
        <f t="shared" si="45"/>
        <v>0.70921142998553932</v>
      </c>
      <c r="AI18" s="4">
        <f t="shared" si="45"/>
        <v>1.6717219398615593</v>
      </c>
      <c r="AJ18" s="4">
        <f t="shared" si="46"/>
        <v>4.2552685799132357</v>
      </c>
      <c r="AK18" s="267">
        <f t="shared" si="47"/>
        <v>9.3282084244275012</v>
      </c>
      <c r="AL18" s="273"/>
      <c r="AM18" s="4">
        <f t="shared" si="48"/>
        <v>0.19071539047677669</v>
      </c>
      <c r="AN18" s="4">
        <f t="shared" si="48"/>
        <v>3.3429046357947256</v>
      </c>
      <c r="AO18" s="4">
        <f t="shared" si="49"/>
        <v>1.1442923428606602</v>
      </c>
      <c r="AP18" s="267">
        <f t="shared" si="50"/>
        <v>18.653407867734568</v>
      </c>
      <c r="AQ18" s="273"/>
      <c r="AR18" s="4">
        <f t="shared" si="51"/>
        <v>0</v>
      </c>
      <c r="AS18" s="4">
        <f t="shared" si="51"/>
        <v>4.7527288519926412</v>
      </c>
      <c r="AT18" s="4">
        <f t="shared" si="52"/>
        <v>0</v>
      </c>
      <c r="AU18" s="267">
        <f t="shared" si="53"/>
        <v>26.520226994118939</v>
      </c>
    </row>
    <row r="19" spans="1:47" x14ac:dyDescent="0.4">
      <c r="D19" s="1">
        <f t="shared" si="0"/>
        <v>0</v>
      </c>
      <c r="F19" s="6"/>
      <c r="G19" s="4">
        <f>機器台数case３!D31</f>
        <v>465.70939799999996</v>
      </c>
      <c r="H19" s="4">
        <f>G19*(1-G$3)</f>
        <v>465.70939799999996</v>
      </c>
      <c r="I19" s="4">
        <f>G19*$G$3</f>
        <v>0</v>
      </c>
      <c r="J19" s="4">
        <f>SUM(J20:J26)</f>
        <v>1263.1961327579961</v>
      </c>
      <c r="K19" s="267">
        <f t="shared" si="27"/>
        <v>0</v>
      </c>
      <c r="L19" s="273">
        <f>機器台数case３!F31</f>
        <v>486.94277009421148</v>
      </c>
      <c r="M19" s="4">
        <f>L19*(1-L$3)</f>
        <v>486.94277009421148</v>
      </c>
      <c r="N19" s="4">
        <f>L19*$G$3</f>
        <v>0</v>
      </c>
      <c r="O19" s="4">
        <f>SUM(O20:O26)</f>
        <v>1320.7898030382328</v>
      </c>
      <c r="P19" s="267">
        <f>I19*N19</f>
        <v>0</v>
      </c>
      <c r="Q19" s="6"/>
      <c r="R19" s="273">
        <f>機器台数case３!H31</f>
        <v>509.34319360884956</v>
      </c>
      <c r="S19" s="4">
        <f>R19*(1-R$3)</f>
        <v>509.34319360884956</v>
      </c>
      <c r="T19" s="4">
        <f>R19*$G$3</f>
        <v>0</v>
      </c>
      <c r="U19" s="4">
        <f>SUM(U20:U26)</f>
        <v>1381.5489985308525</v>
      </c>
      <c r="V19" s="4">
        <f>SUM(V20:V26)</f>
        <v>0</v>
      </c>
      <c r="W19" s="273">
        <f>機器台数case３!J31</f>
        <v>532.96851960333106</v>
      </c>
      <c r="X19" s="4">
        <f>W19*(1-W$3)</f>
        <v>532.96851960333106</v>
      </c>
      <c r="Y19" s="4">
        <f>W19*$G$3</f>
        <v>0</v>
      </c>
      <c r="Z19" s="4">
        <f>SUM(Z20:Z26)</f>
        <v>1445.6306351899775</v>
      </c>
      <c r="AA19" s="4">
        <f>SUM(AA20:AA26)</f>
        <v>0</v>
      </c>
      <c r="AB19" s="273"/>
      <c r="AC19" s="4">
        <f>機器台数case３!L31</f>
        <v>214.37378673199109</v>
      </c>
      <c r="AD19" s="4">
        <f>機器台数case３!L41</f>
        <v>471.09672806408611</v>
      </c>
      <c r="AE19" s="4">
        <f>SUM(AE20:AE26)</f>
        <v>581.47020336604544</v>
      </c>
      <c r="AF19" s="4">
        <f>SUM(AF20:AF26)</f>
        <v>1188.3621800827691</v>
      </c>
      <c r="AG19" s="273">
        <f>機器台数case３!N31</f>
        <v>95.648172122560382</v>
      </c>
      <c r="AH19" s="4">
        <f>機器台数case３!N31</f>
        <v>95.648172122560382</v>
      </c>
      <c r="AI19" s="4">
        <f>機器台数case３!N41</f>
        <v>582.84424215619003</v>
      </c>
      <c r="AJ19" s="4">
        <f>SUM(AJ20:AJ26)</f>
        <v>259.43732647325589</v>
      </c>
      <c r="AK19" s="4">
        <f>SUM(AK20:AK26)</f>
        <v>1470.2501906640218</v>
      </c>
      <c r="AL19" s="273">
        <f>機器台数case３!S31</f>
        <v>0</v>
      </c>
      <c r="AM19" s="4">
        <f>機器台数case３!P31</f>
        <v>25.720931337945295</v>
      </c>
      <c r="AN19" s="4">
        <f>機器台数case３!P41</f>
        <v>643.03474617201789</v>
      </c>
      <c r="AO19" s="4">
        <f>SUM(AO20:AO26)</f>
        <v>69.765783418926091</v>
      </c>
      <c r="AP19" s="4">
        <f>SUM(AP20:AP26)</f>
        <v>1622.0833797130431</v>
      </c>
      <c r="AQ19" s="273">
        <f>機器台数case３!X31</f>
        <v>0</v>
      </c>
      <c r="AR19" s="4">
        <f>機器台数case３!R31</f>
        <v>0</v>
      </c>
      <c r="AS19" s="4">
        <f>機器台数case３!R41</f>
        <v>640.97927369348793</v>
      </c>
      <c r="AT19" s="4">
        <f>SUM(AT20:AT26)</f>
        <v>0</v>
      </c>
      <c r="AU19" s="4">
        <f>SUM(AU20:AU26)</f>
        <v>1616.898360140261</v>
      </c>
    </row>
    <row r="20" spans="1:47" x14ac:dyDescent="0.4">
      <c r="A20" t="s">
        <v>6</v>
      </c>
      <c r="B20">
        <v>1.5</v>
      </c>
      <c r="C20" s="1">
        <v>1.8</v>
      </c>
      <c r="D20" s="1">
        <f t="shared" si="0"/>
        <v>1.6740000000000002</v>
      </c>
      <c r="E20" s="4">
        <v>32946</v>
      </c>
      <c r="F20" s="6">
        <v>6.5181005591013225E-2</v>
      </c>
      <c r="H20" s="4">
        <f t="shared" ref="H20:H26" si="54">F20*H$19</f>
        <v>30.355406874825402</v>
      </c>
      <c r="I20" s="4">
        <f t="shared" ref="I20:I26" si="55">$F20*I$19</f>
        <v>0</v>
      </c>
      <c r="J20" s="267">
        <f t="shared" ref="J20:J26" si="56">C20*H20</f>
        <v>54.639732374685721</v>
      </c>
      <c r="K20" s="267">
        <f t="shared" si="27"/>
        <v>0</v>
      </c>
      <c r="L20" s="273"/>
      <c r="M20" s="4">
        <f t="shared" ref="M20:N26" si="57">$F20*M$19</f>
        <v>31.739419420014265</v>
      </c>
      <c r="N20" s="4">
        <f t="shared" si="57"/>
        <v>0</v>
      </c>
      <c r="O20" s="4">
        <f t="shared" ref="O20:O26" si="58">$C20*$M20</f>
        <v>57.130954956025676</v>
      </c>
      <c r="P20" s="267">
        <f t="shared" ref="P20:P26" si="59">$D20*$N20</f>
        <v>0</v>
      </c>
      <c r="Q20" s="6">
        <f t="shared" ref="Q20:Q26" si="60">E20/$A$22</f>
        <v>6.5181005591013225E-2</v>
      </c>
      <c r="R20" s="273">
        <f>SUM(S20:S26)</f>
        <v>509.34319360884956</v>
      </c>
      <c r="S20" s="4">
        <f t="shared" ref="S20:T26" si="61">$F20*S$19</f>
        <v>33.199501550362953</v>
      </c>
      <c r="T20" s="4">
        <f t="shared" si="61"/>
        <v>0</v>
      </c>
      <c r="U20" s="4">
        <f t="shared" ref="U20:U26" si="62">$C20*S20</f>
        <v>59.759102790653316</v>
      </c>
      <c r="V20" s="267">
        <f t="shared" ref="V20:V26" si="63">$D20*T20</f>
        <v>0</v>
      </c>
      <c r="W20" s="273">
        <f>SUM(X20:X26)</f>
        <v>532.96851960333106</v>
      </c>
      <c r="X20" s="4">
        <f t="shared" ref="X20:Y26" si="64">$F20*X$19</f>
        <v>34.739424056098763</v>
      </c>
      <c r="Y20" s="4">
        <f t="shared" si="64"/>
        <v>0</v>
      </c>
      <c r="Z20" s="4">
        <f t="shared" ref="Z20:Z26" si="65">$C20*X20</f>
        <v>62.530963300977774</v>
      </c>
      <c r="AA20" s="267">
        <f t="shared" ref="AA20:AA26" si="66">$D20*Y20</f>
        <v>0</v>
      </c>
      <c r="AB20" s="273">
        <f>SUM(AC20:AC26)</f>
        <v>214.37378673199109</v>
      </c>
      <c r="AC20" s="4">
        <f t="shared" ref="AC20:AD26" si="67">$F20*AC$19</f>
        <v>13.973098991544587</v>
      </c>
      <c r="AD20" s="4">
        <f t="shared" si="67"/>
        <v>30.706558465853234</v>
      </c>
      <c r="AE20" s="4">
        <f t="shared" ref="AE20:AE26" si="68">$C20*AC20</f>
        <v>25.151578184780256</v>
      </c>
      <c r="AF20" s="267">
        <f t="shared" ref="AF20:AF26" si="69">$D20*AD20</f>
        <v>51.402778871838322</v>
      </c>
      <c r="AG20" s="273">
        <f>SUM(AH20:AH26)</f>
        <v>95.648172122560396</v>
      </c>
      <c r="AH20" s="4">
        <f t="shared" ref="AH20:AI26" si="70">$F20*AH$19</f>
        <v>6.2344440418908036</v>
      </c>
      <c r="AI20" s="4">
        <f t="shared" si="70"/>
        <v>37.990373806672487</v>
      </c>
      <c r="AJ20" s="4">
        <f t="shared" ref="AJ20:AJ26" si="71">$C20*AH20</f>
        <v>11.221999275403446</v>
      </c>
      <c r="AK20" s="267">
        <f t="shared" ref="AK20:AK26" si="72">$D20*AI20</f>
        <v>63.595885752369746</v>
      </c>
      <c r="AL20" s="273">
        <f>SUM(AM20:AM26)</f>
        <v>25.720931337945295</v>
      </c>
      <c r="AM20" s="4">
        <f t="shared" ref="AM20:AN26" si="73">$F20*AM$19</f>
        <v>1.6765161693446795</v>
      </c>
      <c r="AN20" s="4">
        <f t="shared" si="73"/>
        <v>41.913651385454067</v>
      </c>
      <c r="AO20" s="4">
        <f t="shared" ref="AO20:AO26" si="74">$C20*AM20</f>
        <v>3.0177291048204231</v>
      </c>
      <c r="AP20" s="267">
        <f t="shared" ref="AP20:AP26" si="75">$D20*AN20</f>
        <v>70.16345241925012</v>
      </c>
      <c r="AQ20" s="273">
        <f>SUM(AR20:AR26)</f>
        <v>0</v>
      </c>
      <c r="AR20" s="4">
        <f t="shared" ref="AR20:AS26" si="76">$F20*AR$19</f>
        <v>0</v>
      </c>
      <c r="AS20" s="4">
        <f t="shared" si="76"/>
        <v>41.779673622338834</v>
      </c>
      <c r="AT20" s="4">
        <f t="shared" ref="AT20:AT26" si="77">$C20*AR20</f>
        <v>0</v>
      </c>
      <c r="AU20" s="267">
        <f t="shared" ref="AU20:AU26" si="78">$D20*AS20</f>
        <v>69.939173643795215</v>
      </c>
    </row>
    <row r="21" spans="1:47" x14ac:dyDescent="0.4">
      <c r="A21" t="s">
        <v>17</v>
      </c>
      <c r="B21">
        <v>2</v>
      </c>
      <c r="C21" s="1">
        <v>2</v>
      </c>
      <c r="D21" s="1">
        <f t="shared" si="0"/>
        <v>1.86</v>
      </c>
      <c r="E21" s="4">
        <v>122471</v>
      </c>
      <c r="F21" s="6">
        <v>0.24229900248093794</v>
      </c>
      <c r="H21" s="4">
        <f t="shared" si="54"/>
        <v>112.8409225813981</v>
      </c>
      <c r="I21" s="4">
        <f t="shared" si="55"/>
        <v>0</v>
      </c>
      <c r="J21" s="267">
        <f t="shared" si="56"/>
        <v>225.68184516279621</v>
      </c>
      <c r="K21" s="267">
        <f t="shared" si="27"/>
        <v>0</v>
      </c>
      <c r="L21" s="273"/>
      <c r="M21" s="4">
        <f t="shared" si="57"/>
        <v>117.98574745913214</v>
      </c>
      <c r="N21" s="4">
        <f t="shared" si="57"/>
        <v>0</v>
      </c>
      <c r="O21" s="4">
        <f t="shared" si="58"/>
        <v>235.97149491826428</v>
      </c>
      <c r="P21" s="267">
        <f t="shared" si="59"/>
        <v>0</v>
      </c>
      <c r="Q21" s="6">
        <f t="shared" si="60"/>
        <v>0.24229900248093794</v>
      </c>
      <c r="R21" s="273"/>
      <c r="S21" s="4">
        <f t="shared" si="61"/>
        <v>123.4133477318795</v>
      </c>
      <c r="T21" s="4">
        <f t="shared" si="61"/>
        <v>0</v>
      </c>
      <c r="U21" s="4">
        <f t="shared" si="62"/>
        <v>246.82669546375899</v>
      </c>
      <c r="V21" s="267">
        <f t="shared" si="63"/>
        <v>0</v>
      </c>
      <c r="W21" s="273"/>
      <c r="X21" s="4">
        <f t="shared" si="64"/>
        <v>129.13774065362932</v>
      </c>
      <c r="Y21" s="4">
        <f t="shared" si="64"/>
        <v>0</v>
      </c>
      <c r="Z21" s="4">
        <f t="shared" si="65"/>
        <v>258.27548130725864</v>
      </c>
      <c r="AA21" s="267">
        <f t="shared" si="66"/>
        <v>0</v>
      </c>
      <c r="AB21" s="273"/>
      <c r="AC21" s="4">
        <f t="shared" si="67"/>
        <v>51.942554683222767</v>
      </c>
      <c r="AD21" s="4">
        <f t="shared" si="67"/>
        <v>114.14626728196174</v>
      </c>
      <c r="AE21" s="4">
        <f t="shared" si="68"/>
        <v>103.88510936644553</v>
      </c>
      <c r="AF21" s="267">
        <f t="shared" si="69"/>
        <v>212.31205714444886</v>
      </c>
      <c r="AG21" s="273"/>
      <c r="AH21" s="4">
        <f t="shared" si="70"/>
        <v>23.175456694421438</v>
      </c>
      <c r="AI21" s="4">
        <f t="shared" si="70"/>
        <v>141.2225784762031</v>
      </c>
      <c r="AJ21" s="4">
        <f t="shared" si="71"/>
        <v>46.350913388842876</v>
      </c>
      <c r="AK21" s="267">
        <f t="shared" si="72"/>
        <v>262.67399596573779</v>
      </c>
      <c r="AL21" s="273"/>
      <c r="AM21" s="4">
        <f t="shared" si="73"/>
        <v>6.2321560060648418</v>
      </c>
      <c r="AN21" s="4">
        <f t="shared" si="73"/>
        <v>155.80667755806306</v>
      </c>
      <c r="AO21" s="4">
        <f t="shared" si="74"/>
        <v>12.464312012129684</v>
      </c>
      <c r="AP21" s="267">
        <f t="shared" si="75"/>
        <v>289.8004202579973</v>
      </c>
      <c r="AQ21" s="273"/>
      <c r="AR21" s="4">
        <f t="shared" si="76"/>
        <v>0</v>
      </c>
      <c r="AS21" s="4">
        <f t="shared" si="76"/>
        <v>155.30863862688824</v>
      </c>
      <c r="AT21" s="4">
        <f t="shared" si="77"/>
        <v>0</v>
      </c>
      <c r="AU21" s="267">
        <f t="shared" si="78"/>
        <v>288.87406784601217</v>
      </c>
    </row>
    <row r="22" spans="1:47" x14ac:dyDescent="0.4">
      <c r="A22" s="5">
        <f>SUM(E20:E26)</f>
        <v>505454</v>
      </c>
      <c r="B22">
        <v>2.5</v>
      </c>
      <c r="C22" s="1">
        <v>2.2000000000000002</v>
      </c>
      <c r="D22" s="1">
        <f t="shared" si="0"/>
        <v>2.0460000000000003</v>
      </c>
      <c r="E22" s="4">
        <v>82511</v>
      </c>
      <c r="F22" s="6">
        <v>0.16324136321010418</v>
      </c>
      <c r="H22" s="4">
        <f t="shared" si="54"/>
        <v>76.02303698927696</v>
      </c>
      <c r="I22" s="4">
        <f t="shared" si="55"/>
        <v>0</v>
      </c>
      <c r="J22" s="267">
        <f t="shared" si="56"/>
        <v>167.25068137640932</v>
      </c>
      <c r="K22" s="267">
        <f t="shared" si="27"/>
        <v>0</v>
      </c>
      <c r="L22" s="273"/>
      <c r="M22" s="4">
        <f t="shared" si="57"/>
        <v>79.489201595483436</v>
      </c>
      <c r="N22" s="4">
        <f t="shared" si="57"/>
        <v>0</v>
      </c>
      <c r="O22" s="4">
        <f t="shared" si="58"/>
        <v>174.87624351006357</v>
      </c>
      <c r="P22" s="267">
        <f t="shared" si="59"/>
        <v>0</v>
      </c>
      <c r="Q22" s="6">
        <f t="shared" si="60"/>
        <v>0.16324136321010418</v>
      </c>
      <c r="R22" s="273"/>
      <c r="S22" s="4">
        <f t="shared" si="61"/>
        <v>83.145877266496626</v>
      </c>
      <c r="T22" s="4">
        <f t="shared" si="61"/>
        <v>0</v>
      </c>
      <c r="U22" s="4">
        <f t="shared" si="62"/>
        <v>182.92092998629261</v>
      </c>
      <c r="V22" s="267">
        <f t="shared" si="63"/>
        <v>0</v>
      </c>
      <c r="W22" s="273"/>
      <c r="X22" s="4">
        <f t="shared" si="64"/>
        <v>87.002507688118897</v>
      </c>
      <c r="Y22" s="4">
        <f t="shared" si="64"/>
        <v>0</v>
      </c>
      <c r="Z22" s="4">
        <f t="shared" si="65"/>
        <v>191.40551691386159</v>
      </c>
      <c r="AA22" s="267">
        <f t="shared" si="66"/>
        <v>0</v>
      </c>
      <c r="AB22" s="273"/>
      <c r="AC22" s="4">
        <f t="shared" si="67"/>
        <v>34.994669182642369</v>
      </c>
      <c r="AD22" s="4">
        <f t="shared" si="67"/>
        <v>76.902472093001165</v>
      </c>
      <c r="AE22" s="4">
        <f t="shared" si="68"/>
        <v>76.988272201813217</v>
      </c>
      <c r="AF22" s="267">
        <f t="shared" si="69"/>
        <v>157.34245790228042</v>
      </c>
      <c r="AG22" s="273"/>
      <c r="AH22" s="4">
        <f t="shared" si="70"/>
        <v>15.613738005841441</v>
      </c>
      <c r="AI22" s="4">
        <f t="shared" si="70"/>
        <v>95.144288628736533</v>
      </c>
      <c r="AJ22" s="4">
        <f t="shared" si="71"/>
        <v>34.350223612851174</v>
      </c>
      <c r="AK22" s="267">
        <f t="shared" si="72"/>
        <v>194.66521453439498</v>
      </c>
      <c r="AL22" s="273"/>
      <c r="AM22" s="4">
        <f t="shared" si="73"/>
        <v>4.1987198946396793</v>
      </c>
      <c r="AN22" s="4">
        <f t="shared" si="73"/>
        <v>104.96986855658352</v>
      </c>
      <c r="AO22" s="4">
        <f t="shared" si="74"/>
        <v>9.237183768207295</v>
      </c>
      <c r="AP22" s="267">
        <f t="shared" si="75"/>
        <v>214.76835106676992</v>
      </c>
      <c r="AQ22" s="273"/>
      <c r="AR22" s="4">
        <f t="shared" si="76"/>
        <v>0</v>
      </c>
      <c r="AS22" s="4">
        <f t="shared" si="76"/>
        <v>104.63433042714745</v>
      </c>
      <c r="AT22" s="4">
        <f t="shared" si="77"/>
        <v>0</v>
      </c>
      <c r="AU22" s="267">
        <f t="shared" si="78"/>
        <v>214.08184005394369</v>
      </c>
    </row>
    <row r="23" spans="1:47" x14ac:dyDescent="0.4">
      <c r="A23" s="237">
        <f>A22/$E$75</f>
        <v>0.33416170667385958</v>
      </c>
      <c r="B23">
        <v>3</v>
      </c>
      <c r="C23" s="1">
        <v>2.7</v>
      </c>
      <c r="D23" s="1">
        <f t="shared" si="0"/>
        <v>2.5110000000000001</v>
      </c>
      <c r="E23" s="4">
        <v>111538</v>
      </c>
      <c r="F23" s="6">
        <v>0.22066894316792429</v>
      </c>
      <c r="H23" s="4">
        <f t="shared" si="54"/>
        <v>102.76760068003023</v>
      </c>
      <c r="I23" s="4">
        <f t="shared" si="55"/>
        <v>0</v>
      </c>
      <c r="J23" s="267">
        <f t="shared" si="56"/>
        <v>277.47252183608163</v>
      </c>
      <c r="K23" s="267">
        <f t="shared" si="27"/>
        <v>0</v>
      </c>
      <c r="L23" s="273"/>
      <c r="M23" s="4">
        <f t="shared" si="57"/>
        <v>107.45314645995118</v>
      </c>
      <c r="N23" s="4">
        <f t="shared" si="57"/>
        <v>0</v>
      </c>
      <c r="O23" s="4">
        <f t="shared" si="58"/>
        <v>290.12349544186822</v>
      </c>
      <c r="P23" s="267">
        <f t="shared" si="59"/>
        <v>0</v>
      </c>
      <c r="Q23" s="6">
        <f t="shared" si="60"/>
        <v>0.22066894316792429</v>
      </c>
      <c r="R23" s="273"/>
      <c r="S23" s="4">
        <f t="shared" si="61"/>
        <v>112.39622424344029</v>
      </c>
      <c r="T23" s="4">
        <f t="shared" si="61"/>
        <v>0</v>
      </c>
      <c r="U23" s="4">
        <f t="shared" si="62"/>
        <v>303.46980545728877</v>
      </c>
      <c r="V23" s="267">
        <f t="shared" si="63"/>
        <v>0</v>
      </c>
      <c r="W23" s="273"/>
      <c r="X23" s="4">
        <f t="shared" si="64"/>
        <v>117.6095999626402</v>
      </c>
      <c r="Y23" s="4">
        <f t="shared" si="64"/>
        <v>0</v>
      </c>
      <c r="Z23" s="4">
        <f t="shared" si="65"/>
        <v>317.54591989912859</v>
      </c>
      <c r="AA23" s="267">
        <f t="shared" si="66"/>
        <v>0</v>
      </c>
      <c r="AB23" s="273"/>
      <c r="AC23" s="4">
        <f t="shared" si="67"/>
        <v>47.305636961054461</v>
      </c>
      <c r="AD23" s="4">
        <f t="shared" si="67"/>
        <v>103.9564171117689</v>
      </c>
      <c r="AE23" s="4">
        <f t="shared" si="68"/>
        <v>127.72521979484705</v>
      </c>
      <c r="AF23" s="267">
        <f t="shared" si="69"/>
        <v>261.03456336765174</v>
      </c>
      <c r="AG23" s="273"/>
      <c r="AH23" s="4">
        <f t="shared" si="70"/>
        <v>21.106581058229118</v>
      </c>
      <c r="AI23" s="4">
        <f t="shared" si="70"/>
        <v>128.6156229481162</v>
      </c>
      <c r="AJ23" s="4">
        <f t="shared" si="71"/>
        <v>56.987768857218619</v>
      </c>
      <c r="AK23" s="267">
        <f t="shared" si="72"/>
        <v>322.95382922271978</v>
      </c>
      <c r="AL23" s="273"/>
      <c r="AM23" s="4">
        <f t="shared" si="73"/>
        <v>5.675810735639133</v>
      </c>
      <c r="AN23" s="4">
        <f t="shared" si="73"/>
        <v>141.89779785803364</v>
      </c>
      <c r="AO23" s="4">
        <f t="shared" si="74"/>
        <v>15.324688986225659</v>
      </c>
      <c r="AP23" s="267">
        <f t="shared" si="75"/>
        <v>356.30537042152247</v>
      </c>
      <c r="AQ23" s="273"/>
      <c r="AR23" s="4">
        <f t="shared" si="76"/>
        <v>0</v>
      </c>
      <c r="AS23" s="4">
        <f t="shared" si="76"/>
        <v>141.44421891848569</v>
      </c>
      <c r="AT23" s="4">
        <f t="shared" si="77"/>
        <v>0</v>
      </c>
      <c r="AU23" s="267">
        <f t="shared" si="78"/>
        <v>355.16643370431757</v>
      </c>
    </row>
    <row r="24" spans="1:47" x14ac:dyDescent="0.4">
      <c r="B24">
        <v>3.5</v>
      </c>
      <c r="C24" s="1">
        <v>3</v>
      </c>
      <c r="D24" s="1">
        <f t="shared" si="0"/>
        <v>2.79</v>
      </c>
      <c r="E24" s="4">
        <v>50267</v>
      </c>
      <c r="F24" s="6">
        <v>9.944920803871371E-2</v>
      </c>
      <c r="H24" s="4">
        <f t="shared" si="54"/>
        <v>46.314430807286122</v>
      </c>
      <c r="I24" s="4">
        <f t="shared" si="55"/>
        <v>0</v>
      </c>
      <c r="J24" s="267">
        <f t="shared" si="56"/>
        <v>138.94329242185836</v>
      </c>
      <c r="K24" s="267">
        <f t="shared" si="27"/>
        <v>0</v>
      </c>
      <c r="L24" s="273"/>
      <c r="M24" s="4">
        <f t="shared" si="57"/>
        <v>48.426072846046779</v>
      </c>
      <c r="N24" s="4">
        <f t="shared" si="57"/>
        <v>0</v>
      </c>
      <c r="O24" s="4">
        <f t="shared" si="58"/>
        <v>145.27821853814032</v>
      </c>
      <c r="P24" s="267">
        <f t="shared" si="59"/>
        <v>0</v>
      </c>
      <c r="Q24" s="6">
        <f t="shared" si="60"/>
        <v>9.944920803871371E-2</v>
      </c>
      <c r="R24" s="273"/>
      <c r="S24" s="4">
        <f t="shared" si="61"/>
        <v>50.653777224309316</v>
      </c>
      <c r="T24" s="4">
        <f t="shared" si="61"/>
        <v>0</v>
      </c>
      <c r="U24" s="4">
        <f t="shared" si="62"/>
        <v>151.96133167292794</v>
      </c>
      <c r="V24" s="267">
        <f t="shared" si="63"/>
        <v>0</v>
      </c>
      <c r="W24" s="273"/>
      <c r="X24" s="4">
        <f t="shared" si="64"/>
        <v>53.003297184116938</v>
      </c>
      <c r="Y24" s="4">
        <f t="shared" si="64"/>
        <v>0</v>
      </c>
      <c r="Z24" s="4">
        <f t="shared" si="65"/>
        <v>159.00989155235081</v>
      </c>
      <c r="AA24" s="267">
        <f t="shared" si="66"/>
        <v>0</v>
      </c>
      <c r="AB24" s="273"/>
      <c r="AC24" s="4">
        <f t="shared" si="67"/>
        <v>21.319303314756628</v>
      </c>
      <c r="AD24" s="4">
        <f t="shared" si="67"/>
        <v>46.85019651560264</v>
      </c>
      <c r="AE24" s="4">
        <f t="shared" si="68"/>
        <v>63.957909944269886</v>
      </c>
      <c r="AF24" s="267">
        <f t="shared" si="69"/>
        <v>130.71204827853137</v>
      </c>
      <c r="AG24" s="273"/>
      <c r="AH24" s="4">
        <f t="shared" si="70"/>
        <v>9.512134967939204</v>
      </c>
      <c r="AI24" s="4">
        <f t="shared" si="70"/>
        <v>57.963398292357375</v>
      </c>
      <c r="AJ24" s="4">
        <f t="shared" si="71"/>
        <v>28.536404903817612</v>
      </c>
      <c r="AK24" s="267">
        <f t="shared" si="72"/>
        <v>161.71788123567708</v>
      </c>
      <c r="AL24" s="273"/>
      <c r="AM24" s="4">
        <f t="shared" si="73"/>
        <v>2.5579262515767924</v>
      </c>
      <c r="AN24" s="4">
        <f t="shared" si="73"/>
        <v>63.94929624818247</v>
      </c>
      <c r="AO24" s="4">
        <f t="shared" si="74"/>
        <v>7.6737787547303773</v>
      </c>
      <c r="AP24" s="267">
        <f t="shared" si="75"/>
        <v>178.4185365324291</v>
      </c>
      <c r="AQ24" s="273"/>
      <c r="AR24" s="4">
        <f t="shared" si="76"/>
        <v>0</v>
      </c>
      <c r="AS24" s="4">
        <f t="shared" si="76"/>
        <v>63.744881138047297</v>
      </c>
      <c r="AT24" s="4">
        <f t="shared" si="77"/>
        <v>0</v>
      </c>
      <c r="AU24" s="267">
        <f t="shared" si="78"/>
        <v>177.84821837515196</v>
      </c>
    </row>
    <row r="25" spans="1:47" x14ac:dyDescent="0.4">
      <c r="B25">
        <v>4</v>
      </c>
      <c r="C25" s="1">
        <v>3.4</v>
      </c>
      <c r="D25" s="1">
        <f t="shared" si="0"/>
        <v>3.1619999999999999</v>
      </c>
      <c r="E25" s="4">
        <v>62294</v>
      </c>
      <c r="F25" s="6">
        <v>0.12324365817660954</v>
      </c>
      <c r="H25" s="4">
        <f t="shared" si="54"/>
        <v>57.395729856746598</v>
      </c>
      <c r="I25" s="4">
        <f t="shared" si="55"/>
        <v>0</v>
      </c>
      <c r="J25" s="267">
        <f t="shared" si="56"/>
        <v>195.14548151293843</v>
      </c>
      <c r="K25" s="267">
        <f t="shared" si="27"/>
        <v>0</v>
      </c>
      <c r="L25" s="273"/>
      <c r="M25" s="4">
        <f t="shared" si="57"/>
        <v>60.012608309062365</v>
      </c>
      <c r="N25" s="4">
        <f t="shared" si="57"/>
        <v>0</v>
      </c>
      <c r="O25" s="4">
        <f t="shared" si="58"/>
        <v>204.04286825081203</v>
      </c>
      <c r="P25" s="267">
        <f t="shared" si="59"/>
        <v>0</v>
      </c>
      <c r="Q25" s="6">
        <f t="shared" si="60"/>
        <v>0.12324365817660954</v>
      </c>
      <c r="R25" s="273"/>
      <c r="S25" s="4">
        <f t="shared" si="61"/>
        <v>62.773318447711709</v>
      </c>
      <c r="T25" s="4">
        <f t="shared" si="61"/>
        <v>0</v>
      </c>
      <c r="U25" s="4">
        <f t="shared" si="62"/>
        <v>213.4292827222198</v>
      </c>
      <c r="V25" s="267">
        <f t="shared" si="63"/>
        <v>0</v>
      </c>
      <c r="W25" s="273"/>
      <c r="X25" s="4">
        <f t="shared" si="64"/>
        <v>65.684990048886547</v>
      </c>
      <c r="Y25" s="4">
        <f t="shared" si="64"/>
        <v>0</v>
      </c>
      <c r="Z25" s="4">
        <f t="shared" si="65"/>
        <v>223.32896616621426</v>
      </c>
      <c r="AA25" s="267">
        <f t="shared" si="66"/>
        <v>0</v>
      </c>
      <c r="AB25" s="273"/>
      <c r="AC25" s="4">
        <f t="shared" si="67"/>
        <v>26.420209694022901</v>
      </c>
      <c r="AD25" s="4">
        <f t="shared" si="67"/>
        <v>58.059684121649404</v>
      </c>
      <c r="AE25" s="4">
        <f t="shared" si="68"/>
        <v>89.828712959677858</v>
      </c>
      <c r="AF25" s="267">
        <f t="shared" si="69"/>
        <v>183.58472119265542</v>
      </c>
      <c r="AG25" s="273"/>
      <c r="AH25" s="4">
        <f t="shared" si="70"/>
        <v>11.788030630290345</v>
      </c>
      <c r="AI25" s="4">
        <f t="shared" si="70"/>
        <v>71.831856550502522</v>
      </c>
      <c r="AJ25" s="4">
        <f t="shared" si="71"/>
        <v>40.079304142987176</v>
      </c>
      <c r="AK25" s="267">
        <f t="shared" si="72"/>
        <v>227.13233041268896</v>
      </c>
      <c r="AL25" s="273"/>
      <c r="AM25" s="4">
        <f t="shared" si="73"/>
        <v>3.1699416697977743</v>
      </c>
      <c r="AN25" s="4">
        <f t="shared" si="73"/>
        <v>79.249954452907048</v>
      </c>
      <c r="AO25" s="4">
        <f t="shared" si="74"/>
        <v>10.777801677312432</v>
      </c>
      <c r="AP25" s="267">
        <f t="shared" si="75"/>
        <v>250.58835598009208</v>
      </c>
      <c r="AQ25" s="273"/>
      <c r="AR25" s="4">
        <f t="shared" si="76"/>
        <v>0</v>
      </c>
      <c r="AS25" s="4">
        <f t="shared" si="76"/>
        <v>78.99663050537167</v>
      </c>
      <c r="AT25" s="4">
        <f t="shared" si="77"/>
        <v>0</v>
      </c>
      <c r="AU25" s="267">
        <f t="shared" si="78"/>
        <v>249.78734565798521</v>
      </c>
    </row>
    <row r="26" spans="1:47" x14ac:dyDescent="0.4">
      <c r="B26">
        <v>5</v>
      </c>
      <c r="C26" s="1">
        <v>5.0999999999999996</v>
      </c>
      <c r="D26" s="1">
        <f t="shared" si="0"/>
        <v>4.7430000000000003</v>
      </c>
      <c r="E26" s="4">
        <v>43427</v>
      </c>
      <c r="F26" s="6">
        <v>8.5916819334697123E-2</v>
      </c>
      <c r="H26" s="4">
        <f t="shared" si="54"/>
        <v>40.012270210436554</v>
      </c>
      <c r="I26" s="4">
        <f t="shared" si="55"/>
        <v>0</v>
      </c>
      <c r="J26" s="267">
        <f t="shared" si="56"/>
        <v>204.0625780732264</v>
      </c>
      <c r="K26" s="267">
        <f t="shared" si="27"/>
        <v>0</v>
      </c>
      <c r="L26" s="273"/>
      <c r="M26" s="4">
        <f t="shared" si="57"/>
        <v>41.836574004521324</v>
      </c>
      <c r="N26" s="4">
        <f t="shared" si="57"/>
        <v>0</v>
      </c>
      <c r="O26" s="4">
        <f t="shared" si="58"/>
        <v>213.36652742305873</v>
      </c>
      <c r="P26" s="267">
        <f t="shared" si="59"/>
        <v>0</v>
      </c>
      <c r="Q26" s="6">
        <f t="shared" si="60"/>
        <v>8.5916819334697123E-2</v>
      </c>
      <c r="R26" s="273"/>
      <c r="S26" s="4">
        <f t="shared" si="61"/>
        <v>43.761147144649186</v>
      </c>
      <c r="T26" s="4">
        <f t="shared" si="61"/>
        <v>0</v>
      </c>
      <c r="U26" s="4">
        <f t="shared" si="62"/>
        <v>223.18185043771084</v>
      </c>
      <c r="V26" s="267">
        <f t="shared" si="63"/>
        <v>0</v>
      </c>
      <c r="W26" s="273"/>
      <c r="X26" s="4">
        <f t="shared" si="64"/>
        <v>45.790960009840376</v>
      </c>
      <c r="Y26" s="4">
        <f t="shared" si="64"/>
        <v>0</v>
      </c>
      <c r="Z26" s="4">
        <f t="shared" si="65"/>
        <v>233.53389605018589</v>
      </c>
      <c r="AA26" s="267">
        <f t="shared" si="66"/>
        <v>0</v>
      </c>
      <c r="AB26" s="273"/>
      <c r="AC26" s="4">
        <f t="shared" si="67"/>
        <v>18.418313904747368</v>
      </c>
      <c r="AD26" s="4">
        <f t="shared" si="67"/>
        <v>40.475132474249023</v>
      </c>
      <c r="AE26" s="4">
        <f t="shared" si="68"/>
        <v>93.933400914211575</v>
      </c>
      <c r="AF26" s="267">
        <f t="shared" si="69"/>
        <v>191.97355332536313</v>
      </c>
      <c r="AG26" s="273"/>
      <c r="AH26" s="4">
        <f t="shared" si="70"/>
        <v>8.2177867239480342</v>
      </c>
      <c r="AI26" s="4">
        <f t="shared" si="70"/>
        <v>50.076123453601838</v>
      </c>
      <c r="AJ26" s="4">
        <f t="shared" si="71"/>
        <v>41.910712292134974</v>
      </c>
      <c r="AK26" s="267">
        <f t="shared" si="72"/>
        <v>237.51105354043352</v>
      </c>
      <c r="AL26" s="273"/>
      <c r="AM26" s="4">
        <f t="shared" si="73"/>
        <v>2.2098606108823953</v>
      </c>
      <c r="AN26" s="4">
        <f t="shared" si="73"/>
        <v>55.247500112794086</v>
      </c>
      <c r="AO26" s="4">
        <f t="shared" si="74"/>
        <v>11.270289115500216</v>
      </c>
      <c r="AP26" s="267">
        <f t="shared" si="75"/>
        <v>262.03889303498238</v>
      </c>
      <c r="AQ26" s="273"/>
      <c r="AR26" s="4">
        <f t="shared" si="76"/>
        <v>0</v>
      </c>
      <c r="AS26" s="4">
        <f t="shared" si="76"/>
        <v>55.070900455208779</v>
      </c>
      <c r="AT26" s="4">
        <f t="shared" si="77"/>
        <v>0</v>
      </c>
      <c r="AU26" s="267">
        <f t="shared" si="78"/>
        <v>261.20128085905526</v>
      </c>
    </row>
    <row r="27" spans="1:47" x14ac:dyDescent="0.4">
      <c r="D27" s="1">
        <f t="shared" si="0"/>
        <v>0</v>
      </c>
      <c r="F27" s="6"/>
      <c r="G27" s="4">
        <f>機器台数case３!D32</f>
        <v>104.43180439999999</v>
      </c>
      <c r="H27" s="4">
        <f>G27*(1-G$3)</f>
        <v>104.43180439999999</v>
      </c>
      <c r="I27" s="4">
        <f>G27*$G$3</f>
        <v>0</v>
      </c>
      <c r="J27" s="4">
        <f>SUM(J28:J34)</f>
        <v>326.56766159393538</v>
      </c>
      <c r="K27" s="267">
        <f t="shared" si="27"/>
        <v>0</v>
      </c>
      <c r="L27" s="273">
        <f>機器台数case３!F32</f>
        <v>109.19322723324741</v>
      </c>
      <c r="M27" s="4">
        <f>L27*(1-L$3)</f>
        <v>109.19322723324741</v>
      </c>
      <c r="N27" s="4">
        <f>L27*$G$3</f>
        <v>0</v>
      </c>
      <c r="O27" s="4">
        <f>SUM(O28:O34)</f>
        <v>341.4570597944857</v>
      </c>
      <c r="P27" s="4">
        <f>SUM(P28:P34)</f>
        <v>0</v>
      </c>
      <c r="Q27" s="6"/>
      <c r="R27" s="273">
        <f>機器台数case３!H32</f>
        <v>114.21635250622687</v>
      </c>
      <c r="S27" s="4">
        <f>R27*(1-R$3)</f>
        <v>114.21635250622687</v>
      </c>
      <c r="T27" s="4">
        <f>R27*$G$3</f>
        <v>0</v>
      </c>
      <c r="U27" s="4">
        <f>SUM(U28:U34)</f>
        <v>357.16482510329126</v>
      </c>
      <c r="V27" s="4">
        <f>SUM(V28:V34)</f>
        <v>0</v>
      </c>
      <c r="W27" s="273">
        <f>機器台数case３!J32</f>
        <v>119.51415288074695</v>
      </c>
      <c r="X27" s="4">
        <f>W27*(1-W$3)</f>
        <v>119.51415288074695</v>
      </c>
      <c r="Y27" s="4">
        <f>W27*$G$3</f>
        <v>0</v>
      </c>
      <c r="Z27" s="4">
        <f>SUM(Z28:Z34)</f>
        <v>373.73152420265586</v>
      </c>
      <c r="AA27" s="4">
        <f>SUM(AA28:AA34)</f>
        <v>0</v>
      </c>
      <c r="AB27" s="273"/>
      <c r="AC27" s="4">
        <f>機器台数case３!L32</f>
        <v>48.071697630810121</v>
      </c>
      <c r="AD27" s="4">
        <f>機器台数case３!L42</f>
        <v>108.60613191896596</v>
      </c>
      <c r="AE27" s="4">
        <f>SUM(AE28:AE34)</f>
        <v>150.32452971907458</v>
      </c>
      <c r="AF27" s="4">
        <f>SUM(AF28:AF34)</f>
        <v>315.84767866034724</v>
      </c>
      <c r="AG27" s="273">
        <f>機器台数case３!N32</f>
        <v>21.4483779911196</v>
      </c>
      <c r="AH27" s="4">
        <f>機器台数case３!N32</f>
        <v>21.4483779911196</v>
      </c>
      <c r="AI27" s="4">
        <f>機器台数case３!N42</f>
        <v>134.36828337133721</v>
      </c>
      <c r="AJ27" s="4">
        <f>SUM(AJ28:AJ34)</f>
        <v>67.071010462620677</v>
      </c>
      <c r="AK27" s="4">
        <f>SUM(AK28:AK34)</f>
        <v>390.76900759229864</v>
      </c>
      <c r="AL27" s="273">
        <f>機器台数case３!S32</f>
        <v>0</v>
      </c>
      <c r="AM27" s="4">
        <f>機器台数case３!P32</f>
        <v>5.7677239969937926</v>
      </c>
      <c r="AN27" s="4">
        <f>機器台数case３!P42</f>
        <v>148.24453729115379</v>
      </c>
      <c r="AO27" s="4">
        <f>SUM(AO28:AO34)</f>
        <v>18.03619260664129</v>
      </c>
      <c r="AP27" s="4">
        <f>SUM(AP28:AP34)</f>
        <v>431.12384310329651</v>
      </c>
      <c r="AQ27" s="273">
        <f>機器台数case３!X32</f>
        <v>0</v>
      </c>
      <c r="AR27" s="4">
        <f>機器台数case３!R32</f>
        <v>0</v>
      </c>
      <c r="AS27" s="4">
        <f>機器台数case３!R42</f>
        <v>145.67710765761089</v>
      </c>
      <c r="AT27" s="4">
        <f>SUM(AT28:AT34)</f>
        <v>0</v>
      </c>
      <c r="AU27" s="4">
        <f>SUM(AU28:AU34)</f>
        <v>423.65726018067335</v>
      </c>
    </row>
    <row r="28" spans="1:47" x14ac:dyDescent="0.4">
      <c r="A28" t="s">
        <v>6</v>
      </c>
      <c r="B28">
        <v>1.5</v>
      </c>
      <c r="C28" s="1">
        <v>2</v>
      </c>
      <c r="D28" s="1">
        <f t="shared" si="0"/>
        <v>1.86</v>
      </c>
      <c r="E28" s="4">
        <v>15724</v>
      </c>
      <c r="F28" s="6">
        <v>0.13545480389031986</v>
      </c>
      <c r="H28" s="4">
        <f t="shared" ref="H28:H34" si="79">F28*H$27</f>
        <v>14.14578958491424</v>
      </c>
      <c r="I28" s="4">
        <f t="shared" ref="I28:I34" si="80">$F28*I$27</f>
        <v>0</v>
      </c>
      <c r="J28" s="267">
        <f t="shared" ref="J28:J34" si="81">C28*H28</f>
        <v>28.291579169828481</v>
      </c>
      <c r="K28" s="267">
        <f t="shared" si="27"/>
        <v>0</v>
      </c>
      <c r="L28" s="273"/>
      <c r="M28" s="4">
        <f t="shared" ref="M28:N34" si="82">$F28*M$27</f>
        <v>14.790747181030662</v>
      </c>
      <c r="N28" s="4">
        <f t="shared" si="82"/>
        <v>0</v>
      </c>
      <c r="O28" s="4">
        <f t="shared" ref="O28:O34" si="83">$C28*$M28</f>
        <v>29.581494362061324</v>
      </c>
      <c r="P28" s="267">
        <f t="shared" ref="P28:P34" si="84">$D28*$N28</f>
        <v>0</v>
      </c>
      <c r="Q28" s="6">
        <f t="shared" ref="Q28:Q34" si="85">E28/$A$30</f>
        <v>0.13545480389031986</v>
      </c>
      <c r="R28" s="273">
        <f>SUM(S28:S34)</f>
        <v>114.21635250622687</v>
      </c>
      <c r="S28" s="4">
        <f t="shared" ref="S28:T34" si="86">$F28*S$27</f>
        <v>15.471153629798604</v>
      </c>
      <c r="T28" s="4">
        <f t="shared" si="86"/>
        <v>0</v>
      </c>
      <c r="U28" s="4">
        <f t="shared" ref="U28:U34" si="87">$C28*S28</f>
        <v>30.942307259597207</v>
      </c>
      <c r="V28" s="267">
        <f t="shared" ref="V28:V34" si="88">$D28*T28</f>
        <v>0</v>
      </c>
      <c r="W28" s="273">
        <f>SUM(X28:X34)</f>
        <v>119.51415288074695</v>
      </c>
      <c r="X28" s="4">
        <f t="shared" ref="X28:Y34" si="89">$F28*X$27</f>
        <v>16.188766140579283</v>
      </c>
      <c r="Y28" s="4">
        <f t="shared" si="89"/>
        <v>0</v>
      </c>
      <c r="Z28" s="4">
        <f t="shared" ref="Z28:Z34" si="90">$C28*X28</f>
        <v>32.377532281158565</v>
      </c>
      <c r="AA28" s="267">
        <f t="shared" ref="AA28:AA34" si="91">$D28*Y28</f>
        <v>0</v>
      </c>
      <c r="AB28" s="273">
        <f>SUM(AC28:AC34)</f>
        <v>48.071697630810121</v>
      </c>
      <c r="AC28" s="4">
        <f t="shared" ref="AC28:AD34" si="92">$F28*AC$27</f>
        <v>6.5115423752561385</v>
      </c>
      <c r="AD28" s="4">
        <f t="shared" si="92"/>
        <v>14.711222300369741</v>
      </c>
      <c r="AE28" s="4">
        <f t="shared" ref="AE28:AE34" si="93">$C28*AC28</f>
        <v>13.023084750512277</v>
      </c>
      <c r="AF28" s="267">
        <f t="shared" ref="AF28:AF34" si="94">$D28*AD28</f>
        <v>27.362873478687721</v>
      </c>
      <c r="AG28" s="273">
        <f>SUM(AH28:AH34)</f>
        <v>21.4483779911196</v>
      </c>
      <c r="AH28" s="4">
        <f t="shared" ref="AH28:AI34" si="95">$F28*AH$27</f>
        <v>2.9052858345525578</v>
      </c>
      <c r="AI28" s="4">
        <f t="shared" si="95"/>
        <v>18.200829473143408</v>
      </c>
      <c r="AJ28" s="4">
        <f t="shared" ref="AJ28:AJ34" si="96">$C28*AH28</f>
        <v>5.8105716691051157</v>
      </c>
      <c r="AK28" s="267">
        <f t="shared" ref="AK28:AK34" si="97">$D28*AI28</f>
        <v>33.853542820046741</v>
      </c>
      <c r="AL28" s="273">
        <f>SUM(AM28:AM34)</f>
        <v>5.7677239969937935</v>
      </c>
      <c r="AM28" s="4">
        <f t="shared" ref="AM28:AN34" si="98">$F28*AM$27</f>
        <v>0.78126592290628594</v>
      </c>
      <c r="AN28" s="4">
        <f t="shared" si="98"/>
        <v>20.080434726584446</v>
      </c>
      <c r="AO28" s="4">
        <f t="shared" ref="AO28:AO34" si="99">$C28*AM28</f>
        <v>1.5625318458125719</v>
      </c>
      <c r="AP28" s="267">
        <f t="shared" ref="AP28:AP34" si="100">$D28*AN28</f>
        <v>37.349608591447073</v>
      </c>
      <c r="AQ28" s="273">
        <f>SUM(AR28:AR34)</f>
        <v>0</v>
      </c>
      <c r="AR28" s="4">
        <f t="shared" ref="AR28:AS34" si="101">$F28*AR$27</f>
        <v>0</v>
      </c>
      <c r="AS28" s="4">
        <f t="shared" si="101"/>
        <v>19.732664049070696</v>
      </c>
      <c r="AT28" s="4">
        <f t="shared" ref="AT28:AT34" si="102">$C28*AR28</f>
        <v>0</v>
      </c>
      <c r="AU28" s="267">
        <f t="shared" ref="AU28:AU34" si="103">$D28*AS28</f>
        <v>36.702755131271495</v>
      </c>
    </row>
    <row r="29" spans="1:47" x14ac:dyDescent="0.4">
      <c r="A29" t="s">
        <v>7</v>
      </c>
      <c r="B29">
        <v>2</v>
      </c>
      <c r="C29" s="1">
        <v>2</v>
      </c>
      <c r="D29" s="1">
        <f t="shared" si="0"/>
        <v>1.86</v>
      </c>
      <c r="E29" s="4">
        <v>30745</v>
      </c>
      <c r="F29" s="6">
        <v>0.26485359613380083</v>
      </c>
      <c r="H29" s="4">
        <f t="shared" si="79"/>
        <v>27.659138946081683</v>
      </c>
      <c r="I29" s="4">
        <f t="shared" si="80"/>
        <v>0</v>
      </c>
      <c r="J29" s="267">
        <f t="shared" si="81"/>
        <v>55.318277892163366</v>
      </c>
      <c r="K29" s="267">
        <f t="shared" si="27"/>
        <v>0</v>
      </c>
      <c r="L29" s="273"/>
      <c r="M29" s="4">
        <f t="shared" si="82"/>
        <v>28.920218906180853</v>
      </c>
      <c r="N29" s="4">
        <f t="shared" si="82"/>
        <v>0</v>
      </c>
      <c r="O29" s="4">
        <f t="shared" si="83"/>
        <v>57.840437812361706</v>
      </c>
      <c r="P29" s="267">
        <f t="shared" si="84"/>
        <v>0</v>
      </c>
      <c r="Q29" s="6">
        <f t="shared" si="85"/>
        <v>0.26485359613380083</v>
      </c>
      <c r="R29" s="273"/>
      <c r="S29" s="4">
        <f t="shared" si="86"/>
        <v>30.250611698560043</v>
      </c>
      <c r="T29" s="4">
        <f t="shared" si="86"/>
        <v>0</v>
      </c>
      <c r="U29" s="4">
        <f t="shared" si="87"/>
        <v>60.501223397120086</v>
      </c>
      <c r="V29" s="267">
        <f t="shared" si="88"/>
        <v>0</v>
      </c>
      <c r="W29" s="273"/>
      <c r="X29" s="4">
        <f t="shared" si="89"/>
        <v>31.65375317935068</v>
      </c>
      <c r="Y29" s="4">
        <f t="shared" si="89"/>
        <v>0</v>
      </c>
      <c r="Z29" s="4">
        <f t="shared" si="90"/>
        <v>63.30750635870136</v>
      </c>
      <c r="AA29" s="267">
        <f t="shared" si="91"/>
        <v>0</v>
      </c>
      <c r="AB29" s="273"/>
      <c r="AC29" s="4">
        <f t="shared" si="92"/>
        <v>12.731961989776774</v>
      </c>
      <c r="AD29" s="4">
        <f t="shared" si="92"/>
        <v>28.764724600920104</v>
      </c>
      <c r="AE29" s="4">
        <f t="shared" si="93"/>
        <v>25.463923979553549</v>
      </c>
      <c r="AF29" s="267">
        <f t="shared" si="94"/>
        <v>53.502387757711396</v>
      </c>
      <c r="AG29" s="273"/>
      <c r="AH29" s="4">
        <f t="shared" si="95"/>
        <v>5.6806800421850925</v>
      </c>
      <c r="AI29" s="4">
        <f t="shared" si="95"/>
        <v>35.587923057224252</v>
      </c>
      <c r="AJ29" s="4">
        <f t="shared" si="96"/>
        <v>11.361360084370185</v>
      </c>
      <c r="AK29" s="267">
        <f t="shared" si="97"/>
        <v>66.193536886437116</v>
      </c>
      <c r="AL29" s="273"/>
      <c r="AM29" s="4">
        <f t="shared" si="98"/>
        <v>1.5276024421110255</v>
      </c>
      <c r="AN29" s="4">
        <f t="shared" si="98"/>
        <v>39.263098808753419</v>
      </c>
      <c r="AO29" s="4">
        <f t="shared" si="99"/>
        <v>3.0552048842220509</v>
      </c>
      <c r="AP29" s="267">
        <f t="shared" si="100"/>
        <v>73.029363784281358</v>
      </c>
      <c r="AQ29" s="273"/>
      <c r="AR29" s="4">
        <f t="shared" si="101"/>
        <v>0</v>
      </c>
      <c r="AS29" s="4">
        <f t="shared" si="101"/>
        <v>38.5831058374891</v>
      </c>
      <c r="AT29" s="4">
        <f t="shared" si="102"/>
        <v>0</v>
      </c>
      <c r="AU29" s="267">
        <f t="shared" si="103"/>
        <v>71.764576857729736</v>
      </c>
    </row>
    <row r="30" spans="1:47" x14ac:dyDescent="0.4">
      <c r="A30" s="5">
        <f>SUM(E28:E34)</f>
        <v>116083</v>
      </c>
      <c r="B30">
        <v>2.5</v>
      </c>
      <c r="C30" s="1">
        <v>2.9</v>
      </c>
      <c r="D30" s="1">
        <f t="shared" si="0"/>
        <v>2.6970000000000001</v>
      </c>
      <c r="E30" s="4">
        <v>18615</v>
      </c>
      <c r="F30" s="6">
        <v>0.16035939801693616</v>
      </c>
      <c r="H30" s="4">
        <f t="shared" si="79"/>
        <v>16.746621287406423</v>
      </c>
      <c r="I30" s="4">
        <f t="shared" si="80"/>
        <v>0</v>
      </c>
      <c r="J30" s="267">
        <f t="shared" si="81"/>
        <v>48.565201733478624</v>
      </c>
      <c r="K30" s="267">
        <f t="shared" si="27"/>
        <v>0</v>
      </c>
      <c r="L30" s="273"/>
      <c r="M30" s="4">
        <f t="shared" si="82"/>
        <v>17.510160186650076</v>
      </c>
      <c r="N30" s="4">
        <f t="shared" si="82"/>
        <v>0</v>
      </c>
      <c r="O30" s="4">
        <f t="shared" si="83"/>
        <v>50.779464541285215</v>
      </c>
      <c r="P30" s="267">
        <f t="shared" si="84"/>
        <v>0</v>
      </c>
      <c r="Q30" s="6">
        <f t="shared" si="85"/>
        <v>0.16035939801693616</v>
      </c>
      <c r="R30" s="273"/>
      <c r="S30" s="4">
        <f t="shared" si="86"/>
        <v>18.315665531588717</v>
      </c>
      <c r="T30" s="4">
        <f t="shared" si="86"/>
        <v>0</v>
      </c>
      <c r="U30" s="4">
        <f t="shared" si="87"/>
        <v>53.115430041607276</v>
      </c>
      <c r="V30" s="267">
        <f t="shared" si="88"/>
        <v>0</v>
      </c>
      <c r="W30" s="273"/>
      <c r="X30" s="4">
        <f t="shared" si="89"/>
        <v>19.165217610460658</v>
      </c>
      <c r="Y30" s="4">
        <f t="shared" si="89"/>
        <v>0</v>
      </c>
      <c r="Z30" s="4">
        <f t="shared" si="90"/>
        <v>55.579131070335904</v>
      </c>
      <c r="AA30" s="267">
        <f t="shared" si="91"/>
        <v>0</v>
      </c>
      <c r="AB30" s="273"/>
      <c r="AC30" s="4">
        <f t="shared" si="92"/>
        <v>7.708748493728887</v>
      </c>
      <c r="AD30" s="4">
        <f t="shared" si="92"/>
        <v>17.416013935473337</v>
      </c>
      <c r="AE30" s="4">
        <f t="shared" si="93"/>
        <v>22.355370631813773</v>
      </c>
      <c r="AF30" s="267">
        <f t="shared" si="94"/>
        <v>46.970989583971594</v>
      </c>
      <c r="AG30" s="273"/>
      <c r="AH30" s="4">
        <f t="shared" si="95"/>
        <v>3.4394489830956414</v>
      </c>
      <c r="AI30" s="4">
        <f t="shared" si="95"/>
        <v>21.547217033996731</v>
      </c>
      <c r="AJ30" s="4">
        <f t="shared" si="96"/>
        <v>9.9744020509773605</v>
      </c>
      <c r="AK30" s="267">
        <f t="shared" si="97"/>
        <v>58.112844340689186</v>
      </c>
      <c r="AL30" s="273"/>
      <c r="AM30" s="4">
        <f t="shared" si="98"/>
        <v>0.92490874808576151</v>
      </c>
      <c r="AN30" s="4">
        <f t="shared" si="98"/>
        <v>23.772404759308667</v>
      </c>
      <c r="AO30" s="4">
        <f t="shared" si="99"/>
        <v>2.6822353694487084</v>
      </c>
      <c r="AP30" s="267">
        <f t="shared" si="100"/>
        <v>64.114175635855474</v>
      </c>
      <c r="AQ30" s="273"/>
      <c r="AR30" s="4">
        <f t="shared" si="101"/>
        <v>0</v>
      </c>
      <c r="AS30" s="4">
        <f t="shared" si="101"/>
        <v>23.360693288822883</v>
      </c>
      <c r="AT30" s="4">
        <f t="shared" si="102"/>
        <v>0</v>
      </c>
      <c r="AU30" s="267">
        <f t="shared" si="103"/>
        <v>63.003789799955321</v>
      </c>
    </row>
    <row r="31" spans="1:47" x14ac:dyDescent="0.4">
      <c r="A31" s="237">
        <f>A30/$E$75</f>
        <v>7.6743864715328472E-2</v>
      </c>
      <c r="B31">
        <v>3</v>
      </c>
      <c r="C31" s="1">
        <v>2.9</v>
      </c>
      <c r="D31" s="1">
        <f t="shared" si="0"/>
        <v>2.6970000000000001</v>
      </c>
      <c r="E31" s="4">
        <v>22438</v>
      </c>
      <c r="F31" s="6">
        <v>0.19329273020166604</v>
      </c>
      <c r="H31" s="4">
        <f t="shared" si="79"/>
        <v>20.18590859236236</v>
      </c>
      <c r="I31" s="4">
        <f t="shared" si="80"/>
        <v>0</v>
      </c>
      <c r="J31" s="267">
        <f t="shared" si="81"/>
        <v>58.539134917850838</v>
      </c>
      <c r="K31" s="267">
        <f t="shared" si="27"/>
        <v>0</v>
      </c>
      <c r="L31" s="273"/>
      <c r="M31" s="4">
        <f t="shared" si="82"/>
        <v>21.106257011445305</v>
      </c>
      <c r="N31" s="4">
        <f t="shared" si="82"/>
        <v>0</v>
      </c>
      <c r="O31" s="4">
        <f t="shared" si="83"/>
        <v>61.208145333191382</v>
      </c>
      <c r="P31" s="267">
        <f t="shared" si="84"/>
        <v>0</v>
      </c>
      <c r="Q31" s="6">
        <f t="shared" si="85"/>
        <v>0.19329273020166604</v>
      </c>
      <c r="R31" s="273"/>
      <c r="S31" s="4">
        <f t="shared" si="86"/>
        <v>22.077190609604493</v>
      </c>
      <c r="T31" s="4">
        <f t="shared" si="86"/>
        <v>0</v>
      </c>
      <c r="U31" s="4">
        <f t="shared" si="87"/>
        <v>64.023852767853029</v>
      </c>
      <c r="V31" s="267">
        <f t="shared" si="88"/>
        <v>0</v>
      </c>
      <c r="W31" s="273"/>
      <c r="X31" s="4">
        <f t="shared" si="89"/>
        <v>23.101216908058888</v>
      </c>
      <c r="Y31" s="4">
        <f t="shared" si="89"/>
        <v>0</v>
      </c>
      <c r="Z31" s="4">
        <f t="shared" si="90"/>
        <v>66.993529033370777</v>
      </c>
      <c r="AA31" s="267">
        <f t="shared" si="91"/>
        <v>0</v>
      </c>
      <c r="AB31" s="273"/>
      <c r="AC31" s="4">
        <f t="shared" si="92"/>
        <v>9.2919096804882493</v>
      </c>
      <c r="AD31" s="4">
        <f t="shared" si="92"/>
        <v>20.992775755259238</v>
      </c>
      <c r="AE31" s="4">
        <f t="shared" si="93"/>
        <v>26.946538073415923</v>
      </c>
      <c r="AF31" s="267">
        <f t="shared" si="94"/>
        <v>56.617516211934166</v>
      </c>
      <c r="AG31" s="273"/>
      <c r="AH31" s="4">
        <f t="shared" si="95"/>
        <v>4.1458155403008323</v>
      </c>
      <c r="AI31" s="4">
        <f t="shared" si="95"/>
        <v>25.972412345356894</v>
      </c>
      <c r="AJ31" s="4">
        <f t="shared" si="96"/>
        <v>12.022865066872413</v>
      </c>
      <c r="AK31" s="267">
        <f t="shared" si="97"/>
        <v>70.047596095427551</v>
      </c>
      <c r="AL31" s="273"/>
      <c r="AM31" s="4">
        <f t="shared" si="98"/>
        <v>1.1148591184285961</v>
      </c>
      <c r="AN31" s="4">
        <f t="shared" si="98"/>
        <v>28.65459135048981</v>
      </c>
      <c r="AO31" s="4">
        <f t="shared" si="99"/>
        <v>3.2330914434429285</v>
      </c>
      <c r="AP31" s="267">
        <f t="shared" si="100"/>
        <v>77.281432872271012</v>
      </c>
      <c r="AQ31" s="273"/>
      <c r="AR31" s="4">
        <f t="shared" si="101"/>
        <v>0</v>
      </c>
      <c r="AS31" s="4">
        <f t="shared" si="101"/>
        <v>28.158325867021638</v>
      </c>
      <c r="AT31" s="4">
        <f t="shared" si="102"/>
        <v>0</v>
      </c>
      <c r="AU31" s="267">
        <f t="shared" si="103"/>
        <v>75.943004863357359</v>
      </c>
    </row>
    <row r="32" spans="1:47" x14ac:dyDescent="0.4">
      <c r="B32">
        <v>3.5</v>
      </c>
      <c r="C32" s="1">
        <v>5</v>
      </c>
      <c r="D32" s="1">
        <f t="shared" si="0"/>
        <v>4.6500000000000004</v>
      </c>
      <c r="E32" s="4">
        <v>9244</v>
      </c>
      <c r="F32" s="6">
        <v>7.9632676619315487E-2</v>
      </c>
      <c r="H32" s="4">
        <f t="shared" si="79"/>
        <v>8.3161841085568078</v>
      </c>
      <c r="I32" s="4">
        <f t="shared" si="80"/>
        <v>0</v>
      </c>
      <c r="J32" s="267">
        <f t="shared" si="81"/>
        <v>41.580920542784042</v>
      </c>
      <c r="K32" s="267">
        <f t="shared" si="27"/>
        <v>0</v>
      </c>
      <c r="L32" s="273"/>
      <c r="M32" s="4">
        <f t="shared" si="82"/>
        <v>8.6953489532846238</v>
      </c>
      <c r="N32" s="4">
        <f t="shared" si="82"/>
        <v>0</v>
      </c>
      <c r="O32" s="4">
        <f t="shared" si="83"/>
        <v>43.476744766423117</v>
      </c>
      <c r="P32" s="267">
        <f t="shared" si="84"/>
        <v>0</v>
      </c>
      <c r="Q32" s="6">
        <f t="shared" si="85"/>
        <v>7.9632676619315487E-2</v>
      </c>
      <c r="R32" s="273"/>
      <c r="S32" s="4">
        <f t="shared" si="86"/>
        <v>9.0953538637661087</v>
      </c>
      <c r="T32" s="4">
        <f t="shared" si="86"/>
        <v>0</v>
      </c>
      <c r="U32" s="4">
        <f t="shared" si="87"/>
        <v>45.476769318830542</v>
      </c>
      <c r="V32" s="267">
        <f t="shared" si="88"/>
        <v>0</v>
      </c>
      <c r="W32" s="273"/>
      <c r="X32" s="4">
        <f t="shared" si="89"/>
        <v>9.5172318877839537</v>
      </c>
      <c r="Y32" s="4">
        <f t="shared" si="89"/>
        <v>0</v>
      </c>
      <c r="Z32" s="4">
        <f t="shared" si="90"/>
        <v>47.586159438919765</v>
      </c>
      <c r="AA32" s="267">
        <f t="shared" si="91"/>
        <v>0</v>
      </c>
      <c r="AB32" s="273"/>
      <c r="AC32" s="4">
        <f t="shared" si="92"/>
        <v>3.8280779519758168</v>
      </c>
      <c r="AD32" s="4">
        <f t="shared" si="92"/>
        <v>8.6485969819777342</v>
      </c>
      <c r="AE32" s="4">
        <f t="shared" si="93"/>
        <v>19.140389759879085</v>
      </c>
      <c r="AF32" s="267">
        <f t="shared" si="94"/>
        <v>40.215975966196467</v>
      </c>
      <c r="AG32" s="273"/>
      <c r="AH32" s="4">
        <f t="shared" si="95"/>
        <v>1.7079917485756706</v>
      </c>
      <c r="AI32" s="4">
        <f t="shared" si="95"/>
        <v>10.700106057602243</v>
      </c>
      <c r="AJ32" s="4">
        <f t="shared" si="96"/>
        <v>8.539958742878353</v>
      </c>
      <c r="AK32" s="267">
        <f t="shared" si="97"/>
        <v>49.755493167850432</v>
      </c>
      <c r="AL32" s="273"/>
      <c r="AM32" s="4">
        <f t="shared" si="98"/>
        <v>0.45929929988207246</v>
      </c>
      <c r="AN32" s="4">
        <f t="shared" si="98"/>
        <v>11.805109298686505</v>
      </c>
      <c r="AO32" s="4">
        <f t="shared" si="99"/>
        <v>2.2964964994103623</v>
      </c>
      <c r="AP32" s="267">
        <f t="shared" si="100"/>
        <v>54.893758238892254</v>
      </c>
      <c r="AQ32" s="273"/>
      <c r="AR32" s="4">
        <f t="shared" si="101"/>
        <v>0</v>
      </c>
      <c r="AS32" s="4">
        <f t="shared" si="101"/>
        <v>11.600658004935736</v>
      </c>
      <c r="AT32" s="4">
        <f t="shared" si="102"/>
        <v>0</v>
      </c>
      <c r="AU32" s="267">
        <f t="shared" si="103"/>
        <v>53.943059722951176</v>
      </c>
    </row>
    <row r="33" spans="1:47" x14ac:dyDescent="0.4">
      <c r="B33">
        <v>4</v>
      </c>
      <c r="C33" s="1">
        <v>5.0999999999999996</v>
      </c>
      <c r="D33" s="1">
        <f t="shared" si="0"/>
        <v>4.7430000000000003</v>
      </c>
      <c r="E33" s="4">
        <v>11475</v>
      </c>
      <c r="F33" s="6">
        <v>9.8851683709070229E-2</v>
      </c>
      <c r="H33" s="4">
        <f t="shared" si="79"/>
        <v>10.323259697716288</v>
      </c>
      <c r="I33" s="4">
        <f t="shared" si="80"/>
        <v>0</v>
      </c>
      <c r="J33" s="267">
        <f t="shared" si="81"/>
        <v>52.648624458353069</v>
      </c>
      <c r="K33" s="267">
        <f t="shared" si="27"/>
        <v>0</v>
      </c>
      <c r="L33" s="273"/>
      <c r="M33" s="4">
        <f t="shared" si="82"/>
        <v>10.793934361633607</v>
      </c>
      <c r="N33" s="4">
        <f t="shared" si="82"/>
        <v>0</v>
      </c>
      <c r="O33" s="4">
        <f t="shared" si="83"/>
        <v>55.049065244331388</v>
      </c>
      <c r="P33" s="267">
        <f t="shared" si="84"/>
        <v>0</v>
      </c>
      <c r="Q33" s="6">
        <f t="shared" si="85"/>
        <v>9.8851683709070229E-2</v>
      </c>
      <c r="R33" s="273"/>
      <c r="S33" s="4">
        <f t="shared" si="86"/>
        <v>11.290478752349209</v>
      </c>
      <c r="T33" s="4">
        <f t="shared" si="86"/>
        <v>0</v>
      </c>
      <c r="U33" s="4">
        <f t="shared" si="87"/>
        <v>57.581441636980962</v>
      </c>
      <c r="V33" s="267">
        <f t="shared" si="88"/>
        <v>0</v>
      </c>
      <c r="W33" s="273"/>
      <c r="X33" s="4">
        <f t="shared" si="89"/>
        <v>11.814175239325062</v>
      </c>
      <c r="Y33" s="4">
        <f t="shared" si="89"/>
        <v>0</v>
      </c>
      <c r="Z33" s="4">
        <f t="shared" si="90"/>
        <v>60.252293720557809</v>
      </c>
      <c r="AA33" s="267">
        <f t="shared" si="91"/>
        <v>0</v>
      </c>
      <c r="AB33" s="273"/>
      <c r="AC33" s="4">
        <f t="shared" si="92"/>
        <v>4.7519682495589031</v>
      </c>
      <c r="AD33" s="4">
        <f t="shared" si="92"/>
        <v>10.735899001319179</v>
      </c>
      <c r="AE33" s="4">
        <f t="shared" si="93"/>
        <v>24.235038072750402</v>
      </c>
      <c r="AF33" s="267">
        <f t="shared" si="94"/>
        <v>50.92036896325687</v>
      </c>
      <c r="AG33" s="273"/>
      <c r="AH33" s="4">
        <f t="shared" si="95"/>
        <v>2.1202082772507378</v>
      </c>
      <c r="AI33" s="4">
        <f t="shared" si="95"/>
        <v>13.282531048354146</v>
      </c>
      <c r="AJ33" s="4">
        <f t="shared" si="96"/>
        <v>10.813062213978762</v>
      </c>
      <c r="AK33" s="267">
        <f t="shared" si="97"/>
        <v>62.999044762343722</v>
      </c>
      <c r="AL33" s="273"/>
      <c r="AM33" s="4">
        <f t="shared" si="98"/>
        <v>0.57014922827204473</v>
      </c>
      <c r="AN33" s="4">
        <f t="shared" si="98"/>
        <v>14.654222111902602</v>
      </c>
      <c r="AO33" s="4">
        <f t="shared" si="99"/>
        <v>2.9077610641874281</v>
      </c>
      <c r="AP33" s="267">
        <f t="shared" si="100"/>
        <v>69.504975476754041</v>
      </c>
      <c r="AQ33" s="273"/>
      <c r="AR33" s="4">
        <f t="shared" si="101"/>
        <v>0</v>
      </c>
      <c r="AS33" s="4">
        <f t="shared" si="101"/>
        <v>14.400427369822324</v>
      </c>
      <c r="AT33" s="4">
        <f t="shared" si="102"/>
        <v>0</v>
      </c>
      <c r="AU33" s="267">
        <f t="shared" si="103"/>
        <v>68.301227015067283</v>
      </c>
    </row>
    <row r="34" spans="1:47" x14ac:dyDescent="0.4">
      <c r="B34">
        <v>5</v>
      </c>
      <c r="C34" s="1">
        <v>5.9</v>
      </c>
      <c r="D34" s="1">
        <f t="shared" si="0"/>
        <v>5.487000000000001</v>
      </c>
      <c r="E34" s="4">
        <v>7842</v>
      </c>
      <c r="F34" s="6">
        <v>6.7555111428891396E-2</v>
      </c>
      <c r="H34" s="4">
        <f t="shared" si="79"/>
        <v>7.0549021829621896</v>
      </c>
      <c r="I34" s="4">
        <f t="shared" si="80"/>
        <v>0</v>
      </c>
      <c r="J34" s="267">
        <f t="shared" si="81"/>
        <v>41.623922879476922</v>
      </c>
      <c r="K34" s="267">
        <f t="shared" si="27"/>
        <v>0</v>
      </c>
      <c r="L34" s="273"/>
      <c r="M34" s="4">
        <f t="shared" si="82"/>
        <v>7.3765606330222875</v>
      </c>
      <c r="N34" s="4">
        <f t="shared" si="82"/>
        <v>0</v>
      </c>
      <c r="O34" s="4">
        <f t="shared" si="83"/>
        <v>43.521707734831502</v>
      </c>
      <c r="P34" s="267">
        <f t="shared" si="84"/>
        <v>0</v>
      </c>
      <c r="Q34" s="6">
        <f t="shared" si="85"/>
        <v>6.7555111428891396E-2</v>
      </c>
      <c r="R34" s="273"/>
      <c r="S34" s="4">
        <f t="shared" si="86"/>
        <v>7.7158984205596948</v>
      </c>
      <c r="T34" s="4">
        <f t="shared" si="86"/>
        <v>0</v>
      </c>
      <c r="U34" s="4">
        <f t="shared" si="87"/>
        <v>45.523800681302205</v>
      </c>
      <c r="V34" s="267">
        <f t="shared" si="88"/>
        <v>0</v>
      </c>
      <c r="W34" s="273"/>
      <c r="X34" s="4">
        <f t="shared" si="89"/>
        <v>8.073791915188421</v>
      </c>
      <c r="Y34" s="4">
        <f t="shared" si="89"/>
        <v>0</v>
      </c>
      <c r="Z34" s="4">
        <f t="shared" si="90"/>
        <v>47.635372299611689</v>
      </c>
      <c r="AA34" s="267">
        <f t="shared" si="91"/>
        <v>0</v>
      </c>
      <c r="AB34" s="273"/>
      <c r="AC34" s="4">
        <f t="shared" si="92"/>
        <v>3.2474888900253522</v>
      </c>
      <c r="AD34" s="4">
        <f t="shared" si="92"/>
        <v>7.3368993436466239</v>
      </c>
      <c r="AE34" s="4">
        <f t="shared" si="93"/>
        <v>19.160184451149579</v>
      </c>
      <c r="AF34" s="267">
        <f t="shared" si="94"/>
        <v>40.257566698589031</v>
      </c>
      <c r="AG34" s="273"/>
      <c r="AH34" s="4">
        <f t="shared" si="95"/>
        <v>1.4489475651590664</v>
      </c>
      <c r="AI34" s="4">
        <f t="shared" si="95"/>
        <v>9.0772643556595405</v>
      </c>
      <c r="AJ34" s="4">
        <f t="shared" si="96"/>
        <v>8.5487906344384932</v>
      </c>
      <c r="AK34" s="267">
        <f t="shared" si="97"/>
        <v>49.80694951950391</v>
      </c>
      <c r="AL34" s="273"/>
      <c r="AM34" s="4">
        <f t="shared" si="98"/>
        <v>0.38963923730800654</v>
      </c>
      <c r="AN34" s="4">
        <f t="shared" si="98"/>
        <v>10.01467623542834</v>
      </c>
      <c r="AO34" s="4">
        <f t="shared" si="99"/>
        <v>2.2988715001172388</v>
      </c>
      <c r="AP34" s="267">
        <f t="shared" si="100"/>
        <v>54.950528503795312</v>
      </c>
      <c r="AQ34" s="273"/>
      <c r="AR34" s="4">
        <f t="shared" si="101"/>
        <v>0</v>
      </c>
      <c r="AS34" s="4">
        <f t="shared" si="101"/>
        <v>9.8412332404485117</v>
      </c>
      <c r="AT34" s="4">
        <f t="shared" si="102"/>
        <v>0</v>
      </c>
      <c r="AU34" s="267">
        <f t="shared" si="103"/>
        <v>53.998846790340991</v>
      </c>
    </row>
    <row r="35" spans="1:47" x14ac:dyDescent="0.4">
      <c r="D35" s="1">
        <f t="shared" si="0"/>
        <v>0</v>
      </c>
      <c r="F35" s="6"/>
      <c r="G35" s="4">
        <f>機器台数case３!D33</f>
        <v>56.449623999999993</v>
      </c>
      <c r="H35" s="4">
        <f>G35*(1-G$3)</f>
        <v>56.449623999999993</v>
      </c>
      <c r="I35" s="4">
        <f>G35*$G$3</f>
        <v>0</v>
      </c>
      <c r="J35" s="4">
        <f>SUM(J36:J42)</f>
        <v>196.42724001278478</v>
      </c>
      <c r="K35" s="267">
        <f t="shared" si="27"/>
        <v>0</v>
      </c>
      <c r="L35" s="273">
        <f>機器台数case３!F33</f>
        <v>59.023366072025631</v>
      </c>
      <c r="M35" s="4">
        <f>L35*(1-L$3)</f>
        <v>59.023366072025631</v>
      </c>
      <c r="N35" s="4">
        <f>L35*$G$3</f>
        <v>0</v>
      </c>
      <c r="O35" s="4">
        <f>SUM(O36:O42)</f>
        <v>205.38306674624155</v>
      </c>
      <c r="P35" s="4">
        <f>SUM(P36:P42)</f>
        <v>0</v>
      </c>
      <c r="Q35" s="6"/>
      <c r="R35" s="273">
        <f>機器台数case３!H33</f>
        <v>61.738568922284799</v>
      </c>
      <c r="S35" s="4">
        <f>R35*(1-R$3)</f>
        <v>61.738568922284799</v>
      </c>
      <c r="T35" s="4">
        <f>R35*$G$3</f>
        <v>0</v>
      </c>
      <c r="U35" s="4">
        <f>SUM(U36:U42)</f>
        <v>214.83113325508589</v>
      </c>
      <c r="V35" s="4">
        <f>SUM(V36:V42)</f>
        <v>0</v>
      </c>
      <c r="W35" s="273">
        <f>機器台数case３!J33</f>
        <v>64.602244800403767</v>
      </c>
      <c r="X35" s="4">
        <f>W35*(1-W$3)</f>
        <v>64.602244800403767</v>
      </c>
      <c r="Y35" s="4">
        <f>W35*$G$3</f>
        <v>0</v>
      </c>
      <c r="Z35" s="4">
        <f>SUM(Z36:Z42)</f>
        <v>224.79584000016709</v>
      </c>
      <c r="AA35" s="4">
        <f>SUM(AA36:AA42)</f>
        <v>0</v>
      </c>
      <c r="AB35" s="273"/>
      <c r="AC35" s="4">
        <f>機器台数case３!L33</f>
        <v>67.621753555148814</v>
      </c>
      <c r="AD35" s="4">
        <f>機器台数case３!L43</f>
        <v>56.418769828034264</v>
      </c>
      <c r="AE35" s="4">
        <f>SUM(AE36:AE42)</f>
        <v>235.3027969798807</v>
      </c>
      <c r="AF35" s="4">
        <f>SUM(AF36:AF42)</f>
        <v>182.57748564066139</v>
      </c>
      <c r="AG35" s="273">
        <f>機器台数case３!N33</f>
        <v>11.593717833037623</v>
      </c>
      <c r="AH35" s="4">
        <f>機器台数case３!N33</f>
        <v>11.593717833037623</v>
      </c>
      <c r="AI35" s="4">
        <f>機器台数case３!N43</f>
        <v>69.801705647447903</v>
      </c>
      <c r="AJ35" s="4">
        <f>SUM(AJ36:AJ42)</f>
        <v>40.342553839341512</v>
      </c>
      <c r="AK35" s="4">
        <f>SUM(AK36:AK42)</f>
        <v>225.88617138206442</v>
      </c>
      <c r="AL35" s="273">
        <f>機器台数case３!S33</f>
        <v>0</v>
      </c>
      <c r="AM35" s="4">
        <f>機器台数case３!P33</f>
        <v>3.1176886470236718</v>
      </c>
      <c r="AN35" s="4">
        <f>機器台数case３!P43</f>
        <v>77.010149242157823</v>
      </c>
      <c r="AO35" s="4">
        <f>SUM(AO36:AO42)</f>
        <v>10.848592652345268</v>
      </c>
      <c r="AP35" s="4">
        <f>SUM(AP36:AP42)</f>
        <v>249.21350572338685</v>
      </c>
      <c r="AQ35" s="273">
        <f>機器台数case３!X33</f>
        <v>0</v>
      </c>
      <c r="AR35" s="4">
        <f>機器台数case３!R33</f>
        <v>0</v>
      </c>
      <c r="AS35" s="4">
        <f>機器台数case３!R43</f>
        <v>77.694457417392485</v>
      </c>
      <c r="AT35" s="4">
        <f>SUM(AT36:AT42)</f>
        <v>0</v>
      </c>
      <c r="AU35" s="4">
        <f>SUM(AU36:AU42)</f>
        <v>251.42800395542045</v>
      </c>
    </row>
    <row r="36" spans="1:47" x14ac:dyDescent="0.4">
      <c r="A36" t="s">
        <v>6</v>
      </c>
      <c r="B36">
        <v>1.5</v>
      </c>
      <c r="C36" s="1">
        <v>1.8</v>
      </c>
      <c r="D36" s="1">
        <f t="shared" ref="D36:D67" si="104">C36*$D$1</f>
        <v>1.6740000000000002</v>
      </c>
      <c r="E36" s="4">
        <v>2328</v>
      </c>
      <c r="F36" s="6">
        <v>3.8079659769362888E-2</v>
      </c>
      <c r="H36" s="4">
        <f t="shared" ref="H36:H42" si="105">F36*H$35</f>
        <v>2.1495824760284616</v>
      </c>
      <c r="I36" s="4">
        <f t="shared" ref="I36:I42" si="106">$F36*I$35</f>
        <v>0</v>
      </c>
      <c r="J36" s="267">
        <f t="shared" ref="J36:J42" si="107">C36*H36</f>
        <v>3.8692484568512309</v>
      </c>
      <c r="K36" s="267">
        <f t="shared" si="27"/>
        <v>0</v>
      </c>
      <c r="L36" s="273"/>
      <c r="M36" s="4">
        <f t="shared" ref="M36:N42" si="108">$F36*M$35</f>
        <v>2.2475896984652928</v>
      </c>
      <c r="N36" s="4">
        <f t="shared" si="108"/>
        <v>0</v>
      </c>
      <c r="O36" s="4">
        <f t="shared" ref="O36:O42" si="109">$C36*$M36</f>
        <v>4.0456614572375269</v>
      </c>
      <c r="P36" s="267">
        <f t="shared" ref="P36:P42" si="110">$D36*$N36</f>
        <v>0</v>
      </c>
      <c r="Q36" s="6">
        <f t="shared" ref="Q36:Q42" si="111">E36/$A$38</f>
        <v>3.8079659769362888E-2</v>
      </c>
      <c r="R36" s="273">
        <f>SUM(S36:S42)</f>
        <v>61.738568922284799</v>
      </c>
      <c r="S36" s="4">
        <f t="shared" ref="S36:T42" si="112">$F36*S$35</f>
        <v>2.3509836992079665</v>
      </c>
      <c r="T36" s="4">
        <f t="shared" si="112"/>
        <v>0</v>
      </c>
      <c r="U36" s="4">
        <f t="shared" ref="U36:U42" si="113">$C36*S36</f>
        <v>4.23177065857434</v>
      </c>
      <c r="V36" s="267">
        <f t="shared" ref="V36:V42" si="114">$D36*T36</f>
        <v>0</v>
      </c>
      <c r="W36" s="273">
        <f>SUM(X36:X42)</f>
        <v>64.602244800403767</v>
      </c>
      <c r="X36" s="4">
        <f t="shared" ref="X36:Y42" si="115">$F36*X$35</f>
        <v>2.4600315023364683</v>
      </c>
      <c r="Y36" s="4">
        <f t="shared" si="115"/>
        <v>0</v>
      </c>
      <c r="Z36" s="4">
        <f t="shared" ref="Z36:Z42" si="116">$C36*X36</f>
        <v>4.4280567042056429</v>
      </c>
      <c r="AA36" s="267">
        <f t="shared" ref="AA36:AA42" si="117">$D36*Y36</f>
        <v>0</v>
      </c>
      <c r="AB36" s="273">
        <f>SUM(AC36:AC42)</f>
        <v>67.621753555148814</v>
      </c>
      <c r="AC36" s="4">
        <f t="shared" ref="AC36:AD42" si="118">$F36*AC$35</f>
        <v>2.5750133683877721</v>
      </c>
      <c r="AD36" s="4">
        <f t="shared" si="118"/>
        <v>2.1484075596575409</v>
      </c>
      <c r="AE36" s="4">
        <f t="shared" ref="AE36:AE42" si="119">$C36*AC36</f>
        <v>4.6350240630979895</v>
      </c>
      <c r="AF36" s="267">
        <f t="shared" ref="AF36:AF42" si="120">$D36*AD36</f>
        <v>3.5964342548667236</v>
      </c>
      <c r="AG36" s="273">
        <f>SUM(AH36:AH42)</f>
        <v>11.593717833037623</v>
      </c>
      <c r="AH36" s="4">
        <f t="shared" ref="AH36:AI42" si="121">$F36*AH$35</f>
        <v>0.44148483054406784</v>
      </c>
      <c r="AI36" s="4">
        <f t="shared" si="121"/>
        <v>2.6580252023760322</v>
      </c>
      <c r="AJ36" s="4">
        <f t="shared" ref="AJ36:AJ42" si="122">$C36*AH36</f>
        <v>0.79467269497932214</v>
      </c>
      <c r="AK36" s="267">
        <f t="shared" ref="AK36:AK42" si="123">$D36*AI36</f>
        <v>4.449534188777478</v>
      </c>
      <c r="AL36" s="273">
        <f>SUM(AM36:AM42)</f>
        <v>3.1176886470236718</v>
      </c>
      <c r="AM36" s="4">
        <f t="shared" ref="AM36:AN42" si="124">$F36*AM$35</f>
        <v>0.11872052294546673</v>
      </c>
      <c r="AN36" s="4">
        <f t="shared" si="124"/>
        <v>2.9325202819292291</v>
      </c>
      <c r="AO36" s="4">
        <f t="shared" ref="AO36:AO42" si="125">$C36*AM36</f>
        <v>0.21369694130184011</v>
      </c>
      <c r="AP36" s="267">
        <f t="shared" ref="AP36:AP42" si="126">$D36*AN36</f>
        <v>4.9090389519495297</v>
      </c>
      <c r="AQ36" s="273">
        <f>SUM(AR36:AR42)</f>
        <v>0</v>
      </c>
      <c r="AR36" s="4">
        <f t="shared" ref="AR36:AS42" si="127">$F36*AR$35</f>
        <v>0</v>
      </c>
      <c r="AS36" s="4">
        <f t="shared" si="127"/>
        <v>2.9585785044195587</v>
      </c>
      <c r="AT36" s="4">
        <f t="shared" ref="AT36:AT42" si="128">$C36*AR36</f>
        <v>0</v>
      </c>
      <c r="AU36" s="267">
        <f t="shared" ref="AU36:AU42" si="129">$D36*AS36</f>
        <v>4.9526604163983414</v>
      </c>
    </row>
    <row r="37" spans="1:47" x14ac:dyDescent="0.4">
      <c r="A37" t="s">
        <v>5</v>
      </c>
      <c r="B37">
        <v>2</v>
      </c>
      <c r="C37" s="1">
        <v>2</v>
      </c>
      <c r="D37" s="1">
        <f t="shared" si="104"/>
        <v>1.86</v>
      </c>
      <c r="E37" s="4">
        <v>11267</v>
      </c>
      <c r="F37" s="6">
        <v>0.1842970475177885</v>
      </c>
      <c r="H37" s="4">
        <f t="shared" si="105"/>
        <v>10.403499036689293</v>
      </c>
      <c r="I37" s="4">
        <f t="shared" si="106"/>
        <v>0</v>
      </c>
      <c r="J37" s="267">
        <f t="shared" si="107"/>
        <v>20.806998073378587</v>
      </c>
      <c r="K37" s="267">
        <f t="shared" si="27"/>
        <v>0</v>
      </c>
      <c r="L37" s="273"/>
      <c r="M37" s="4">
        <f t="shared" si="108"/>
        <v>10.877832101635933</v>
      </c>
      <c r="N37" s="4">
        <f t="shared" si="108"/>
        <v>0</v>
      </c>
      <c r="O37" s="4">
        <f t="shared" si="109"/>
        <v>21.755664203271866</v>
      </c>
      <c r="P37" s="267">
        <f t="shared" si="110"/>
        <v>0</v>
      </c>
      <c r="Q37" s="6">
        <f t="shared" si="111"/>
        <v>0.1842970475177885</v>
      </c>
      <c r="R37" s="273"/>
      <c r="S37" s="4">
        <f t="shared" si="112"/>
        <v>11.378235970350582</v>
      </c>
      <c r="T37" s="4">
        <f t="shared" si="112"/>
        <v>0</v>
      </c>
      <c r="U37" s="4">
        <f t="shared" si="113"/>
        <v>22.756471940701164</v>
      </c>
      <c r="V37" s="267">
        <f t="shared" si="114"/>
        <v>0</v>
      </c>
      <c r="W37" s="273"/>
      <c r="X37" s="4">
        <f t="shared" si="115"/>
        <v>11.906002979735819</v>
      </c>
      <c r="Y37" s="4">
        <f t="shared" si="115"/>
        <v>0</v>
      </c>
      <c r="Z37" s="4">
        <f t="shared" si="116"/>
        <v>23.812005959471637</v>
      </c>
      <c r="AA37" s="267">
        <f t="shared" si="117"/>
        <v>0</v>
      </c>
      <c r="AB37" s="273"/>
      <c r="AC37" s="4">
        <f t="shared" si="118"/>
        <v>12.462489528189444</v>
      </c>
      <c r="AD37" s="4">
        <f t="shared" si="118"/>
        <v>10.397812703892402</v>
      </c>
      <c r="AE37" s="4">
        <f t="shared" si="119"/>
        <v>24.924979056378888</v>
      </c>
      <c r="AF37" s="267">
        <f t="shared" si="120"/>
        <v>19.339931629239871</v>
      </c>
      <c r="AG37" s="273"/>
      <c r="AH37" s="4">
        <f t="shared" si="121"/>
        <v>2.1366879663831666</v>
      </c>
      <c r="AI37" s="4">
        <f t="shared" si="121"/>
        <v>12.864248262530392</v>
      </c>
      <c r="AJ37" s="4">
        <f t="shared" si="122"/>
        <v>4.2733759327663332</v>
      </c>
      <c r="AK37" s="267">
        <f t="shared" si="123"/>
        <v>23.927501768306531</v>
      </c>
      <c r="AL37" s="273"/>
      <c r="AM37" s="4">
        <f t="shared" si="124"/>
        <v>0.57458081272619133</v>
      </c>
      <c r="AN37" s="4">
        <f t="shared" si="124"/>
        <v>14.192743134233945</v>
      </c>
      <c r="AO37" s="4">
        <f t="shared" si="125"/>
        <v>1.1491616254523827</v>
      </c>
      <c r="AP37" s="267">
        <f t="shared" si="126"/>
        <v>26.398502229675138</v>
      </c>
      <c r="AQ37" s="273"/>
      <c r="AR37" s="4">
        <f t="shared" si="127"/>
        <v>0</v>
      </c>
      <c r="AS37" s="4">
        <f t="shared" si="127"/>
        <v>14.318859110521977</v>
      </c>
      <c r="AT37" s="4">
        <f t="shared" si="128"/>
        <v>0</v>
      </c>
      <c r="AU37" s="267">
        <f t="shared" si="129"/>
        <v>26.633077945570879</v>
      </c>
    </row>
    <row r="38" spans="1:47" x14ac:dyDescent="0.4">
      <c r="A38" s="5">
        <f>SUM(E36:E42)</f>
        <v>61135</v>
      </c>
      <c r="B38">
        <v>2.5</v>
      </c>
      <c r="C38" s="1">
        <v>2.9</v>
      </c>
      <c r="D38" s="1">
        <f t="shared" si="104"/>
        <v>2.6970000000000001</v>
      </c>
      <c r="E38" s="4">
        <v>12189</v>
      </c>
      <c r="F38" s="6">
        <v>0.19937842479757914</v>
      </c>
      <c r="H38" s="4">
        <f t="shared" si="105"/>
        <v>11.254837113535617</v>
      </c>
      <c r="I38" s="4">
        <f t="shared" si="106"/>
        <v>0</v>
      </c>
      <c r="J38" s="267">
        <f t="shared" si="107"/>
        <v>32.639027629253285</v>
      </c>
      <c r="K38" s="267">
        <f t="shared" si="27"/>
        <v>0</v>
      </c>
      <c r="L38" s="273"/>
      <c r="M38" s="4">
        <f t="shared" si="108"/>
        <v>11.767985753691347</v>
      </c>
      <c r="N38" s="4">
        <f t="shared" si="108"/>
        <v>0</v>
      </c>
      <c r="O38" s="4">
        <f t="shared" si="109"/>
        <v>34.127158685704906</v>
      </c>
      <c r="P38" s="267">
        <f t="shared" si="110"/>
        <v>0</v>
      </c>
      <c r="Q38" s="6">
        <f t="shared" si="111"/>
        <v>0.19937842479757914</v>
      </c>
      <c r="R38" s="273"/>
      <c r="S38" s="4">
        <f t="shared" si="112"/>
        <v>12.309338620981917</v>
      </c>
      <c r="T38" s="4">
        <f t="shared" si="112"/>
        <v>0</v>
      </c>
      <c r="U38" s="4">
        <f t="shared" si="113"/>
        <v>35.697082000847558</v>
      </c>
      <c r="V38" s="267">
        <f t="shared" si="114"/>
        <v>0</v>
      </c>
      <c r="W38" s="273"/>
      <c r="X38" s="4">
        <f t="shared" si="115"/>
        <v>12.8802938066921</v>
      </c>
      <c r="Y38" s="4">
        <f t="shared" si="115"/>
        <v>0</v>
      </c>
      <c r="Z38" s="4">
        <f t="shared" si="116"/>
        <v>37.35285203940709</v>
      </c>
      <c r="AA38" s="267">
        <f t="shared" si="117"/>
        <v>0</v>
      </c>
      <c r="AB38" s="273"/>
      <c r="AC38" s="4">
        <f t="shared" si="118"/>
        <v>13.482318705875668</v>
      </c>
      <c r="AD38" s="4">
        <f t="shared" si="118"/>
        <v>11.248685457330657</v>
      </c>
      <c r="AE38" s="4">
        <f t="shared" si="119"/>
        <v>39.098724247039435</v>
      </c>
      <c r="AF38" s="267">
        <f t="shared" si="120"/>
        <v>30.337704678420781</v>
      </c>
      <c r="AG38" s="273"/>
      <c r="AH38" s="4">
        <f t="shared" si="121"/>
        <v>2.3115371990986437</v>
      </c>
      <c r="AI38" s="4">
        <f t="shared" si="121"/>
        <v>13.916954120172447</v>
      </c>
      <c r="AJ38" s="4">
        <f t="shared" si="122"/>
        <v>6.7034578773860662</v>
      </c>
      <c r="AK38" s="267">
        <f t="shared" si="123"/>
        <v>37.534025262105089</v>
      </c>
      <c r="AL38" s="273"/>
      <c r="AM38" s="4">
        <f t="shared" si="124"/>
        <v>0.62159985145287544</v>
      </c>
      <c r="AN38" s="4">
        <f t="shared" si="124"/>
        <v>15.35416224932791</v>
      </c>
      <c r="AO38" s="4">
        <f t="shared" si="125"/>
        <v>1.8026395692133388</v>
      </c>
      <c r="AP38" s="267">
        <f t="shared" si="126"/>
        <v>41.410175586437376</v>
      </c>
      <c r="AQ38" s="273"/>
      <c r="AR38" s="4">
        <f t="shared" si="127"/>
        <v>0</v>
      </c>
      <c r="AS38" s="4">
        <f t="shared" si="127"/>
        <v>15.490598535382302</v>
      </c>
      <c r="AT38" s="4">
        <f t="shared" si="128"/>
        <v>0</v>
      </c>
      <c r="AU38" s="267">
        <f t="shared" si="129"/>
        <v>41.778144249926072</v>
      </c>
    </row>
    <row r="39" spans="1:47" x14ac:dyDescent="0.4">
      <c r="A39" s="237">
        <f>A38/$E$75</f>
        <v>4.041708234083894E-2</v>
      </c>
      <c r="B39">
        <v>3</v>
      </c>
      <c r="C39" s="1">
        <v>2.9</v>
      </c>
      <c r="D39" s="1">
        <f t="shared" si="104"/>
        <v>2.6970000000000001</v>
      </c>
      <c r="E39" s="4">
        <v>15247</v>
      </c>
      <c r="F39" s="6">
        <v>0.24939887135029035</v>
      </c>
      <c r="H39" s="4">
        <f t="shared" si="105"/>
        <v>14.078472513748261</v>
      </c>
      <c r="I39" s="4">
        <f t="shared" si="106"/>
        <v>0</v>
      </c>
      <c r="J39" s="267">
        <f t="shared" si="107"/>
        <v>40.827570289869954</v>
      </c>
      <c r="K39" s="267">
        <f t="shared" si="27"/>
        <v>0</v>
      </c>
      <c r="L39" s="273"/>
      <c r="M39" s="4">
        <f t="shared" si="108"/>
        <v>14.720360881658213</v>
      </c>
      <c r="N39" s="4">
        <f t="shared" si="108"/>
        <v>0</v>
      </c>
      <c r="O39" s="4">
        <f t="shared" si="109"/>
        <v>42.689046556808812</v>
      </c>
      <c r="P39" s="267">
        <f t="shared" si="110"/>
        <v>0</v>
      </c>
      <c r="Q39" s="6">
        <f t="shared" si="111"/>
        <v>0.24939887135029035</v>
      </c>
      <c r="R39" s="273"/>
      <c r="S39" s="4">
        <f t="shared" si="112"/>
        <v>15.39752940799994</v>
      </c>
      <c r="T39" s="4">
        <f t="shared" si="112"/>
        <v>0</v>
      </c>
      <c r="U39" s="4">
        <f t="shared" si="113"/>
        <v>44.652835283199828</v>
      </c>
      <c r="V39" s="267">
        <f t="shared" si="114"/>
        <v>0</v>
      </c>
      <c r="W39" s="273"/>
      <c r="X39" s="4">
        <f t="shared" si="115"/>
        <v>16.111726939915862</v>
      </c>
      <c r="Y39" s="4">
        <f t="shared" si="115"/>
        <v>0</v>
      </c>
      <c r="Z39" s="4">
        <f t="shared" si="116"/>
        <v>46.724008125755994</v>
      </c>
      <c r="AA39" s="267">
        <f t="shared" si="117"/>
        <v>0</v>
      </c>
      <c r="AB39" s="273"/>
      <c r="AC39" s="4">
        <f t="shared" si="118"/>
        <v>16.864789015381596</v>
      </c>
      <c r="AD39" s="4">
        <f t="shared" si="118"/>
        <v>14.07077751808356</v>
      </c>
      <c r="AE39" s="4">
        <f t="shared" si="119"/>
        <v>48.90788814460663</v>
      </c>
      <c r="AF39" s="267">
        <f t="shared" si="120"/>
        <v>37.94888696627136</v>
      </c>
      <c r="AG39" s="273"/>
      <c r="AH39" s="4">
        <f t="shared" si="121"/>
        <v>2.891460142313317</v>
      </c>
      <c r="AI39" s="4">
        <f t="shared" si="121"/>
        <v>17.408466606798694</v>
      </c>
      <c r="AJ39" s="4">
        <f t="shared" si="122"/>
        <v>8.3852344127086198</v>
      </c>
      <c r="AK39" s="267">
        <f t="shared" si="123"/>
        <v>46.950634438536078</v>
      </c>
      <c r="AL39" s="273"/>
      <c r="AM39" s="4">
        <f t="shared" si="124"/>
        <v>0.77754802978931747</v>
      </c>
      <c r="AN39" s="4">
        <f t="shared" si="124"/>
        <v>19.206244303511578</v>
      </c>
      <c r="AO39" s="4">
        <f t="shared" si="125"/>
        <v>2.2548892863890204</v>
      </c>
      <c r="AP39" s="267">
        <f t="shared" si="126"/>
        <v>51.799240886570729</v>
      </c>
      <c r="AQ39" s="273"/>
      <c r="AR39" s="4">
        <f t="shared" si="127"/>
        <v>0</v>
      </c>
      <c r="AS39" s="4">
        <f t="shared" si="127"/>
        <v>19.376909990070882</v>
      </c>
      <c r="AT39" s="4">
        <f t="shared" si="128"/>
        <v>0</v>
      </c>
      <c r="AU39" s="267">
        <f t="shared" si="129"/>
        <v>52.259526243221167</v>
      </c>
    </row>
    <row r="40" spans="1:47" x14ac:dyDescent="0.4">
      <c r="B40">
        <v>3.5</v>
      </c>
      <c r="C40" s="1">
        <v>5</v>
      </c>
      <c r="D40" s="1">
        <f t="shared" si="104"/>
        <v>4.6500000000000004</v>
      </c>
      <c r="E40" s="4">
        <v>6555</v>
      </c>
      <c r="F40" s="6">
        <v>0.10722172241760039</v>
      </c>
      <c r="H40" s="4">
        <f t="shared" si="105"/>
        <v>6.0526259151059119</v>
      </c>
      <c r="I40" s="4">
        <f t="shared" si="106"/>
        <v>0</v>
      </c>
      <c r="J40" s="267">
        <f t="shared" si="107"/>
        <v>30.263129575529561</v>
      </c>
      <c r="K40" s="267">
        <f t="shared" si="27"/>
        <v>0</v>
      </c>
      <c r="L40" s="273"/>
      <c r="M40" s="4">
        <f t="shared" si="108"/>
        <v>6.3285869731271447</v>
      </c>
      <c r="N40" s="4">
        <f t="shared" si="108"/>
        <v>0</v>
      </c>
      <c r="O40" s="4">
        <f t="shared" si="109"/>
        <v>31.642934865635723</v>
      </c>
      <c r="P40" s="267">
        <f t="shared" si="110"/>
        <v>0</v>
      </c>
      <c r="Q40" s="6">
        <f t="shared" si="111"/>
        <v>0.10722172241760039</v>
      </c>
      <c r="R40" s="273"/>
      <c r="S40" s="4">
        <f t="shared" si="112"/>
        <v>6.619715699445111</v>
      </c>
      <c r="T40" s="4">
        <f t="shared" si="112"/>
        <v>0</v>
      </c>
      <c r="U40" s="4">
        <f t="shared" si="113"/>
        <v>33.098578497225553</v>
      </c>
      <c r="V40" s="267">
        <f t="shared" si="114"/>
        <v>0</v>
      </c>
      <c r="W40" s="273"/>
      <c r="X40" s="4">
        <f t="shared" si="115"/>
        <v>6.926763959542761</v>
      </c>
      <c r="Y40" s="4">
        <f t="shared" si="115"/>
        <v>0</v>
      </c>
      <c r="Z40" s="4">
        <f t="shared" si="116"/>
        <v>34.633819797713805</v>
      </c>
      <c r="AA40" s="267">
        <f t="shared" si="117"/>
        <v>0</v>
      </c>
      <c r="AB40" s="273"/>
      <c r="AC40" s="4">
        <f t="shared" si="118"/>
        <v>7.2505208890815487</v>
      </c>
      <c r="AD40" s="4">
        <f t="shared" si="118"/>
        <v>6.0493176776439777</v>
      </c>
      <c r="AE40" s="4">
        <f t="shared" si="119"/>
        <v>36.252604445407741</v>
      </c>
      <c r="AF40" s="267">
        <f t="shared" si="120"/>
        <v>28.129327201044497</v>
      </c>
      <c r="AG40" s="273"/>
      <c r="AH40" s="4">
        <f t="shared" si="121"/>
        <v>1.2430983952819434</v>
      </c>
      <c r="AI40" s="4">
        <f t="shared" si="121"/>
        <v>7.484259107205709</v>
      </c>
      <c r="AJ40" s="4">
        <f t="shared" si="122"/>
        <v>6.2154919764097176</v>
      </c>
      <c r="AK40" s="267">
        <f t="shared" si="123"/>
        <v>34.801804848506549</v>
      </c>
      <c r="AL40" s="273"/>
      <c r="AM40" s="4">
        <f t="shared" si="124"/>
        <v>0.33428394669567624</v>
      </c>
      <c r="AN40" s="4">
        <f t="shared" si="124"/>
        <v>8.2571608453806249</v>
      </c>
      <c r="AO40" s="4">
        <f t="shared" si="125"/>
        <v>1.6714197334783811</v>
      </c>
      <c r="AP40" s="267">
        <f t="shared" si="126"/>
        <v>38.395797931019906</v>
      </c>
      <c r="AQ40" s="273"/>
      <c r="AR40" s="4">
        <f t="shared" si="127"/>
        <v>0</v>
      </c>
      <c r="AS40" s="4">
        <f t="shared" si="127"/>
        <v>8.3305335465937311</v>
      </c>
      <c r="AT40" s="4">
        <f t="shared" si="128"/>
        <v>0</v>
      </c>
      <c r="AU40" s="267">
        <f t="shared" si="129"/>
        <v>38.73698099166085</v>
      </c>
    </row>
    <row r="41" spans="1:47" x14ac:dyDescent="0.4">
      <c r="B41">
        <v>4</v>
      </c>
      <c r="C41" s="1">
        <v>5.0999999999999996</v>
      </c>
      <c r="D41" s="1">
        <f t="shared" si="104"/>
        <v>4.7430000000000003</v>
      </c>
      <c r="E41" s="4">
        <v>7840</v>
      </c>
      <c r="F41" s="6">
        <v>0.12824077860472724</v>
      </c>
      <c r="H41" s="4">
        <f t="shared" si="105"/>
        <v>7.239143733704096</v>
      </c>
      <c r="I41" s="4">
        <f t="shared" si="106"/>
        <v>0</v>
      </c>
      <c r="J41" s="267">
        <f t="shared" si="107"/>
        <v>36.91963304189089</v>
      </c>
      <c r="K41" s="267">
        <f t="shared" si="27"/>
        <v>0</v>
      </c>
      <c r="L41" s="273"/>
      <c r="M41" s="4">
        <f t="shared" si="108"/>
        <v>7.5692024209484083</v>
      </c>
      <c r="N41" s="4">
        <f t="shared" si="108"/>
        <v>0</v>
      </c>
      <c r="O41" s="4">
        <f t="shared" si="109"/>
        <v>38.60293234683688</v>
      </c>
      <c r="P41" s="267">
        <f t="shared" si="110"/>
        <v>0</v>
      </c>
      <c r="Q41" s="6">
        <f t="shared" si="111"/>
        <v>0.12824077860472724</v>
      </c>
      <c r="R41" s="273"/>
      <c r="S41" s="4">
        <f t="shared" si="112"/>
        <v>7.9174021485354187</v>
      </c>
      <c r="T41" s="4">
        <f t="shared" si="112"/>
        <v>0</v>
      </c>
      <c r="U41" s="4">
        <f t="shared" si="113"/>
        <v>40.378750957530634</v>
      </c>
      <c r="V41" s="267">
        <f t="shared" si="114"/>
        <v>0</v>
      </c>
      <c r="W41" s="273"/>
      <c r="X41" s="4">
        <f t="shared" si="115"/>
        <v>8.2846421728169712</v>
      </c>
      <c r="Y41" s="4">
        <f t="shared" si="115"/>
        <v>0</v>
      </c>
      <c r="Z41" s="4">
        <f t="shared" si="116"/>
        <v>42.25167508136655</v>
      </c>
      <c r="AA41" s="267">
        <f t="shared" si="117"/>
        <v>0</v>
      </c>
      <c r="AB41" s="273"/>
      <c r="AC41" s="4">
        <f t="shared" si="118"/>
        <v>8.6718663265292655</v>
      </c>
      <c r="AD41" s="4">
        <f t="shared" si="118"/>
        <v>7.235186970668007</v>
      </c>
      <c r="AE41" s="4">
        <f t="shared" si="119"/>
        <v>44.226518265299248</v>
      </c>
      <c r="AF41" s="267">
        <f t="shared" si="120"/>
        <v>34.316491801878357</v>
      </c>
      <c r="AG41" s="273"/>
      <c r="AH41" s="4">
        <f t="shared" si="121"/>
        <v>1.4867874018322558</v>
      </c>
      <c r="AI41" s="4">
        <f t="shared" si="121"/>
        <v>8.9514250801667057</v>
      </c>
      <c r="AJ41" s="4">
        <f t="shared" si="122"/>
        <v>7.5826157493445043</v>
      </c>
      <c r="AK41" s="267">
        <f t="shared" si="123"/>
        <v>42.456609155230687</v>
      </c>
      <c r="AL41" s="273"/>
      <c r="AM41" s="4">
        <f t="shared" si="124"/>
        <v>0.39981481954143433</v>
      </c>
      <c r="AN41" s="4">
        <f t="shared" si="124"/>
        <v>9.8758414992805648</v>
      </c>
      <c r="AO41" s="4">
        <f t="shared" si="125"/>
        <v>2.0390555796613148</v>
      </c>
      <c r="AP41" s="267">
        <f t="shared" si="126"/>
        <v>46.841116231087724</v>
      </c>
      <c r="AQ41" s="273"/>
      <c r="AR41" s="4">
        <f t="shared" si="127"/>
        <v>0</v>
      </c>
      <c r="AS41" s="4">
        <f t="shared" si="127"/>
        <v>9.9635977124782382</v>
      </c>
      <c r="AT41" s="4">
        <f t="shared" si="128"/>
        <v>0</v>
      </c>
      <c r="AU41" s="267">
        <f t="shared" si="129"/>
        <v>47.257343950284287</v>
      </c>
    </row>
    <row r="42" spans="1:47" x14ac:dyDescent="0.4">
      <c r="B42">
        <v>5</v>
      </c>
      <c r="C42" s="1">
        <v>5.9</v>
      </c>
      <c r="D42" s="1">
        <f t="shared" si="104"/>
        <v>5.487000000000001</v>
      </c>
      <c r="E42" s="4">
        <v>5709</v>
      </c>
      <c r="F42" s="6">
        <v>9.3383495542651504E-2</v>
      </c>
      <c r="H42" s="4">
        <f t="shared" si="105"/>
        <v>5.2714632111883528</v>
      </c>
      <c r="I42" s="4">
        <f t="shared" si="106"/>
        <v>0</v>
      </c>
      <c r="J42" s="267">
        <f t="shared" si="107"/>
        <v>31.101632946011282</v>
      </c>
      <c r="K42" s="267">
        <f t="shared" si="27"/>
        <v>0</v>
      </c>
      <c r="L42" s="273"/>
      <c r="M42" s="4">
        <f t="shared" si="108"/>
        <v>5.5118082424992938</v>
      </c>
      <c r="N42" s="4">
        <f t="shared" si="108"/>
        <v>0</v>
      </c>
      <c r="O42" s="4">
        <f t="shared" si="109"/>
        <v>32.519668630745834</v>
      </c>
      <c r="P42" s="267">
        <f t="shared" si="110"/>
        <v>0</v>
      </c>
      <c r="Q42" s="6">
        <f t="shared" si="111"/>
        <v>9.3383495542651504E-2</v>
      </c>
      <c r="R42" s="273"/>
      <c r="S42" s="4">
        <f t="shared" si="112"/>
        <v>5.7653633757638652</v>
      </c>
      <c r="T42" s="4">
        <f t="shared" si="112"/>
        <v>0</v>
      </c>
      <c r="U42" s="4">
        <f t="shared" si="113"/>
        <v>34.015643917006805</v>
      </c>
      <c r="V42" s="267">
        <f t="shared" si="114"/>
        <v>0</v>
      </c>
      <c r="W42" s="273"/>
      <c r="X42" s="4">
        <f t="shared" si="115"/>
        <v>6.0327834393637865</v>
      </c>
      <c r="Y42" s="4">
        <f t="shared" si="115"/>
        <v>0</v>
      </c>
      <c r="Z42" s="4">
        <f t="shared" si="116"/>
        <v>35.593422292246345</v>
      </c>
      <c r="AA42" s="267">
        <f t="shared" si="117"/>
        <v>0</v>
      </c>
      <c r="AB42" s="273"/>
      <c r="AC42" s="4">
        <f t="shared" si="118"/>
        <v>6.3147557217035182</v>
      </c>
      <c r="AD42" s="4">
        <f t="shared" si="118"/>
        <v>5.2685819407581187</v>
      </c>
      <c r="AE42" s="4">
        <f t="shared" si="119"/>
        <v>37.257058758050761</v>
      </c>
      <c r="AF42" s="267">
        <f t="shared" si="120"/>
        <v>28.908709108939803</v>
      </c>
      <c r="AG42" s="273"/>
      <c r="AH42" s="4">
        <f t="shared" si="121"/>
        <v>1.0826618975842282</v>
      </c>
      <c r="AI42" s="4">
        <f t="shared" si="121"/>
        <v>6.5183272681979236</v>
      </c>
      <c r="AJ42" s="4">
        <f t="shared" si="122"/>
        <v>6.3877051957469462</v>
      </c>
      <c r="AK42" s="267">
        <f t="shared" si="123"/>
        <v>35.766061720602011</v>
      </c>
      <c r="AL42" s="273"/>
      <c r="AM42" s="4">
        <f t="shared" si="124"/>
        <v>0.29114066387271026</v>
      </c>
      <c r="AN42" s="4">
        <f t="shared" si="124"/>
        <v>7.1914769284939721</v>
      </c>
      <c r="AO42" s="4">
        <f t="shared" si="125"/>
        <v>1.7177299168489906</v>
      </c>
      <c r="AP42" s="267">
        <f t="shared" si="126"/>
        <v>39.459633906646431</v>
      </c>
      <c r="AQ42" s="273"/>
      <c r="AR42" s="4">
        <f t="shared" si="127"/>
        <v>0</v>
      </c>
      <c r="AS42" s="4">
        <f t="shared" si="127"/>
        <v>7.2553800179257983</v>
      </c>
      <c r="AT42" s="4">
        <f t="shared" si="128"/>
        <v>0</v>
      </c>
      <c r="AU42" s="267">
        <f t="shared" si="129"/>
        <v>39.810270158358861</v>
      </c>
    </row>
    <row r="43" spans="1:47" x14ac:dyDescent="0.4">
      <c r="D43" s="1">
        <f t="shared" si="104"/>
        <v>0</v>
      </c>
      <c r="F43" s="6"/>
      <c r="G43" s="4">
        <f>機器台数case３!D34</f>
        <v>112.89924799999999</v>
      </c>
      <c r="H43" s="4">
        <f>G43*(1-G$3)</f>
        <v>112.89924799999999</v>
      </c>
      <c r="I43" s="4">
        <f>G43*$G$3</f>
        <v>0</v>
      </c>
      <c r="J43" s="4">
        <f>SUM(J44:J47)</f>
        <v>240.34878482775218</v>
      </c>
      <c r="K43" s="267">
        <f t="shared" ref="K43:K73" si="130">D43*I43</f>
        <v>0</v>
      </c>
      <c r="L43" s="273">
        <f>機器台数case３!F34</f>
        <v>118.04673214405126</v>
      </c>
      <c r="M43" s="4">
        <f>L43*(1-L$3)</f>
        <v>118.04673214405126</v>
      </c>
      <c r="N43" s="4">
        <f>L43*$G$3</f>
        <v>0</v>
      </c>
      <c r="O43" s="4">
        <f>SUM(O44:O47)</f>
        <v>251.307153292198</v>
      </c>
      <c r="P43" s="4">
        <f>SUM(P44:P47)</f>
        <v>0</v>
      </c>
      <c r="Q43" s="6"/>
      <c r="R43" s="273">
        <f>機器台数case３!H34</f>
        <v>123.4771378445696</v>
      </c>
      <c r="S43" s="4">
        <f>R43*(1-R$3)</f>
        <v>123.4771378445696</v>
      </c>
      <c r="T43" s="4">
        <f>R43*$G$3</f>
        <v>0</v>
      </c>
      <c r="U43" s="4">
        <f>SUM(U44:U47)</f>
        <v>262.86782738314747</v>
      </c>
      <c r="V43" s="4">
        <f>SUM(V44:V47)</f>
        <v>0</v>
      </c>
      <c r="W43" s="273">
        <f>機器台数case３!J34</f>
        <v>129.20448960080753</v>
      </c>
      <c r="X43" s="4">
        <f>W43*(1-W$3)</f>
        <v>129.20448960080753</v>
      </c>
      <c r="Y43" s="4">
        <f>W43*$G$3</f>
        <v>0</v>
      </c>
      <c r="Z43" s="4">
        <f>SUM(Z44:Z47)</f>
        <v>275.06066355591702</v>
      </c>
      <c r="AA43" s="4">
        <f>SUM(AA44:AA47)</f>
        <v>0</v>
      </c>
      <c r="AB43" s="273"/>
      <c r="AC43" s="4">
        <f>機器台数case３!L34</f>
        <v>135.24350711029763</v>
      </c>
      <c r="AD43" s="4">
        <f>機器台数case３!L44</f>
        <v>115.65847814747025</v>
      </c>
      <c r="AE43" s="4">
        <f>SUM(AE44:AE47)</f>
        <v>287.91699825851362</v>
      </c>
      <c r="AF43" s="4">
        <f>SUM(AF44:AF47)</f>
        <v>228.9872510960179</v>
      </c>
      <c r="AG43" s="273">
        <f>機器台数case３!N34</f>
        <v>23.187435666075245</v>
      </c>
      <c r="AH43" s="4">
        <f>機器台数case３!N34</f>
        <v>23.187435666075245</v>
      </c>
      <c r="AI43" s="4">
        <f>機器台数case３!N44</f>
        <v>143.09349657726821</v>
      </c>
      <c r="AJ43" s="4">
        <f>SUM(AJ44:AJ47)</f>
        <v>49.363233895170552</v>
      </c>
      <c r="AK43" s="4">
        <f>SUM(AK44:AK47)</f>
        <v>283.30466521587016</v>
      </c>
      <c r="AL43" s="273">
        <f>機器台数case３!S34</f>
        <v>0</v>
      </c>
      <c r="AM43" s="4">
        <f>機器台数case３!P34</f>
        <v>6.2353772940473435</v>
      </c>
      <c r="AN43" s="4">
        <f>機器台数case３!P44</f>
        <v>157.87080594642356</v>
      </c>
      <c r="AO43" s="4">
        <f>SUM(AO44:AO47)</f>
        <v>13.274360831587089</v>
      </c>
      <c r="AP43" s="4">
        <f>SUM(AP44:AP47)</f>
        <v>312.5616250621149</v>
      </c>
      <c r="AQ43" s="273">
        <f>機器台数case３!X34</f>
        <v>0</v>
      </c>
      <c r="AR43" s="4">
        <f>機器台数case３!R34</f>
        <v>0</v>
      </c>
      <c r="AS43" s="4">
        <f>機器台数case３!R44</f>
        <v>155.38891483478497</v>
      </c>
      <c r="AT43" s="4">
        <f>SUM(AT44:AT47)</f>
        <v>0</v>
      </c>
      <c r="AU43" s="4">
        <f>SUM(AU44:AU47)</f>
        <v>307.64783549582717</v>
      </c>
    </row>
    <row r="44" spans="1:47" x14ac:dyDescent="0.4">
      <c r="A44" t="s">
        <v>6</v>
      </c>
      <c r="B44">
        <v>1.5</v>
      </c>
      <c r="C44" s="1">
        <v>1.8</v>
      </c>
      <c r="D44" s="1">
        <f t="shared" si="104"/>
        <v>1.6740000000000002</v>
      </c>
      <c r="E44" s="4">
        <v>49877</v>
      </c>
      <c r="F44" s="6">
        <f>E44/$A$46</f>
        <v>0.40445183263055468</v>
      </c>
      <c r="H44" s="4">
        <f>F44*H$43</f>
        <v>45.662307756211476</v>
      </c>
      <c r="I44" s="4">
        <f>$F44*I$43</f>
        <v>0</v>
      </c>
      <c r="J44" s="267">
        <f>C44*H44</f>
        <v>82.192153961180665</v>
      </c>
      <c r="K44" s="267">
        <f t="shared" si="130"/>
        <v>0</v>
      </c>
      <c r="L44" s="273"/>
      <c r="M44" s="4">
        <f t="shared" ref="M44:N47" si="131">$F44*M$43</f>
        <v>47.744217151709741</v>
      </c>
      <c r="N44" s="4">
        <f t="shared" si="131"/>
        <v>0</v>
      </c>
      <c r="O44" s="4">
        <f>$C44*$M44</f>
        <v>85.939590873077535</v>
      </c>
      <c r="P44" s="267">
        <f>$D44*$N44</f>
        <v>0</v>
      </c>
      <c r="Q44" s="6">
        <f>E44/$A$38</f>
        <v>0.81585016766173224</v>
      </c>
      <c r="R44" s="273"/>
      <c r="S44" s="4">
        <f t="shared" ref="S44:T47" si="132">$F44*S$43</f>
        <v>49.940554689211794</v>
      </c>
      <c r="T44" s="4">
        <f t="shared" si="132"/>
        <v>0</v>
      </c>
      <c r="U44" s="4">
        <f>$C44*S44</f>
        <v>89.892998440581238</v>
      </c>
      <c r="V44" s="267">
        <f>$D44*T44</f>
        <v>0</v>
      </c>
      <c r="W44" s="273">
        <f>SUM(X44:X47)</f>
        <v>129.20448960080753</v>
      </c>
      <c r="X44" s="4">
        <f t="shared" ref="X44:Y47" si="133">$F44*X$43</f>
        <v>52.256992603142052</v>
      </c>
      <c r="Y44" s="4">
        <f t="shared" si="133"/>
        <v>0</v>
      </c>
      <c r="Z44" s="4">
        <f>$C44*X44</f>
        <v>94.062586685655702</v>
      </c>
      <c r="AA44" s="267">
        <f>$D44*Y44</f>
        <v>0</v>
      </c>
      <c r="AB44" s="273">
        <f>SUM(AC44:AC47)</f>
        <v>135.24350711029763</v>
      </c>
      <c r="AC44" s="4">
        <f t="shared" ref="AC44:AD47" si="134">$F44*AC$43</f>
        <v>54.699484302143325</v>
      </c>
      <c r="AD44" s="4">
        <f t="shared" si="134"/>
        <v>46.778283446005304</v>
      </c>
      <c r="AE44" s="4">
        <f>$C44*AC44</f>
        <v>98.45907174385799</v>
      </c>
      <c r="AF44" s="267">
        <f>$D44*AD44</f>
        <v>78.306846488612891</v>
      </c>
      <c r="AG44" s="273">
        <f>SUM(AH44:AH47)</f>
        <v>23.187435666075249</v>
      </c>
      <c r="AH44" s="4">
        <f t="shared" ref="AH44:AI47" si="135">$F44*AH$43</f>
        <v>9.3782008491472197</v>
      </c>
      <c r="AI44" s="4">
        <f t="shared" si="135"/>
        <v>57.874426928190132</v>
      </c>
      <c r="AJ44" s="4">
        <f>$C44*AH44</f>
        <v>16.880761528464998</v>
      </c>
      <c r="AK44" s="267">
        <f>$D44*AI44</f>
        <v>96.881790677790292</v>
      </c>
      <c r="AL44" s="273">
        <f>SUM(AM44:AM47)</f>
        <v>6.2353772940473444</v>
      </c>
      <c r="AM44" s="4">
        <f t="shared" ref="AM44:AN47" si="136">$F44*AM$43</f>
        <v>2.521909773720397</v>
      </c>
      <c r="AN44" s="4">
        <f t="shared" si="136"/>
        <v>63.851136783893679</v>
      </c>
      <c r="AO44" s="4">
        <f>$C44*AM44</f>
        <v>4.5394375926967152</v>
      </c>
      <c r="AP44" s="267">
        <f>$D44*AN44</f>
        <v>106.88680297623803</v>
      </c>
      <c r="AQ44" s="273">
        <f>SUM(AR44:AR47)</f>
        <v>0</v>
      </c>
      <c r="AR44" s="4">
        <f t="shared" ref="AR44:AS47" si="137">$F44*AR$43</f>
        <v>0</v>
      </c>
      <c r="AS44" s="4">
        <f t="shared" si="137"/>
        <v>62.847331375401964</v>
      </c>
      <c r="AT44" s="4">
        <f>$C44*AR44</f>
        <v>0</v>
      </c>
      <c r="AU44" s="267">
        <f>$D44*AS44</f>
        <v>105.2064327224229</v>
      </c>
    </row>
    <row r="45" spans="1:47" x14ac:dyDescent="0.4">
      <c r="A45" t="s">
        <v>10</v>
      </c>
      <c r="B45">
        <v>2</v>
      </c>
      <c r="C45" s="1">
        <v>2</v>
      </c>
      <c r="D45" s="1">
        <f t="shared" si="104"/>
        <v>1.86</v>
      </c>
      <c r="E45" s="4">
        <v>44700</v>
      </c>
      <c r="F45" s="6">
        <f>E45/$A$46</f>
        <v>0.36247161855335713</v>
      </c>
      <c r="H45" s="4">
        <f>F45*H$43</f>
        <v>40.922773156016866</v>
      </c>
      <c r="I45" s="4">
        <f>$F45*I$43</f>
        <v>0</v>
      </c>
      <c r="J45" s="267">
        <f>C45*H45</f>
        <v>81.845546312033733</v>
      </c>
      <c r="K45" s="267">
        <f t="shared" si="130"/>
        <v>0</v>
      </c>
      <c r="L45" s="273"/>
      <c r="M45" s="4">
        <f t="shared" si="131"/>
        <v>42.78859006518887</v>
      </c>
      <c r="N45" s="4">
        <f t="shared" si="131"/>
        <v>0</v>
      </c>
      <c r="O45" s="4">
        <f>$C45*$M45</f>
        <v>85.577180130377741</v>
      </c>
      <c r="P45" s="267">
        <f>$D45*$N45</f>
        <v>0</v>
      </c>
      <c r="Q45" s="6">
        <f>E45/$A$46</f>
        <v>0.36247161855335713</v>
      </c>
      <c r="R45" s="273"/>
      <c r="S45" s="4">
        <f t="shared" si="132"/>
        <v>44.756958008857133</v>
      </c>
      <c r="T45" s="4">
        <f t="shared" si="132"/>
        <v>0</v>
      </c>
      <c r="U45" s="4">
        <f>$C45*S45</f>
        <v>89.513916017714266</v>
      </c>
      <c r="V45" s="267">
        <f>$D45*T45</f>
        <v>0</v>
      </c>
      <c r="W45" s="273"/>
      <c r="X45" s="4">
        <f t="shared" si="133"/>
        <v>46.832960469965109</v>
      </c>
      <c r="Y45" s="4">
        <f t="shared" si="133"/>
        <v>0</v>
      </c>
      <c r="Z45" s="4">
        <f>$C45*X45</f>
        <v>93.665920939930217</v>
      </c>
      <c r="AA45" s="267">
        <f>$D45*Y45</f>
        <v>0</v>
      </c>
      <c r="AB45" s="273"/>
      <c r="AC45" s="4">
        <f t="shared" si="134"/>
        <v>49.021932921102042</v>
      </c>
      <c r="AD45" s="4">
        <f t="shared" si="134"/>
        <v>41.922915773531628</v>
      </c>
      <c r="AE45" s="4">
        <f>$C45*AC45</f>
        <v>98.043865842204085</v>
      </c>
      <c r="AF45" s="267">
        <f>$D45*AD45</f>
        <v>77.976623338768832</v>
      </c>
      <c r="AG45" s="273"/>
      <c r="AH45" s="4">
        <f t="shared" si="135"/>
        <v>8.4047873359841354</v>
      </c>
      <c r="AI45" s="4">
        <f t="shared" si="135"/>
        <v>51.867331308821676</v>
      </c>
      <c r="AJ45" s="4">
        <f>$C45*AH45</f>
        <v>16.809574671968271</v>
      </c>
      <c r="AK45" s="267">
        <f>$D45*AI45</f>
        <v>96.473236234408319</v>
      </c>
      <c r="AL45" s="273"/>
      <c r="AM45" s="4">
        <f t="shared" si="136"/>
        <v>2.260147300064193</v>
      </c>
      <c r="AN45" s="4">
        <f t="shared" si="136"/>
        <v>57.223686553723105</v>
      </c>
      <c r="AO45" s="4">
        <f>$C45*AM45</f>
        <v>4.5202946001283859</v>
      </c>
      <c r="AP45" s="267">
        <f>$D45*AN45</f>
        <v>106.43605698992498</v>
      </c>
      <c r="AQ45" s="273"/>
      <c r="AR45" s="4">
        <f t="shared" si="137"/>
        <v>0</v>
      </c>
      <c r="AS45" s="4">
        <f t="shared" si="137"/>
        <v>56.324071465414278</v>
      </c>
      <c r="AT45" s="4">
        <f>$C45*AR45</f>
        <v>0</v>
      </c>
      <c r="AU45" s="267">
        <f>$D45*AS45</f>
        <v>104.76277292567056</v>
      </c>
    </row>
    <row r="46" spans="1:47" x14ac:dyDescent="0.4">
      <c r="A46" s="5">
        <f>SUM(E44:E47)</f>
        <v>123320</v>
      </c>
      <c r="B46">
        <v>2.5</v>
      </c>
      <c r="C46" s="1">
        <v>2.9</v>
      </c>
      <c r="D46" s="1">
        <f t="shared" si="104"/>
        <v>2.6970000000000001</v>
      </c>
      <c r="E46" s="4">
        <v>18322</v>
      </c>
      <c r="F46" s="6">
        <f>E46/$A$46</f>
        <v>0.14857281868310088</v>
      </c>
      <c r="H46" s="4">
        <f>F46*H$43</f>
        <v>16.773759502562438</v>
      </c>
      <c r="I46" s="4">
        <f>$F46*I$43</f>
        <v>0</v>
      </c>
      <c r="J46" s="267">
        <f>C46*H46</f>
        <v>48.643902557431069</v>
      </c>
      <c r="K46" s="267">
        <f t="shared" si="130"/>
        <v>0</v>
      </c>
      <c r="L46" s="273"/>
      <c r="M46" s="4">
        <f t="shared" si="131"/>
        <v>17.538535730970704</v>
      </c>
      <c r="N46" s="4">
        <f t="shared" si="131"/>
        <v>0</v>
      </c>
      <c r="O46" s="4">
        <f>$C46*$M46</f>
        <v>50.86175361981504</v>
      </c>
      <c r="P46" s="267">
        <f>$D46*$N46</f>
        <v>0</v>
      </c>
      <c r="Q46" s="6">
        <f>E46/$A$46</f>
        <v>0.14857281868310088</v>
      </c>
      <c r="R46" s="273"/>
      <c r="S46" s="4">
        <f t="shared" si="132"/>
        <v>18.345346412489491</v>
      </c>
      <c r="T46" s="4">
        <f t="shared" si="132"/>
        <v>0</v>
      </c>
      <c r="U46" s="4">
        <f>$C46*S46</f>
        <v>53.201504596219522</v>
      </c>
      <c r="V46" s="267">
        <f>$D46*T46</f>
        <v>0</v>
      </c>
      <c r="W46" s="273"/>
      <c r="X46" s="4">
        <f t="shared" si="133"/>
        <v>19.196275206503369</v>
      </c>
      <c r="Y46" s="4">
        <f t="shared" si="133"/>
        <v>0</v>
      </c>
      <c r="Z46" s="4">
        <f>$C46*X46</f>
        <v>55.669198098859766</v>
      </c>
      <c r="AA46" s="267">
        <f>$D46*Y46</f>
        <v>0</v>
      </c>
      <c r="AB46" s="273"/>
      <c r="AC46" s="4">
        <f t="shared" si="134"/>
        <v>20.093509059964912</v>
      </c>
      <c r="AD46" s="4">
        <f t="shared" si="134"/>
        <v>17.183706102967481</v>
      </c>
      <c r="AE46" s="4">
        <f>$C46*AC46</f>
        <v>58.271176273898242</v>
      </c>
      <c r="AF46" s="267">
        <f>$D46*AD46</f>
        <v>46.344455359703296</v>
      </c>
      <c r="AG46" s="273"/>
      <c r="AH46" s="4">
        <f t="shared" si="135"/>
        <v>3.445022674941864</v>
      </c>
      <c r="AI46" s="4">
        <f t="shared" si="135"/>
        <v>21.259804121705386</v>
      </c>
      <c r="AJ46" s="4">
        <f>$C46*AH46</f>
        <v>9.9905657573314048</v>
      </c>
      <c r="AK46" s="267">
        <f>$D46*AI46</f>
        <v>57.337691716239426</v>
      </c>
      <c r="AL46" s="273"/>
      <c r="AM46" s="4">
        <f t="shared" si="136"/>
        <v>0.9264075801292202</v>
      </c>
      <c r="AN46" s="4">
        <f t="shared" si="136"/>
        <v>23.45531062723299</v>
      </c>
      <c r="AO46" s="4">
        <f>$C46*AM46</f>
        <v>2.6865819823747383</v>
      </c>
      <c r="AP46" s="267">
        <f>$D46*AN46</f>
        <v>63.258972761647378</v>
      </c>
      <c r="AQ46" s="273"/>
      <c r="AR46" s="4">
        <f t="shared" si="137"/>
        <v>0</v>
      </c>
      <c r="AS46" s="4">
        <f t="shared" si="137"/>
        <v>23.086569069112311</v>
      </c>
      <c r="AT46" s="4">
        <f>$C46*AR46</f>
        <v>0</v>
      </c>
      <c r="AU46" s="267">
        <f>$D46*AS46</f>
        <v>62.264476779395906</v>
      </c>
    </row>
    <row r="47" spans="1:47" x14ac:dyDescent="0.4">
      <c r="A47" s="237">
        <f>A46/$E$75</f>
        <v>8.1528332285470809E-2</v>
      </c>
      <c r="B47">
        <v>3</v>
      </c>
      <c r="C47" s="1">
        <v>2.9</v>
      </c>
      <c r="D47" s="1">
        <f t="shared" si="104"/>
        <v>2.6970000000000001</v>
      </c>
      <c r="E47" s="4">
        <v>10421</v>
      </c>
      <c r="F47" s="6">
        <f>E47/$A$46</f>
        <v>8.4503730132987356E-2</v>
      </c>
      <c r="H47" s="4">
        <f>F47*H$43</f>
        <v>9.5404075852092109</v>
      </c>
      <c r="I47" s="4">
        <f>$F47*I$43</f>
        <v>0</v>
      </c>
      <c r="J47" s="267">
        <f>C47*H47</f>
        <v>27.667181997106709</v>
      </c>
      <c r="K47" s="267">
        <f t="shared" si="130"/>
        <v>0</v>
      </c>
      <c r="L47" s="273"/>
      <c r="M47" s="4">
        <f t="shared" si="131"/>
        <v>9.9753891961819523</v>
      </c>
      <c r="N47" s="4">
        <f t="shared" si="131"/>
        <v>0</v>
      </c>
      <c r="O47" s="4">
        <f>$C47*$M47</f>
        <v>28.928628668927661</v>
      </c>
      <c r="P47" s="267">
        <f>$D47*$N47</f>
        <v>0</v>
      </c>
      <c r="Q47" s="6">
        <f>E47/$A$46</f>
        <v>8.4503730132987356E-2</v>
      </c>
      <c r="R47" s="273"/>
      <c r="S47" s="4">
        <f t="shared" si="132"/>
        <v>10.434278734011189</v>
      </c>
      <c r="T47" s="4">
        <f t="shared" si="132"/>
        <v>0</v>
      </c>
      <c r="U47" s="4">
        <f>$C47*S47</f>
        <v>30.259408328632446</v>
      </c>
      <c r="V47" s="267">
        <f>$D47*T47</f>
        <v>0</v>
      </c>
      <c r="W47" s="273"/>
      <c r="X47" s="4">
        <f t="shared" si="133"/>
        <v>10.918261321197011</v>
      </c>
      <c r="Y47" s="4">
        <f t="shared" si="133"/>
        <v>0</v>
      </c>
      <c r="Z47" s="4">
        <f>$C47*X47</f>
        <v>31.662957831471331</v>
      </c>
      <c r="AA47" s="267">
        <f>$D47*Y47</f>
        <v>0</v>
      </c>
      <c r="AB47" s="273"/>
      <c r="AC47" s="4">
        <f t="shared" si="134"/>
        <v>11.428580827087348</v>
      </c>
      <c r="AD47" s="4">
        <f t="shared" si="134"/>
        <v>9.7735728249658411</v>
      </c>
      <c r="AE47" s="4">
        <f>$C47*AC47</f>
        <v>33.142884398553306</v>
      </c>
      <c r="AF47" s="267">
        <f>$D47*AD47</f>
        <v>26.359325908932874</v>
      </c>
      <c r="AG47" s="273"/>
      <c r="AH47" s="4">
        <f t="shared" si="135"/>
        <v>1.9594248060020285</v>
      </c>
      <c r="AI47" s="4">
        <f t="shared" si="135"/>
        <v>12.091934218551023</v>
      </c>
      <c r="AJ47" s="4">
        <f>$C47*AH47</f>
        <v>5.6823319374058823</v>
      </c>
      <c r="AK47" s="267">
        <f>$D47*AI47</f>
        <v>32.611946587432108</v>
      </c>
      <c r="AL47" s="273"/>
      <c r="AM47" s="4">
        <f t="shared" si="136"/>
        <v>0.52691264013353367</v>
      </c>
      <c r="AN47" s="4">
        <f t="shared" si="136"/>
        <v>13.340671981573792</v>
      </c>
      <c r="AO47" s="4">
        <f>$C47*AM47</f>
        <v>1.5280466563872477</v>
      </c>
      <c r="AP47" s="267">
        <f>$D47*AN47</f>
        <v>35.97979233430452</v>
      </c>
      <c r="AQ47" s="273"/>
      <c r="AR47" s="4">
        <f t="shared" si="137"/>
        <v>0</v>
      </c>
      <c r="AS47" s="4">
        <f t="shared" si="137"/>
        <v>13.130942924856425</v>
      </c>
      <c r="AT47" s="4">
        <f>$C47*AR47</f>
        <v>0</v>
      </c>
      <c r="AU47" s="267">
        <f>$D47*AS47</f>
        <v>35.414153068337782</v>
      </c>
    </row>
    <row r="48" spans="1:47" x14ac:dyDescent="0.4">
      <c r="A48" s="237">
        <f>SUM(F44:F47)</f>
        <v>1</v>
      </c>
      <c r="D48" s="1">
        <f t="shared" si="104"/>
        <v>0</v>
      </c>
      <c r="F48" s="6"/>
      <c r="G48" s="4">
        <f>機器台数case３!D35</f>
        <v>231.4434584</v>
      </c>
      <c r="H48" s="4">
        <f>G48*(1-G$3)</f>
        <v>231.4434584</v>
      </c>
      <c r="I48" s="4">
        <f>G48*$G$3</f>
        <v>0</v>
      </c>
      <c r="J48" s="4">
        <f>SUM(J49:J55)</f>
        <v>832.76623488252869</v>
      </c>
      <c r="K48" s="267">
        <f t="shared" si="130"/>
        <v>0</v>
      </c>
      <c r="L48" s="273">
        <f>機器台数case３!F35</f>
        <v>241.99580089530508</v>
      </c>
      <c r="M48" s="4">
        <f>L48*(1-L$3)</f>
        <v>241.99580089530508</v>
      </c>
      <c r="N48" s="4">
        <f>L48*$G$3</f>
        <v>0</v>
      </c>
      <c r="O48" s="4">
        <f>SUM(O49:O55)</f>
        <v>870.73505279493054</v>
      </c>
      <c r="P48" s="4">
        <f>SUM(P49:P55)</f>
        <v>0</v>
      </c>
      <c r="Q48" s="6"/>
      <c r="R48" s="273">
        <f>機器台数case３!H35</f>
        <v>253.12813258136768</v>
      </c>
      <c r="S48" s="4">
        <f>R48*(1-R$3)</f>
        <v>253.12813258136768</v>
      </c>
      <c r="T48" s="4">
        <f>R48*$G$3</f>
        <v>0</v>
      </c>
      <c r="U48" s="4">
        <f>SUM(U49:U55)</f>
        <v>910.79075368945962</v>
      </c>
      <c r="V48" s="4">
        <f>SUM(V49:V55)</f>
        <v>0</v>
      </c>
      <c r="W48" s="273">
        <f>機器台数case３!J35</f>
        <v>264.86920368165545</v>
      </c>
      <c r="X48" s="4">
        <f>W48*(1-W$3)</f>
        <v>264.86920368165545</v>
      </c>
      <c r="Y48" s="4">
        <f>W48*$G$3</f>
        <v>0</v>
      </c>
      <c r="Z48" s="4">
        <f>SUM(Z49:Z55)</f>
        <v>953.0367849286589</v>
      </c>
      <c r="AA48" s="4">
        <f>SUM(AA49:AA55)</f>
        <v>0</v>
      </c>
      <c r="AB48" s="273"/>
      <c r="AC48" s="4">
        <f>機器台数case３!L35</f>
        <v>277.24918957611015</v>
      </c>
      <c r="AD48" s="4">
        <f>機器台数case３!L45</f>
        <v>236.95883327774393</v>
      </c>
      <c r="AE48" s="4">
        <f>SUM(AE49:AE55)</f>
        <v>997.58172178924576</v>
      </c>
      <c r="AF48" s="4">
        <f>SUM(AF49:AF55)</f>
        <v>792.92853900813998</v>
      </c>
      <c r="AG48" s="273">
        <f>機器台数case３!N35</f>
        <v>47.534243115454252</v>
      </c>
      <c r="AH48" s="4">
        <f>機器台数case３!N35</f>
        <v>47.534243115454252</v>
      </c>
      <c r="AI48" s="4">
        <f>機器台数case３!N45</f>
        <v>293.16716371928123</v>
      </c>
      <c r="AJ48" s="4">
        <f>SUM(AJ49:AJ55)</f>
        <v>171.03491686869643</v>
      </c>
      <c r="AK48" s="4">
        <f>SUM(AK49:AK55)</f>
        <v>981.01686101998303</v>
      </c>
      <c r="AL48" s="273">
        <f>機器台数case３!S35</f>
        <v>0</v>
      </c>
      <c r="AM48" s="4">
        <f>機器台数case３!P35</f>
        <v>12.782523452797054</v>
      </c>
      <c r="AN48" s="4">
        <f>機器台数case３!P45</f>
        <v>323.44262681706289</v>
      </c>
      <c r="AO48" s="4">
        <f>SUM(AO49:AO55)</f>
        <v>45.993323819444896</v>
      </c>
      <c r="AP48" s="4">
        <f>SUM(AP49:AP55)</f>
        <v>1082.3267737582039</v>
      </c>
      <c r="AQ48" s="273">
        <f>機器台数case３!X35</f>
        <v>0</v>
      </c>
      <c r="AR48" s="4">
        <f>機器台数case３!R35</f>
        <v>0</v>
      </c>
      <c r="AS48" s="4">
        <f>機器台数case３!R45</f>
        <v>320.48963684674396</v>
      </c>
      <c r="AT48" s="4">
        <f>SUM(AT49:AT55)</f>
        <v>0</v>
      </c>
      <c r="AU48" s="4">
        <f>SUM(AU49:AU55)</f>
        <v>1072.4452682220665</v>
      </c>
    </row>
    <row r="49" spans="1:47" x14ac:dyDescent="0.4">
      <c r="A49" t="s">
        <v>6</v>
      </c>
      <c r="B49">
        <v>1.5</v>
      </c>
      <c r="C49" s="1">
        <v>1.8</v>
      </c>
      <c r="D49" s="1">
        <f t="shared" si="104"/>
        <v>1.6740000000000002</v>
      </c>
      <c r="E49" s="4">
        <v>13841</v>
      </c>
      <c r="F49" s="6">
        <v>5.4543448362829594E-2</v>
      </c>
      <c r="H49" s="4">
        <f t="shared" ref="H49:H55" si="138">F49*H$48</f>
        <v>12.623724322155098</v>
      </c>
      <c r="I49" s="4">
        <f t="shared" ref="I49:I55" si="139">$F49*I$48</f>
        <v>0</v>
      </c>
      <c r="J49" s="267">
        <f t="shared" ref="J49:J55" si="140">C49*H49</f>
        <v>22.722703779879179</v>
      </c>
      <c r="K49" s="267">
        <f t="shared" si="130"/>
        <v>0</v>
      </c>
      <c r="L49" s="273">
        <f>SUM(M49:M55)</f>
        <v>241.99580089530511</v>
      </c>
      <c r="M49" s="4">
        <f t="shared" ref="M49:N55" si="141">$F49*M$48</f>
        <v>13.199285470154665</v>
      </c>
      <c r="N49" s="4">
        <f t="shared" si="141"/>
        <v>0</v>
      </c>
      <c r="O49" s="4">
        <f t="shared" ref="O49:O55" si="142">$C49*M49</f>
        <v>23.758713846278397</v>
      </c>
      <c r="P49" s="267">
        <f t="shared" ref="P49:P55" si="143">$D49*N49</f>
        <v>0</v>
      </c>
      <c r="Q49" s="6">
        <f t="shared" ref="Q49:Q55" si="144">E49/$A$51</f>
        <v>5.4543448362829594E-2</v>
      </c>
      <c r="R49" s="273">
        <f>SUM(S49:S55)</f>
        <v>253.12813258136768</v>
      </c>
      <c r="S49" s="4">
        <f t="shared" ref="S49:T55" si="145">$F49*S$48</f>
        <v>13.806481228631311</v>
      </c>
      <c r="T49" s="4">
        <f t="shared" si="145"/>
        <v>0</v>
      </c>
      <c r="U49" s="4">
        <f t="shared" ref="U49:U55" si="146">$C49*S49</f>
        <v>24.851666211536362</v>
      </c>
      <c r="V49" s="267">
        <f t="shared" ref="V49:V55" si="147">$D49*T49</f>
        <v>0</v>
      </c>
      <c r="W49" s="273">
        <f>SUM(X49:X55)</f>
        <v>264.86920368165545</v>
      </c>
      <c r="X49" s="4">
        <f t="shared" ref="X49:Y55" si="148">$F49*X$48</f>
        <v>14.446879733914168</v>
      </c>
      <c r="Y49" s="4">
        <f t="shared" si="148"/>
        <v>0</v>
      </c>
      <c r="Z49" s="4">
        <f t="shared" ref="Z49:Z55" si="149">$C49*X49</f>
        <v>26.004383521045501</v>
      </c>
      <c r="AA49" s="267">
        <f t="shared" ref="AA49:AA55" si="150">$D49*Y49</f>
        <v>0</v>
      </c>
      <c r="AB49" s="273">
        <f>SUM(AC49:AC55)</f>
        <v>277.24918957611015</v>
      </c>
      <c r="AC49" s="4">
        <f t="shared" ref="AC49:AD55" si="151">$F49*AC$48</f>
        <v>15.122126855280918</v>
      </c>
      <c r="AD49" s="4">
        <f t="shared" si="151"/>
        <v>12.924551887000973</v>
      </c>
      <c r="AE49" s="4">
        <f t="shared" ref="AE49:AE55" si="152">$C49*AC49</f>
        <v>27.219828339505654</v>
      </c>
      <c r="AF49" s="267">
        <f t="shared" ref="AF49:AF55" si="153">$D49*AD49</f>
        <v>21.635699858839629</v>
      </c>
      <c r="AG49" s="273">
        <f>SUM(AH49:AH55)</f>
        <v>47.53424311545426</v>
      </c>
      <c r="AH49" s="4">
        <f t="shared" ref="AH49:AI55" si="154">$F49*AH$48</f>
        <v>2.5926815348339671</v>
      </c>
      <c r="AI49" s="4">
        <f t="shared" si="154"/>
        <v>15.990348055999826</v>
      </c>
      <c r="AJ49" s="4">
        <f t="shared" ref="AJ49:AJ55" si="155">$C49*AH49</f>
        <v>4.6668267627011408</v>
      </c>
      <c r="AK49" s="267">
        <f t="shared" ref="AK49:AK55" si="156">$D49*AI49</f>
        <v>26.767842645743713</v>
      </c>
      <c r="AL49" s="273">
        <f>SUM(AM49:AM55)</f>
        <v>12.782523452797054</v>
      </c>
      <c r="AM49" s="4">
        <f t="shared" ref="AM49:AN55" si="157">$F49*AM$48</f>
        <v>0.6972029078942944</v>
      </c>
      <c r="AN49" s="4">
        <f t="shared" si="157"/>
        <v>17.641676214134431</v>
      </c>
      <c r="AO49" s="4">
        <f t="shared" ref="AO49:AO55" si="158">$C49*AM49</f>
        <v>1.2549652342097299</v>
      </c>
      <c r="AP49" s="267">
        <f t="shared" ref="AP49:AP55" si="159">$D49*AN49</f>
        <v>29.532165982461041</v>
      </c>
      <c r="AQ49" s="273">
        <f>SUM(AR49:AR55)</f>
        <v>0</v>
      </c>
      <c r="AR49" s="4">
        <f t="shared" ref="AR49:AS55" si="160">$F49*AR$48</f>
        <v>0</v>
      </c>
      <c r="AS49" s="4">
        <f t="shared" si="160"/>
        <v>17.480609958172387</v>
      </c>
      <c r="AT49" s="4">
        <f t="shared" ref="AT49:AT55" si="161">$C49*AR49</f>
        <v>0</v>
      </c>
      <c r="AU49" s="267">
        <f t="shared" ref="AU49:AU55" si="162">$D49*AS49</f>
        <v>29.262541069980578</v>
      </c>
    </row>
    <row r="50" spans="1:47" x14ac:dyDescent="0.4">
      <c r="A50" t="s">
        <v>11</v>
      </c>
      <c r="B50">
        <v>2</v>
      </c>
      <c r="C50" s="1">
        <v>2</v>
      </c>
      <c r="D50" s="1">
        <f t="shared" si="104"/>
        <v>1.86</v>
      </c>
      <c r="E50" s="4">
        <v>43671</v>
      </c>
      <c r="F50" s="6">
        <v>0.17209500277820469</v>
      </c>
      <c r="H50" s="4">
        <f t="shared" si="138"/>
        <v>39.830262616345301</v>
      </c>
      <c r="I50" s="4">
        <f t="shared" si="139"/>
        <v>0</v>
      </c>
      <c r="J50" s="267">
        <f t="shared" si="140"/>
        <v>79.660525232690603</v>
      </c>
      <c r="K50" s="267">
        <f t="shared" si="130"/>
        <v>0</v>
      </c>
      <c r="L50" s="273"/>
      <c r="M50" s="4">
        <f t="shared" si="141"/>
        <v>41.6462680273914</v>
      </c>
      <c r="N50" s="4">
        <f t="shared" si="141"/>
        <v>0</v>
      </c>
      <c r="O50" s="4">
        <f t="shared" si="142"/>
        <v>83.292536054782801</v>
      </c>
      <c r="P50" s="267">
        <f t="shared" si="143"/>
        <v>0</v>
      </c>
      <c r="Q50" s="6">
        <f t="shared" si="144"/>
        <v>0.17209500277820469</v>
      </c>
      <c r="R50" s="273"/>
      <c r="S50" s="4">
        <f t="shared" si="145"/>
        <v>43.562086679832234</v>
      </c>
      <c r="T50" s="4">
        <f t="shared" si="145"/>
        <v>0</v>
      </c>
      <c r="U50" s="4">
        <f t="shared" si="146"/>
        <v>87.124173359664468</v>
      </c>
      <c r="V50" s="267">
        <f t="shared" si="147"/>
        <v>0</v>
      </c>
      <c r="W50" s="273"/>
      <c r="X50" s="4">
        <f t="shared" si="148"/>
        <v>45.582666343455358</v>
      </c>
      <c r="Y50" s="4">
        <f t="shared" si="148"/>
        <v>0</v>
      </c>
      <c r="Z50" s="4">
        <f t="shared" si="149"/>
        <v>91.165332686910716</v>
      </c>
      <c r="AA50" s="267">
        <f t="shared" si="150"/>
        <v>0</v>
      </c>
      <c r="AB50" s="273"/>
      <c r="AC50" s="4">
        <f t="shared" si="151"/>
        <v>47.713200050355674</v>
      </c>
      <c r="AD50" s="4">
        <f t="shared" si="151"/>
        <v>40.779431071253484</v>
      </c>
      <c r="AE50" s="4">
        <f t="shared" si="152"/>
        <v>95.426400100711348</v>
      </c>
      <c r="AF50" s="267">
        <f t="shared" si="153"/>
        <v>75.849741792531489</v>
      </c>
      <c r="AG50" s="273"/>
      <c r="AH50" s="4">
        <f t="shared" si="154"/>
        <v>8.1804057010139566</v>
      </c>
      <c r="AI50" s="4">
        <f t="shared" si="154"/>
        <v>50.452603854748091</v>
      </c>
      <c r="AJ50" s="4">
        <f t="shared" si="155"/>
        <v>16.360811402027913</v>
      </c>
      <c r="AK50" s="267">
        <f t="shared" si="156"/>
        <v>93.841843169831449</v>
      </c>
      <c r="AL50" s="273"/>
      <c r="AM50" s="4">
        <f t="shared" si="157"/>
        <v>2.1998084091215757</v>
      </c>
      <c r="AN50" s="4">
        <f t="shared" si="157"/>
        <v>55.662859760672262</v>
      </c>
      <c r="AO50" s="4">
        <f t="shared" si="158"/>
        <v>4.3996168182431514</v>
      </c>
      <c r="AP50" s="267">
        <f t="shared" si="159"/>
        <v>103.53291915485042</v>
      </c>
      <c r="AQ50" s="273"/>
      <c r="AR50" s="4">
        <f t="shared" si="160"/>
        <v>0</v>
      </c>
      <c r="AS50" s="4">
        <f t="shared" si="160"/>
        <v>55.154664943526214</v>
      </c>
      <c r="AT50" s="4">
        <f t="shared" si="161"/>
        <v>0</v>
      </c>
      <c r="AU50" s="267">
        <f t="shared" si="162"/>
        <v>102.58767679495877</v>
      </c>
    </row>
    <row r="51" spans="1:47" x14ac:dyDescent="0.4">
      <c r="A51" s="5">
        <f>SUM(E49:E55)</f>
        <v>253761</v>
      </c>
      <c r="B51">
        <v>2.5</v>
      </c>
      <c r="C51" s="1">
        <v>2.9</v>
      </c>
      <c r="D51" s="1">
        <f t="shared" si="104"/>
        <v>2.6970000000000001</v>
      </c>
      <c r="E51" s="4">
        <v>45259</v>
      </c>
      <c r="F51" s="6">
        <v>0.1783528595804714</v>
      </c>
      <c r="H51" s="4">
        <f t="shared" si="138"/>
        <v>41.278602636833874</v>
      </c>
      <c r="I51" s="4">
        <f t="shared" si="139"/>
        <v>0</v>
      </c>
      <c r="J51" s="267">
        <f t="shared" si="140"/>
        <v>119.70794764681823</v>
      </c>
      <c r="K51" s="267">
        <f t="shared" si="130"/>
        <v>0</v>
      </c>
      <c r="L51" s="273"/>
      <c r="M51" s="4">
        <f t="shared" si="141"/>
        <v>43.160643096144064</v>
      </c>
      <c r="N51" s="4">
        <f t="shared" si="141"/>
        <v>0</v>
      </c>
      <c r="O51" s="4">
        <f t="shared" si="142"/>
        <v>125.16586497881778</v>
      </c>
      <c r="P51" s="267">
        <f t="shared" si="143"/>
        <v>0</v>
      </c>
      <c r="Q51" s="6">
        <f t="shared" si="144"/>
        <v>0.1783528595804714</v>
      </c>
      <c r="R51" s="273"/>
      <c r="S51" s="4">
        <f t="shared" si="145"/>
        <v>45.146126286151613</v>
      </c>
      <c r="T51" s="4">
        <f t="shared" si="145"/>
        <v>0</v>
      </c>
      <c r="U51" s="4">
        <f t="shared" si="146"/>
        <v>130.92376622983969</v>
      </c>
      <c r="V51" s="267">
        <f t="shared" si="147"/>
        <v>0</v>
      </c>
      <c r="W51" s="273"/>
      <c r="X51" s="4">
        <f t="shared" si="148"/>
        <v>47.240179891425569</v>
      </c>
      <c r="Y51" s="4">
        <f t="shared" si="148"/>
        <v>0</v>
      </c>
      <c r="Z51" s="4">
        <f t="shared" si="149"/>
        <v>136.99652168513416</v>
      </c>
      <c r="AA51" s="267">
        <f t="shared" si="150"/>
        <v>0</v>
      </c>
      <c r="AB51" s="273"/>
      <c r="AC51" s="4">
        <f t="shared" si="151"/>
        <v>49.448185777267469</v>
      </c>
      <c r="AD51" s="4">
        <f t="shared" si="151"/>
        <v>42.262285517937798</v>
      </c>
      <c r="AE51" s="4">
        <f t="shared" si="152"/>
        <v>143.39973875407566</v>
      </c>
      <c r="AF51" s="267">
        <f t="shared" si="153"/>
        <v>113.98138404187824</v>
      </c>
      <c r="AG51" s="273"/>
      <c r="AH51" s="4">
        <f t="shared" si="154"/>
        <v>8.477868187634602</v>
      </c>
      <c r="AI51" s="4">
        <f t="shared" si="154"/>
        <v>52.287201984430034</v>
      </c>
      <c r="AJ51" s="4">
        <f t="shared" si="155"/>
        <v>24.585817744140346</v>
      </c>
      <c r="AK51" s="267">
        <f t="shared" si="156"/>
        <v>141.0185837520078</v>
      </c>
      <c r="AL51" s="273"/>
      <c r="AM51" s="4">
        <f t="shared" si="157"/>
        <v>2.2797996104607954</v>
      </c>
      <c r="AN51" s="4">
        <f t="shared" si="157"/>
        <v>57.686917403042429</v>
      </c>
      <c r="AO51" s="4">
        <f t="shared" si="158"/>
        <v>6.6114188703363066</v>
      </c>
      <c r="AP51" s="267">
        <f t="shared" si="159"/>
        <v>155.58161623600543</v>
      </c>
      <c r="AQ51" s="273"/>
      <c r="AR51" s="4">
        <f t="shared" si="160"/>
        <v>0</v>
      </c>
      <c r="AS51" s="4">
        <f t="shared" si="160"/>
        <v>57.160243197523599</v>
      </c>
      <c r="AT51" s="4">
        <f t="shared" si="161"/>
        <v>0</v>
      </c>
      <c r="AU51" s="267">
        <f t="shared" si="162"/>
        <v>154.16117590372116</v>
      </c>
    </row>
    <row r="52" spans="1:47" x14ac:dyDescent="0.4">
      <c r="A52" s="237">
        <f>A51/$E$75</f>
        <v>0.16776444314866493</v>
      </c>
      <c r="B52">
        <v>3</v>
      </c>
      <c r="C52" s="1">
        <v>2.9</v>
      </c>
      <c r="D52" s="1">
        <f t="shared" si="104"/>
        <v>2.6970000000000001</v>
      </c>
      <c r="E52" s="4">
        <v>54168</v>
      </c>
      <c r="F52" s="6">
        <v>0.21346069727026612</v>
      </c>
      <c r="H52" s="4">
        <f t="shared" si="138"/>
        <v>49.404082008705828</v>
      </c>
      <c r="I52" s="4">
        <f t="shared" si="139"/>
        <v>0</v>
      </c>
      <c r="J52" s="267">
        <f t="shared" si="140"/>
        <v>143.27183782524691</v>
      </c>
      <c r="K52" s="267">
        <f t="shared" si="130"/>
        <v>0</v>
      </c>
      <c r="L52" s="273"/>
      <c r="M52" s="4">
        <f t="shared" si="141"/>
        <v>51.656592395588312</v>
      </c>
      <c r="N52" s="4">
        <f t="shared" si="141"/>
        <v>0</v>
      </c>
      <c r="O52" s="4">
        <f t="shared" si="142"/>
        <v>149.80411794720609</v>
      </c>
      <c r="P52" s="267">
        <f t="shared" si="143"/>
        <v>0</v>
      </c>
      <c r="Q52" s="6">
        <f t="shared" si="144"/>
        <v>0.21346069727026612</v>
      </c>
      <c r="R52" s="273"/>
      <c r="S52" s="4">
        <f t="shared" si="145"/>
        <v>54.032907679539115</v>
      </c>
      <c r="T52" s="4">
        <f t="shared" si="145"/>
        <v>0</v>
      </c>
      <c r="U52" s="4">
        <f t="shared" si="146"/>
        <v>156.69543227066342</v>
      </c>
      <c r="V52" s="267">
        <f t="shared" si="147"/>
        <v>0</v>
      </c>
      <c r="W52" s="273"/>
      <c r="X52" s="4">
        <f t="shared" si="148"/>
        <v>56.539164903306308</v>
      </c>
      <c r="Y52" s="4">
        <f t="shared" si="148"/>
        <v>0</v>
      </c>
      <c r="Z52" s="4">
        <f t="shared" si="149"/>
        <v>163.9635782195883</v>
      </c>
      <c r="AA52" s="267">
        <f t="shared" si="150"/>
        <v>0</v>
      </c>
      <c r="AB52" s="273"/>
      <c r="AC52" s="4">
        <f t="shared" si="151"/>
        <v>59.181805324532668</v>
      </c>
      <c r="AD52" s="4">
        <f t="shared" si="151"/>
        <v>50.581397775815958</v>
      </c>
      <c r="AE52" s="4">
        <f t="shared" si="152"/>
        <v>171.62723544114473</v>
      </c>
      <c r="AF52" s="267">
        <f t="shared" si="153"/>
        <v>136.41802980137564</v>
      </c>
      <c r="AG52" s="273"/>
      <c r="AH52" s="4">
        <f t="shared" si="154"/>
        <v>10.146692679639212</v>
      </c>
      <c r="AI52" s="4">
        <f t="shared" si="154"/>
        <v>62.579667184264039</v>
      </c>
      <c r="AJ52" s="4">
        <f t="shared" si="155"/>
        <v>29.425408770953716</v>
      </c>
      <c r="AK52" s="267">
        <f t="shared" si="156"/>
        <v>168.77736239596013</v>
      </c>
      <c r="AL52" s="273"/>
      <c r="AM52" s="4">
        <f t="shared" si="157"/>
        <v>2.7285663691075888</v>
      </c>
      <c r="AN52" s="4">
        <f t="shared" si="157"/>
        <v>69.042288647296715</v>
      </c>
      <c r="AO52" s="4">
        <f t="shared" si="158"/>
        <v>7.9128424704120075</v>
      </c>
      <c r="AP52" s="267">
        <f t="shared" si="159"/>
        <v>186.20705248175923</v>
      </c>
      <c r="AQ52" s="273"/>
      <c r="AR52" s="4">
        <f t="shared" si="160"/>
        <v>0</v>
      </c>
      <c r="AS52" s="4">
        <f t="shared" si="160"/>
        <v>68.411941349200333</v>
      </c>
      <c r="AT52" s="4">
        <f t="shared" si="161"/>
        <v>0</v>
      </c>
      <c r="AU52" s="267">
        <f t="shared" si="162"/>
        <v>184.50700581879332</v>
      </c>
    </row>
    <row r="53" spans="1:47" x14ac:dyDescent="0.4">
      <c r="B53">
        <v>3.5</v>
      </c>
      <c r="C53" s="1">
        <v>5</v>
      </c>
      <c r="D53" s="1">
        <f t="shared" si="104"/>
        <v>4.6500000000000004</v>
      </c>
      <c r="E53" s="4">
        <v>32408</v>
      </c>
      <c r="F53" s="6">
        <v>0.12771071992938238</v>
      </c>
      <c r="H53" s="4">
        <f t="shared" si="138"/>
        <v>29.557810695210062</v>
      </c>
      <c r="I53" s="4">
        <f t="shared" si="139"/>
        <v>0</v>
      </c>
      <c r="J53" s="267">
        <f t="shared" si="140"/>
        <v>147.7890534760503</v>
      </c>
      <c r="K53" s="267">
        <f t="shared" si="130"/>
        <v>0</v>
      </c>
      <c r="L53" s="273"/>
      <c r="M53" s="4">
        <f t="shared" si="141"/>
        <v>30.90545795222689</v>
      </c>
      <c r="N53" s="4">
        <f t="shared" si="141"/>
        <v>0</v>
      </c>
      <c r="O53" s="4">
        <f t="shared" si="142"/>
        <v>154.52728976113445</v>
      </c>
      <c r="P53" s="267">
        <f t="shared" si="143"/>
        <v>0</v>
      </c>
      <c r="Q53" s="6">
        <f t="shared" si="144"/>
        <v>0.12771071992938238</v>
      </c>
      <c r="R53" s="273"/>
      <c r="S53" s="4">
        <f t="shared" si="145"/>
        <v>32.327176046346615</v>
      </c>
      <c r="T53" s="4">
        <f t="shared" si="145"/>
        <v>0</v>
      </c>
      <c r="U53" s="4">
        <f t="shared" si="146"/>
        <v>161.63588023173307</v>
      </c>
      <c r="V53" s="267">
        <f t="shared" si="147"/>
        <v>0</v>
      </c>
      <c r="W53" s="273"/>
      <c r="X53" s="4">
        <f t="shared" si="148"/>
        <v>33.826636689306433</v>
      </c>
      <c r="Y53" s="4">
        <f t="shared" si="148"/>
        <v>0</v>
      </c>
      <c r="Z53" s="4">
        <f t="shared" si="149"/>
        <v>169.13318344653217</v>
      </c>
      <c r="AA53" s="267">
        <f t="shared" si="150"/>
        <v>0</v>
      </c>
      <c r="AB53" s="273"/>
      <c r="AC53" s="4">
        <f t="shared" si="151"/>
        <v>35.40769360060284</v>
      </c>
      <c r="AD53" s="4">
        <f t="shared" si="151"/>
        <v>30.262183191527168</v>
      </c>
      <c r="AE53" s="4">
        <f t="shared" si="152"/>
        <v>177.0384680030142</v>
      </c>
      <c r="AF53" s="267">
        <f t="shared" si="153"/>
        <v>140.71915184060134</v>
      </c>
      <c r="AG53" s="273"/>
      <c r="AH53" s="4">
        <f t="shared" si="154"/>
        <v>6.0706324095729505</v>
      </c>
      <c r="AI53" s="4">
        <f t="shared" si="154"/>
        <v>37.440589538244517</v>
      </c>
      <c r="AJ53" s="4">
        <f t="shared" si="155"/>
        <v>30.353162047864753</v>
      </c>
      <c r="AK53" s="267">
        <f t="shared" si="156"/>
        <v>174.09874135283701</v>
      </c>
      <c r="AL53" s="273"/>
      <c r="AM53" s="4">
        <f t="shared" si="157"/>
        <v>1.6324652726709263</v>
      </c>
      <c r="AN53" s="4">
        <f t="shared" si="157"/>
        <v>41.307090726657663</v>
      </c>
      <c r="AO53" s="4">
        <f t="shared" si="158"/>
        <v>8.1623263633546319</v>
      </c>
      <c r="AP53" s="267">
        <f t="shared" si="159"/>
        <v>192.07797187895815</v>
      </c>
      <c r="AQ53" s="273"/>
      <c r="AR53" s="4">
        <f t="shared" si="160"/>
        <v>0</v>
      </c>
      <c r="AS53" s="4">
        <f t="shared" si="160"/>
        <v>40.929962251603982</v>
      </c>
      <c r="AT53" s="4">
        <f t="shared" si="161"/>
        <v>0</v>
      </c>
      <c r="AU53" s="267">
        <f t="shared" si="162"/>
        <v>190.32432446995853</v>
      </c>
    </row>
    <row r="54" spans="1:47" x14ac:dyDescent="0.4">
      <c r="B54">
        <v>4</v>
      </c>
      <c r="C54" s="1">
        <v>5.0999999999999996</v>
      </c>
      <c r="D54" s="1">
        <f t="shared" si="104"/>
        <v>4.7430000000000003</v>
      </c>
      <c r="E54" s="4">
        <v>37011</v>
      </c>
      <c r="F54" s="6">
        <v>0.14584983508104082</v>
      </c>
      <c r="H54" s="4">
        <f t="shared" si="138"/>
        <v>33.755990238225735</v>
      </c>
      <c r="I54" s="4">
        <f t="shared" si="139"/>
        <v>0</v>
      </c>
      <c r="J54" s="267">
        <f t="shared" si="140"/>
        <v>172.15555021495123</v>
      </c>
      <c r="K54" s="267">
        <f t="shared" si="130"/>
        <v>0</v>
      </c>
      <c r="L54" s="273"/>
      <c r="M54" s="4">
        <f t="shared" si="141"/>
        <v>35.295047650884641</v>
      </c>
      <c r="N54" s="4">
        <f t="shared" si="141"/>
        <v>0</v>
      </c>
      <c r="O54" s="4">
        <f t="shared" si="142"/>
        <v>180.00474301951166</v>
      </c>
      <c r="P54" s="267">
        <f t="shared" si="143"/>
        <v>0</v>
      </c>
      <c r="Q54" s="6">
        <f t="shared" si="144"/>
        <v>0.14584983508104082</v>
      </c>
      <c r="R54" s="273"/>
      <c r="S54" s="4">
        <f t="shared" si="145"/>
        <v>36.918696391364314</v>
      </c>
      <c r="T54" s="4">
        <f t="shared" si="145"/>
        <v>0</v>
      </c>
      <c r="U54" s="4">
        <f t="shared" si="146"/>
        <v>188.28535159595799</v>
      </c>
      <c r="V54" s="267">
        <f t="shared" si="147"/>
        <v>0</v>
      </c>
      <c r="W54" s="273"/>
      <c r="X54" s="4">
        <f t="shared" si="148"/>
        <v>38.631129675016055</v>
      </c>
      <c r="Y54" s="4">
        <f t="shared" si="148"/>
        <v>0</v>
      </c>
      <c r="Z54" s="4">
        <f t="shared" si="149"/>
        <v>197.01876134258185</v>
      </c>
      <c r="AA54" s="267">
        <f t="shared" si="150"/>
        <v>0</v>
      </c>
      <c r="AB54" s="273"/>
      <c r="AC54" s="4">
        <f t="shared" si="151"/>
        <v>40.436748576027888</v>
      </c>
      <c r="AD54" s="4">
        <f t="shared" si="151"/>
        <v>34.560406754554798</v>
      </c>
      <c r="AE54" s="4">
        <f t="shared" si="152"/>
        <v>206.22741773774223</v>
      </c>
      <c r="AF54" s="267">
        <f t="shared" si="153"/>
        <v>163.92000923685342</v>
      </c>
      <c r="AG54" s="273"/>
      <c r="AH54" s="4">
        <f t="shared" si="154"/>
        <v>6.9328615190911025</v>
      </c>
      <c r="AI54" s="4">
        <f t="shared" si="154"/>
        <v>42.75838247963366</v>
      </c>
      <c r="AJ54" s="4">
        <f t="shared" si="155"/>
        <v>35.357593747364618</v>
      </c>
      <c r="AK54" s="267">
        <f t="shared" si="156"/>
        <v>202.80300810090247</v>
      </c>
      <c r="AL54" s="273"/>
      <c r="AM54" s="4">
        <f t="shared" si="157"/>
        <v>1.864328937509987</v>
      </c>
      <c r="AN54" s="4">
        <f t="shared" si="157"/>
        <v>47.174053779447256</v>
      </c>
      <c r="AO54" s="4">
        <f t="shared" si="158"/>
        <v>9.5080775813009328</v>
      </c>
      <c r="AP54" s="267">
        <f t="shared" si="159"/>
        <v>223.74653707591835</v>
      </c>
      <c r="AQ54" s="273"/>
      <c r="AR54" s="4">
        <f t="shared" si="160"/>
        <v>0</v>
      </c>
      <c r="AS54" s="4">
        <f t="shared" si="160"/>
        <v>46.743360679280272</v>
      </c>
      <c r="AT54" s="4">
        <f t="shared" si="161"/>
        <v>0</v>
      </c>
      <c r="AU54" s="267">
        <f t="shared" si="162"/>
        <v>221.70375970182636</v>
      </c>
    </row>
    <row r="55" spans="1:47" x14ac:dyDescent="0.4">
      <c r="B55">
        <v>5</v>
      </c>
      <c r="C55" s="1">
        <v>5.9</v>
      </c>
      <c r="D55" s="1">
        <f t="shared" si="104"/>
        <v>5.487000000000001</v>
      </c>
      <c r="E55" s="4">
        <v>27403</v>
      </c>
      <c r="F55" s="6">
        <v>0.10798743699780503</v>
      </c>
      <c r="H55" s="4">
        <f t="shared" si="138"/>
        <v>24.992985882524106</v>
      </c>
      <c r="I55" s="4">
        <f t="shared" si="139"/>
        <v>0</v>
      </c>
      <c r="J55" s="267">
        <f t="shared" si="140"/>
        <v>147.45861670689223</v>
      </c>
      <c r="K55" s="267">
        <f t="shared" si="130"/>
        <v>0</v>
      </c>
      <c r="L55" s="273"/>
      <c r="M55" s="4">
        <f t="shared" si="141"/>
        <v>26.132506302915125</v>
      </c>
      <c r="N55" s="4">
        <f t="shared" si="141"/>
        <v>0</v>
      </c>
      <c r="O55" s="4">
        <f t="shared" si="142"/>
        <v>154.18178718719926</v>
      </c>
      <c r="P55" s="267">
        <f t="shared" si="143"/>
        <v>0</v>
      </c>
      <c r="Q55" s="6">
        <f t="shared" si="144"/>
        <v>0.10798743699780503</v>
      </c>
      <c r="R55" s="273"/>
      <c r="S55" s="4">
        <f t="shared" si="145"/>
        <v>27.33465826950248</v>
      </c>
      <c r="T55" s="4">
        <f t="shared" si="145"/>
        <v>0</v>
      </c>
      <c r="U55" s="4">
        <f t="shared" si="146"/>
        <v>161.27448379006464</v>
      </c>
      <c r="V55" s="267">
        <f t="shared" si="147"/>
        <v>0</v>
      </c>
      <c r="W55" s="273"/>
      <c r="X55" s="4">
        <f t="shared" si="148"/>
        <v>28.602546445231553</v>
      </c>
      <c r="Y55" s="4">
        <f t="shared" si="148"/>
        <v>0</v>
      </c>
      <c r="Z55" s="4">
        <f t="shared" si="149"/>
        <v>168.75502402686618</v>
      </c>
      <c r="AA55" s="267">
        <f t="shared" si="150"/>
        <v>0</v>
      </c>
      <c r="AB55" s="273"/>
      <c r="AC55" s="4">
        <f t="shared" si="151"/>
        <v>29.939429392042697</v>
      </c>
      <c r="AD55" s="4">
        <f t="shared" si="151"/>
        <v>25.588577079653756</v>
      </c>
      <c r="AE55" s="4">
        <f t="shared" si="152"/>
        <v>176.64263341305193</v>
      </c>
      <c r="AF55" s="267">
        <f t="shared" si="153"/>
        <v>140.40452243606018</v>
      </c>
      <c r="AG55" s="273"/>
      <c r="AH55" s="4">
        <f t="shared" si="154"/>
        <v>5.1331010836684632</v>
      </c>
      <c r="AI55" s="4">
        <f t="shared" si="154"/>
        <v>31.658370621961073</v>
      </c>
      <c r="AJ55" s="4">
        <f t="shared" si="155"/>
        <v>30.285296393643936</v>
      </c>
      <c r="AK55" s="267">
        <f t="shared" si="156"/>
        <v>173.70947960270044</v>
      </c>
      <c r="AL55" s="273"/>
      <c r="AM55" s="4">
        <f t="shared" si="157"/>
        <v>1.3803519460318872</v>
      </c>
      <c r="AN55" s="4">
        <f t="shared" si="157"/>
        <v>34.927740285812142</v>
      </c>
      <c r="AO55" s="4">
        <f t="shared" si="158"/>
        <v>8.1440764815881348</v>
      </c>
      <c r="AP55" s="267">
        <f t="shared" si="159"/>
        <v>191.64851094825127</v>
      </c>
      <c r="AQ55" s="273"/>
      <c r="AR55" s="4">
        <f t="shared" si="160"/>
        <v>0</v>
      </c>
      <c r="AS55" s="4">
        <f t="shared" si="160"/>
        <v>34.608854467437176</v>
      </c>
      <c r="AT55" s="4">
        <f t="shared" si="161"/>
        <v>0</v>
      </c>
      <c r="AU55" s="267">
        <f t="shared" si="162"/>
        <v>189.89878446282782</v>
      </c>
    </row>
    <row r="56" spans="1:47" s="274" customFormat="1" x14ac:dyDescent="0.4">
      <c r="C56" s="275"/>
      <c r="D56" s="275">
        <f t="shared" si="104"/>
        <v>0</v>
      </c>
      <c r="E56" s="276"/>
      <c r="F56" s="277"/>
      <c r="G56" s="276">
        <f>機器台数case３!D20</f>
        <v>28</v>
      </c>
      <c r="H56" s="276">
        <f>G56*(1-G$3)</f>
        <v>28</v>
      </c>
      <c r="I56" s="276">
        <f>G56*G$3</f>
        <v>0</v>
      </c>
      <c r="J56" s="276">
        <f>SUM(J57:J63)</f>
        <v>75.263999999999996</v>
      </c>
      <c r="K56" s="278">
        <f t="shared" si="130"/>
        <v>0</v>
      </c>
      <c r="L56" s="279">
        <f>機器台数case３!F20</f>
        <v>35</v>
      </c>
      <c r="M56" s="276">
        <f>L56*(1-L$3)</f>
        <v>35</v>
      </c>
      <c r="N56" s="276">
        <f>L56*L$3</f>
        <v>0</v>
      </c>
      <c r="O56" s="276">
        <f>SUM(O57:O63)</f>
        <v>94.08</v>
      </c>
      <c r="P56" s="276">
        <f>SUM(P57:P63)</f>
        <v>0</v>
      </c>
      <c r="Q56" s="277"/>
      <c r="R56" s="279">
        <f>機器台数case３!H20</f>
        <v>42</v>
      </c>
      <c r="S56" s="276">
        <f>R56*(1-R$3)</f>
        <v>42</v>
      </c>
      <c r="T56" s="276">
        <f>R56*R$3</f>
        <v>0</v>
      </c>
      <c r="U56" s="276">
        <f>SUM(U57:U63)</f>
        <v>112.896</v>
      </c>
      <c r="V56" s="276">
        <f>SUM(V57:V63)</f>
        <v>0</v>
      </c>
      <c r="W56" s="279">
        <f>機器台数case３!J20</f>
        <v>49</v>
      </c>
      <c r="X56" s="276">
        <f>W56*(1-W$3)</f>
        <v>49</v>
      </c>
      <c r="Y56" s="276">
        <f>W56*W$3</f>
        <v>0</v>
      </c>
      <c r="Z56" s="276">
        <f>SUM(Z57:Z63)</f>
        <v>131.71199999999999</v>
      </c>
      <c r="AA56" s="276">
        <f>SUM(AA57:AA63)</f>
        <v>0</v>
      </c>
      <c r="AB56" s="279">
        <f>機器台数case３!L20</f>
        <v>56</v>
      </c>
      <c r="AC56" s="276">
        <f>機器台数case３!L21</f>
        <v>49</v>
      </c>
      <c r="AD56" s="276">
        <f>機器台数case３!L22</f>
        <v>7</v>
      </c>
      <c r="AE56" s="276">
        <f>SUM(AE57:AE63)</f>
        <v>131.71199999999999</v>
      </c>
      <c r="AF56" s="276">
        <f>SUM(AF57:AF63)</f>
        <v>17.49888</v>
      </c>
      <c r="AG56" s="279">
        <f>機器台数case３!N20</f>
        <v>62.999999999999993</v>
      </c>
      <c r="AH56" s="276">
        <f>機器台数case３!N21</f>
        <v>0</v>
      </c>
      <c r="AI56" s="276">
        <f>機器台数case３!N22</f>
        <v>10.5</v>
      </c>
      <c r="AJ56" s="276">
        <f>SUM(AJ57:AJ63)</f>
        <v>0</v>
      </c>
      <c r="AK56" s="276">
        <f>SUM(AK57:AK63)</f>
        <v>26.248320000000003</v>
      </c>
      <c r="AL56" s="279">
        <f>機器台数case３!S20</f>
        <v>0.7</v>
      </c>
      <c r="AM56" s="276">
        <f>機器台数case３!P21</f>
        <v>0</v>
      </c>
      <c r="AN56" s="276">
        <f>機器台数case３!P22</f>
        <v>14</v>
      </c>
      <c r="AO56" s="276">
        <f>SUM(AO57:AO63)</f>
        <v>0</v>
      </c>
      <c r="AP56" s="276">
        <f>SUM(AP57:AP63)</f>
        <v>34.99776</v>
      </c>
      <c r="AQ56" s="279">
        <f>機器台数case３!X20</f>
        <v>0</v>
      </c>
      <c r="AR56" s="276">
        <f>機器台数case３!R21</f>
        <v>0</v>
      </c>
      <c r="AS56" s="276">
        <f>機器台数case３!R22</f>
        <v>77</v>
      </c>
      <c r="AT56" s="276">
        <f>SUM(AT57:AT63)</f>
        <v>0</v>
      </c>
      <c r="AU56" s="276">
        <f>SUM(AU57:AU63)</f>
        <v>192.48768000000001</v>
      </c>
    </row>
    <row r="57" spans="1:47" x14ac:dyDescent="0.4">
      <c r="A57" t="s">
        <v>12</v>
      </c>
      <c r="B57">
        <v>1.5</v>
      </c>
      <c r="C57" s="1">
        <v>2.15</v>
      </c>
      <c r="D57" s="1">
        <f t="shared" si="104"/>
        <v>1.9995000000000001</v>
      </c>
      <c r="E57" s="4">
        <f t="shared" ref="E57:E63" si="163">$A$59*Q57</f>
        <v>9000</v>
      </c>
      <c r="F57" s="6">
        <v>0.03</v>
      </c>
      <c r="H57" s="4">
        <f t="shared" ref="H57:H63" si="164">F57*H$56</f>
        <v>0.84</v>
      </c>
      <c r="I57" s="4">
        <f t="shared" ref="I57:I63" si="165">$F57*I$56</f>
        <v>0</v>
      </c>
      <c r="J57" s="267">
        <f t="shared" ref="J57:J63" si="166">C57*H57</f>
        <v>1.8059999999999998</v>
      </c>
      <c r="K57" s="267">
        <f t="shared" si="130"/>
        <v>0</v>
      </c>
      <c r="L57" s="273">
        <f>SUM(M57:M63)</f>
        <v>35</v>
      </c>
      <c r="M57" s="4">
        <f t="shared" ref="M57:N63" si="167">$F57*M$56</f>
        <v>1.05</v>
      </c>
      <c r="N57" s="4">
        <f t="shared" si="167"/>
        <v>0</v>
      </c>
      <c r="O57" s="4">
        <f t="shared" ref="O57:O63" si="168">$C57*M57</f>
        <v>2.2574999999999998</v>
      </c>
      <c r="P57" s="267">
        <f t="shared" ref="P57:P63" si="169">$D57*N57</f>
        <v>0</v>
      </c>
      <c r="Q57" s="6">
        <v>0.03</v>
      </c>
      <c r="R57" s="273">
        <f>SUM(S57:S63)</f>
        <v>41.999999999999993</v>
      </c>
      <c r="S57" s="4">
        <f t="shared" ref="S57:T63" si="170">$F57*S$56</f>
        <v>1.26</v>
      </c>
      <c r="T57" s="4">
        <f t="shared" si="170"/>
        <v>0</v>
      </c>
      <c r="U57" s="4">
        <f t="shared" ref="U57:U63" si="171">$C57*S57</f>
        <v>2.7090000000000001</v>
      </c>
      <c r="V57" s="267">
        <f t="shared" ref="V57:V63" si="172">$D57*T57</f>
        <v>0</v>
      </c>
      <c r="W57" s="273">
        <f>SUM(X57:X63)</f>
        <v>49</v>
      </c>
      <c r="X57" s="4">
        <f t="shared" ref="X57:Y63" si="173">$F57*X$56</f>
        <v>1.47</v>
      </c>
      <c r="Y57" s="4">
        <f t="shared" si="173"/>
        <v>0</v>
      </c>
      <c r="Z57" s="4">
        <f t="shared" ref="Z57:Z63" si="174">$C57*X57</f>
        <v>3.1604999999999999</v>
      </c>
      <c r="AA57" s="267">
        <f t="shared" ref="AA57:AA63" si="175">$D57*Y57</f>
        <v>0</v>
      </c>
      <c r="AB57" s="273">
        <f>SUM(AC57:AC63)</f>
        <v>49</v>
      </c>
      <c r="AC57" s="4">
        <f t="shared" ref="AC57:AD63" si="176">$F57*AC$56</f>
        <v>1.47</v>
      </c>
      <c r="AD57" s="4">
        <f t="shared" si="176"/>
        <v>0.21</v>
      </c>
      <c r="AE57" s="4">
        <f t="shared" ref="AE57:AE63" si="177">$C57*AC57</f>
        <v>3.1604999999999999</v>
      </c>
      <c r="AF57" s="267">
        <f t="shared" ref="AF57:AF63" si="178">$D57*AD57</f>
        <v>0.41989500000000002</v>
      </c>
      <c r="AG57" s="273">
        <f>SUM(AH57:AH63)</f>
        <v>0</v>
      </c>
      <c r="AH57" s="4">
        <f t="shared" ref="AH57:AI63" si="179">$F57*AH$56</f>
        <v>0</v>
      </c>
      <c r="AI57" s="4">
        <f t="shared" si="179"/>
        <v>0.315</v>
      </c>
      <c r="AJ57" s="4">
        <f t="shared" ref="AJ57:AJ63" si="180">$C57*AH57</f>
        <v>0</v>
      </c>
      <c r="AK57" s="267">
        <f t="shared" ref="AK57:AK63" si="181">$D57*AI57</f>
        <v>0.62984249999999997</v>
      </c>
      <c r="AL57" s="273">
        <f>SUM(AM57:AM63)</f>
        <v>0</v>
      </c>
      <c r="AM57" s="4">
        <f t="shared" ref="AM57:AN63" si="182">$F57*AM$56</f>
        <v>0</v>
      </c>
      <c r="AN57" s="4">
        <f t="shared" si="182"/>
        <v>0.42</v>
      </c>
      <c r="AO57" s="4">
        <f t="shared" ref="AO57:AO63" si="183">$C57*AM57</f>
        <v>0</v>
      </c>
      <c r="AP57" s="267">
        <f t="shared" ref="AP57:AP63" si="184">$D57*AN57</f>
        <v>0.83979000000000004</v>
      </c>
      <c r="AQ57" s="273">
        <f>SUM(AR57:AR63)</f>
        <v>0</v>
      </c>
      <c r="AR57" s="4">
        <f t="shared" ref="AR57:AS63" si="185">$F57*AR$56</f>
        <v>0</v>
      </c>
      <c r="AS57" s="4">
        <f t="shared" si="185"/>
        <v>2.31</v>
      </c>
      <c r="AT57" s="4">
        <f t="shared" ref="AT57:AT63" si="186">$C57*AR57</f>
        <v>0</v>
      </c>
      <c r="AU57" s="267">
        <f t="shared" ref="AU57:AU63" si="187">$D57*AS57</f>
        <v>4.6188450000000003</v>
      </c>
    </row>
    <row r="58" spans="1:47" x14ac:dyDescent="0.4">
      <c r="A58" t="s">
        <v>13</v>
      </c>
      <c r="B58">
        <v>2</v>
      </c>
      <c r="C58" s="1">
        <v>2.15</v>
      </c>
      <c r="D58" s="1">
        <f t="shared" si="104"/>
        <v>1.9995000000000001</v>
      </c>
      <c r="E58" s="4">
        <f t="shared" si="163"/>
        <v>45000</v>
      </c>
      <c r="F58" s="6">
        <v>0.15</v>
      </c>
      <c r="H58" s="4">
        <f t="shared" si="164"/>
        <v>4.2</v>
      </c>
      <c r="I58" s="4">
        <f t="shared" si="165"/>
        <v>0</v>
      </c>
      <c r="J58" s="267">
        <f t="shared" si="166"/>
        <v>9.0299999999999994</v>
      </c>
      <c r="K58" s="267">
        <f t="shared" si="130"/>
        <v>0</v>
      </c>
      <c r="L58" s="273"/>
      <c r="M58" s="4">
        <f t="shared" si="167"/>
        <v>5.25</v>
      </c>
      <c r="N58" s="4">
        <f t="shared" si="167"/>
        <v>0</v>
      </c>
      <c r="O58" s="4">
        <f t="shared" si="168"/>
        <v>11.2875</v>
      </c>
      <c r="P58" s="267">
        <f t="shared" si="169"/>
        <v>0</v>
      </c>
      <c r="Q58" s="6">
        <v>0.15</v>
      </c>
      <c r="R58" s="273"/>
      <c r="S58" s="4">
        <f t="shared" si="170"/>
        <v>6.3</v>
      </c>
      <c r="T58" s="4">
        <f t="shared" si="170"/>
        <v>0</v>
      </c>
      <c r="U58" s="4">
        <f t="shared" si="171"/>
        <v>13.545</v>
      </c>
      <c r="V58" s="267">
        <f t="shared" si="172"/>
        <v>0</v>
      </c>
      <c r="W58" s="273"/>
      <c r="X58" s="4">
        <f t="shared" si="173"/>
        <v>7.35</v>
      </c>
      <c r="Y58" s="4">
        <f t="shared" si="173"/>
        <v>0</v>
      </c>
      <c r="Z58" s="4">
        <f t="shared" si="174"/>
        <v>15.802499999999998</v>
      </c>
      <c r="AA58" s="267">
        <f t="shared" si="175"/>
        <v>0</v>
      </c>
      <c r="AB58" s="273"/>
      <c r="AC58" s="4">
        <f t="shared" si="176"/>
        <v>7.35</v>
      </c>
      <c r="AD58" s="4">
        <f t="shared" si="176"/>
        <v>1.05</v>
      </c>
      <c r="AE58" s="4">
        <f t="shared" si="177"/>
        <v>15.802499999999998</v>
      </c>
      <c r="AF58" s="267">
        <f t="shared" si="178"/>
        <v>2.099475</v>
      </c>
      <c r="AG58" s="273"/>
      <c r="AH58" s="4">
        <f t="shared" si="179"/>
        <v>0</v>
      </c>
      <c r="AI58" s="4">
        <f t="shared" si="179"/>
        <v>1.575</v>
      </c>
      <c r="AJ58" s="4">
        <f t="shared" si="180"/>
        <v>0</v>
      </c>
      <c r="AK58" s="267">
        <f t="shared" si="181"/>
        <v>3.1492125</v>
      </c>
      <c r="AL58" s="273"/>
      <c r="AM58" s="4">
        <f t="shared" si="182"/>
        <v>0</v>
      </c>
      <c r="AN58" s="4">
        <f t="shared" si="182"/>
        <v>2.1</v>
      </c>
      <c r="AO58" s="4">
        <f t="shared" si="183"/>
        <v>0</v>
      </c>
      <c r="AP58" s="267">
        <f t="shared" si="184"/>
        <v>4.19895</v>
      </c>
      <c r="AQ58" s="273"/>
      <c r="AR58" s="4">
        <f t="shared" si="185"/>
        <v>0</v>
      </c>
      <c r="AS58" s="4">
        <f t="shared" si="185"/>
        <v>11.549999999999999</v>
      </c>
      <c r="AT58" s="4">
        <f t="shared" si="186"/>
        <v>0</v>
      </c>
      <c r="AU58" s="267">
        <f t="shared" si="187"/>
        <v>23.094224999999998</v>
      </c>
    </row>
    <row r="59" spans="1:47" x14ac:dyDescent="0.4">
      <c r="A59" s="7">
        <v>300000</v>
      </c>
      <c r="B59">
        <v>2.5</v>
      </c>
      <c r="C59" s="1">
        <v>2.25</v>
      </c>
      <c r="D59" s="1">
        <f t="shared" si="104"/>
        <v>2.0925000000000002</v>
      </c>
      <c r="E59" s="4">
        <f t="shared" si="163"/>
        <v>51000.000000000007</v>
      </c>
      <c r="F59" s="6">
        <v>0.17</v>
      </c>
      <c r="H59" s="4">
        <f t="shared" si="164"/>
        <v>4.7600000000000007</v>
      </c>
      <c r="I59" s="4">
        <f t="shared" si="165"/>
        <v>0</v>
      </c>
      <c r="J59" s="267">
        <f t="shared" si="166"/>
        <v>10.71</v>
      </c>
      <c r="K59" s="267">
        <f t="shared" si="130"/>
        <v>0</v>
      </c>
      <c r="L59" s="273"/>
      <c r="M59" s="4">
        <f t="shared" si="167"/>
        <v>5.95</v>
      </c>
      <c r="N59" s="4">
        <f t="shared" si="167"/>
        <v>0</v>
      </c>
      <c r="O59" s="4">
        <f t="shared" si="168"/>
        <v>13.387500000000001</v>
      </c>
      <c r="P59" s="267">
        <f t="shared" si="169"/>
        <v>0</v>
      </c>
      <c r="Q59" s="6">
        <v>0.17</v>
      </c>
      <c r="R59" s="273"/>
      <c r="S59" s="4">
        <f t="shared" si="170"/>
        <v>7.1400000000000006</v>
      </c>
      <c r="T59" s="4">
        <f t="shared" si="170"/>
        <v>0</v>
      </c>
      <c r="U59" s="4">
        <f t="shared" si="171"/>
        <v>16.065000000000001</v>
      </c>
      <c r="V59" s="267">
        <f t="shared" si="172"/>
        <v>0</v>
      </c>
      <c r="W59" s="273"/>
      <c r="X59" s="4">
        <f t="shared" si="173"/>
        <v>8.33</v>
      </c>
      <c r="Y59" s="4">
        <f t="shared" si="173"/>
        <v>0</v>
      </c>
      <c r="Z59" s="4">
        <f t="shared" si="174"/>
        <v>18.7425</v>
      </c>
      <c r="AA59" s="267">
        <f t="shared" si="175"/>
        <v>0</v>
      </c>
      <c r="AB59" s="273"/>
      <c r="AC59" s="4">
        <f t="shared" si="176"/>
        <v>8.33</v>
      </c>
      <c r="AD59" s="4">
        <f t="shared" si="176"/>
        <v>1.1900000000000002</v>
      </c>
      <c r="AE59" s="4">
        <f t="shared" si="177"/>
        <v>18.7425</v>
      </c>
      <c r="AF59" s="267">
        <f t="shared" si="178"/>
        <v>2.4900750000000005</v>
      </c>
      <c r="AG59" s="273"/>
      <c r="AH59" s="4">
        <f t="shared" si="179"/>
        <v>0</v>
      </c>
      <c r="AI59" s="4">
        <f t="shared" si="179"/>
        <v>1.7850000000000001</v>
      </c>
      <c r="AJ59" s="4">
        <f t="shared" si="180"/>
        <v>0</v>
      </c>
      <c r="AK59" s="267">
        <f t="shared" si="181"/>
        <v>3.7351125000000009</v>
      </c>
      <c r="AL59" s="273"/>
      <c r="AM59" s="4">
        <f t="shared" si="182"/>
        <v>0</v>
      </c>
      <c r="AN59" s="4">
        <f t="shared" si="182"/>
        <v>2.3800000000000003</v>
      </c>
      <c r="AO59" s="4">
        <f t="shared" si="183"/>
        <v>0</v>
      </c>
      <c r="AP59" s="267">
        <f t="shared" si="184"/>
        <v>4.980150000000001</v>
      </c>
      <c r="AQ59" s="273"/>
      <c r="AR59" s="4">
        <f t="shared" si="185"/>
        <v>0</v>
      </c>
      <c r="AS59" s="4">
        <f t="shared" si="185"/>
        <v>13.090000000000002</v>
      </c>
      <c r="AT59" s="4">
        <f t="shared" si="186"/>
        <v>0</v>
      </c>
      <c r="AU59" s="267">
        <f t="shared" si="187"/>
        <v>27.390825000000007</v>
      </c>
    </row>
    <row r="60" spans="1:47" x14ac:dyDescent="0.4">
      <c r="B60">
        <v>3</v>
      </c>
      <c r="C60" s="1">
        <v>2.4</v>
      </c>
      <c r="D60" s="1">
        <f t="shared" si="104"/>
        <v>2.2320000000000002</v>
      </c>
      <c r="E60" s="4">
        <f t="shared" si="163"/>
        <v>78000</v>
      </c>
      <c r="F60" s="6">
        <v>0.26</v>
      </c>
      <c r="H60" s="4">
        <f t="shared" si="164"/>
        <v>7.28</v>
      </c>
      <c r="I60" s="4">
        <f t="shared" si="165"/>
        <v>0</v>
      </c>
      <c r="J60" s="267">
        <f t="shared" si="166"/>
        <v>17.472000000000001</v>
      </c>
      <c r="K60" s="267">
        <f t="shared" si="130"/>
        <v>0</v>
      </c>
      <c r="L60" s="273"/>
      <c r="M60" s="4">
        <f t="shared" si="167"/>
        <v>9.1</v>
      </c>
      <c r="N60" s="4">
        <f t="shared" si="167"/>
        <v>0</v>
      </c>
      <c r="O60" s="4">
        <f t="shared" si="168"/>
        <v>21.84</v>
      </c>
      <c r="P60" s="267">
        <f t="shared" si="169"/>
        <v>0</v>
      </c>
      <c r="Q60" s="6">
        <v>0.26</v>
      </c>
      <c r="R60" s="273"/>
      <c r="S60" s="4">
        <f t="shared" si="170"/>
        <v>10.92</v>
      </c>
      <c r="T60" s="4">
        <f t="shared" si="170"/>
        <v>0</v>
      </c>
      <c r="U60" s="4">
        <f t="shared" si="171"/>
        <v>26.207999999999998</v>
      </c>
      <c r="V60" s="267">
        <f t="shared" si="172"/>
        <v>0</v>
      </c>
      <c r="W60" s="273"/>
      <c r="X60" s="4">
        <f t="shared" si="173"/>
        <v>12.74</v>
      </c>
      <c r="Y60" s="4">
        <f t="shared" si="173"/>
        <v>0</v>
      </c>
      <c r="Z60" s="4">
        <f t="shared" si="174"/>
        <v>30.576000000000001</v>
      </c>
      <c r="AA60" s="267">
        <f t="shared" si="175"/>
        <v>0</v>
      </c>
      <c r="AB60" s="273"/>
      <c r="AC60" s="4">
        <f t="shared" si="176"/>
        <v>12.74</v>
      </c>
      <c r="AD60" s="4">
        <f t="shared" si="176"/>
        <v>1.82</v>
      </c>
      <c r="AE60" s="4">
        <f t="shared" si="177"/>
        <v>30.576000000000001</v>
      </c>
      <c r="AF60" s="267">
        <f t="shared" si="178"/>
        <v>4.0622400000000001</v>
      </c>
      <c r="AG60" s="273"/>
      <c r="AH60" s="4">
        <f t="shared" si="179"/>
        <v>0</v>
      </c>
      <c r="AI60" s="4">
        <f t="shared" si="179"/>
        <v>2.73</v>
      </c>
      <c r="AJ60" s="4">
        <f t="shared" si="180"/>
        <v>0</v>
      </c>
      <c r="AK60" s="267">
        <f t="shared" si="181"/>
        <v>6.0933600000000006</v>
      </c>
      <c r="AL60" s="273"/>
      <c r="AM60" s="4">
        <f t="shared" si="182"/>
        <v>0</v>
      </c>
      <c r="AN60" s="4">
        <f t="shared" si="182"/>
        <v>3.64</v>
      </c>
      <c r="AO60" s="4">
        <f t="shared" si="183"/>
        <v>0</v>
      </c>
      <c r="AP60" s="267">
        <f t="shared" si="184"/>
        <v>8.1244800000000001</v>
      </c>
      <c r="AQ60" s="273"/>
      <c r="AR60" s="4">
        <f t="shared" si="185"/>
        <v>0</v>
      </c>
      <c r="AS60" s="4">
        <f t="shared" si="185"/>
        <v>20.02</v>
      </c>
      <c r="AT60" s="4">
        <f t="shared" si="186"/>
        <v>0</v>
      </c>
      <c r="AU60" s="267">
        <f t="shared" si="187"/>
        <v>44.684640000000002</v>
      </c>
    </row>
    <row r="61" spans="1:47" x14ac:dyDescent="0.4">
      <c r="B61">
        <v>3.5</v>
      </c>
      <c r="C61" s="1">
        <v>3.15</v>
      </c>
      <c r="D61" s="1">
        <f t="shared" si="104"/>
        <v>2.9295</v>
      </c>
      <c r="E61" s="4">
        <f t="shared" si="163"/>
        <v>30000</v>
      </c>
      <c r="F61" s="6">
        <v>0.1</v>
      </c>
      <c r="H61" s="4">
        <f t="shared" si="164"/>
        <v>2.8000000000000003</v>
      </c>
      <c r="I61" s="4">
        <f t="shared" si="165"/>
        <v>0</v>
      </c>
      <c r="J61" s="267">
        <f t="shared" si="166"/>
        <v>8.82</v>
      </c>
      <c r="K61" s="267">
        <f t="shared" si="130"/>
        <v>0</v>
      </c>
      <c r="L61" s="273"/>
      <c r="M61" s="4">
        <f t="shared" si="167"/>
        <v>3.5</v>
      </c>
      <c r="N61" s="4">
        <f t="shared" si="167"/>
        <v>0</v>
      </c>
      <c r="O61" s="4">
        <f t="shared" si="168"/>
        <v>11.025</v>
      </c>
      <c r="P61" s="267">
        <f t="shared" si="169"/>
        <v>0</v>
      </c>
      <c r="Q61" s="6">
        <v>0.1</v>
      </c>
      <c r="R61" s="273"/>
      <c r="S61" s="4">
        <f t="shared" si="170"/>
        <v>4.2</v>
      </c>
      <c r="T61" s="4">
        <f t="shared" si="170"/>
        <v>0</v>
      </c>
      <c r="U61" s="4">
        <f t="shared" si="171"/>
        <v>13.23</v>
      </c>
      <c r="V61" s="267">
        <f t="shared" si="172"/>
        <v>0</v>
      </c>
      <c r="W61" s="273"/>
      <c r="X61" s="4">
        <f t="shared" si="173"/>
        <v>4.9000000000000004</v>
      </c>
      <c r="Y61" s="4">
        <f t="shared" si="173"/>
        <v>0</v>
      </c>
      <c r="Z61" s="4">
        <f t="shared" si="174"/>
        <v>15.435</v>
      </c>
      <c r="AA61" s="267">
        <f t="shared" si="175"/>
        <v>0</v>
      </c>
      <c r="AB61" s="273"/>
      <c r="AC61" s="4">
        <f t="shared" si="176"/>
        <v>4.9000000000000004</v>
      </c>
      <c r="AD61" s="4">
        <f t="shared" si="176"/>
        <v>0.70000000000000007</v>
      </c>
      <c r="AE61" s="4">
        <f t="shared" si="177"/>
        <v>15.435</v>
      </c>
      <c r="AF61" s="267">
        <f t="shared" si="178"/>
        <v>2.0506500000000001</v>
      </c>
      <c r="AG61" s="273"/>
      <c r="AH61" s="4">
        <f t="shared" si="179"/>
        <v>0</v>
      </c>
      <c r="AI61" s="4">
        <f t="shared" si="179"/>
        <v>1.05</v>
      </c>
      <c r="AJ61" s="4">
        <f t="shared" si="180"/>
        <v>0</v>
      </c>
      <c r="AK61" s="267">
        <f t="shared" si="181"/>
        <v>3.0759750000000001</v>
      </c>
      <c r="AL61" s="273"/>
      <c r="AM61" s="4">
        <f t="shared" si="182"/>
        <v>0</v>
      </c>
      <c r="AN61" s="4">
        <f t="shared" si="182"/>
        <v>1.4000000000000001</v>
      </c>
      <c r="AO61" s="4">
        <f t="shared" si="183"/>
        <v>0</v>
      </c>
      <c r="AP61" s="267">
        <f t="shared" si="184"/>
        <v>4.1013000000000002</v>
      </c>
      <c r="AQ61" s="273"/>
      <c r="AR61" s="4">
        <f t="shared" si="185"/>
        <v>0</v>
      </c>
      <c r="AS61" s="4">
        <f t="shared" si="185"/>
        <v>7.7</v>
      </c>
      <c r="AT61" s="4">
        <f t="shared" si="186"/>
        <v>0</v>
      </c>
      <c r="AU61" s="267">
        <f t="shared" si="187"/>
        <v>22.55715</v>
      </c>
    </row>
    <row r="62" spans="1:47" x14ac:dyDescent="0.4">
      <c r="B62">
        <v>4</v>
      </c>
      <c r="C62" s="1">
        <v>3.15</v>
      </c>
      <c r="D62" s="1">
        <f t="shared" si="104"/>
        <v>2.9295</v>
      </c>
      <c r="E62" s="4">
        <f t="shared" si="163"/>
        <v>51000.000000000007</v>
      </c>
      <c r="F62" s="6">
        <v>0.17</v>
      </c>
      <c r="H62" s="4">
        <f t="shared" si="164"/>
        <v>4.7600000000000007</v>
      </c>
      <c r="I62" s="4">
        <f t="shared" si="165"/>
        <v>0</v>
      </c>
      <c r="J62" s="267">
        <f t="shared" si="166"/>
        <v>14.994000000000002</v>
      </c>
      <c r="K62" s="267">
        <f t="shared" si="130"/>
        <v>0</v>
      </c>
      <c r="L62" s="273"/>
      <c r="M62" s="4">
        <f t="shared" si="167"/>
        <v>5.95</v>
      </c>
      <c r="N62" s="4">
        <f t="shared" si="167"/>
        <v>0</v>
      </c>
      <c r="O62" s="4">
        <f t="shared" si="168"/>
        <v>18.7425</v>
      </c>
      <c r="P62" s="267">
        <f t="shared" si="169"/>
        <v>0</v>
      </c>
      <c r="Q62" s="6">
        <v>0.17</v>
      </c>
      <c r="R62" s="273"/>
      <c r="S62" s="4">
        <f t="shared" si="170"/>
        <v>7.1400000000000006</v>
      </c>
      <c r="T62" s="4">
        <f t="shared" si="170"/>
        <v>0</v>
      </c>
      <c r="U62" s="4">
        <f t="shared" si="171"/>
        <v>22.491</v>
      </c>
      <c r="V62" s="267">
        <f t="shared" si="172"/>
        <v>0</v>
      </c>
      <c r="W62" s="273"/>
      <c r="X62" s="4">
        <f t="shared" si="173"/>
        <v>8.33</v>
      </c>
      <c r="Y62" s="4">
        <f t="shared" si="173"/>
        <v>0</v>
      </c>
      <c r="Z62" s="4">
        <f t="shared" si="174"/>
        <v>26.2395</v>
      </c>
      <c r="AA62" s="267">
        <f t="shared" si="175"/>
        <v>0</v>
      </c>
      <c r="AB62" s="273"/>
      <c r="AC62" s="4">
        <f t="shared" si="176"/>
        <v>8.33</v>
      </c>
      <c r="AD62" s="4">
        <f t="shared" si="176"/>
        <v>1.1900000000000002</v>
      </c>
      <c r="AE62" s="4">
        <f t="shared" si="177"/>
        <v>26.2395</v>
      </c>
      <c r="AF62" s="267">
        <f t="shared" si="178"/>
        <v>3.4861050000000007</v>
      </c>
      <c r="AG62" s="273"/>
      <c r="AH62" s="4">
        <f t="shared" si="179"/>
        <v>0</v>
      </c>
      <c r="AI62" s="4">
        <f t="shared" si="179"/>
        <v>1.7850000000000001</v>
      </c>
      <c r="AJ62" s="4">
        <f t="shared" si="180"/>
        <v>0</v>
      </c>
      <c r="AK62" s="267">
        <f t="shared" si="181"/>
        <v>5.2291575000000003</v>
      </c>
      <c r="AL62" s="273"/>
      <c r="AM62" s="4">
        <f t="shared" si="182"/>
        <v>0</v>
      </c>
      <c r="AN62" s="4">
        <f t="shared" si="182"/>
        <v>2.3800000000000003</v>
      </c>
      <c r="AO62" s="4">
        <f t="shared" si="183"/>
        <v>0</v>
      </c>
      <c r="AP62" s="267">
        <f t="shared" si="184"/>
        <v>6.9722100000000014</v>
      </c>
      <c r="AQ62" s="273"/>
      <c r="AR62" s="4">
        <f t="shared" si="185"/>
        <v>0</v>
      </c>
      <c r="AS62" s="4">
        <f t="shared" si="185"/>
        <v>13.090000000000002</v>
      </c>
      <c r="AT62" s="4">
        <f t="shared" si="186"/>
        <v>0</v>
      </c>
      <c r="AU62" s="267">
        <f t="shared" si="187"/>
        <v>38.347155000000008</v>
      </c>
    </row>
    <row r="63" spans="1:47" x14ac:dyDescent="0.4">
      <c r="B63">
        <v>5</v>
      </c>
      <c r="C63" s="1">
        <v>3.7</v>
      </c>
      <c r="D63" s="1">
        <f t="shared" si="104"/>
        <v>3.4410000000000003</v>
      </c>
      <c r="E63" s="4">
        <f t="shared" si="163"/>
        <v>36000</v>
      </c>
      <c r="F63" s="6">
        <v>0.12</v>
      </c>
      <c r="H63" s="4">
        <f t="shared" si="164"/>
        <v>3.36</v>
      </c>
      <c r="I63" s="4">
        <f t="shared" si="165"/>
        <v>0</v>
      </c>
      <c r="J63" s="267">
        <f t="shared" si="166"/>
        <v>12.432</v>
      </c>
      <c r="K63" s="267">
        <f t="shared" si="130"/>
        <v>0</v>
      </c>
      <c r="L63" s="273"/>
      <c r="M63" s="4">
        <f t="shared" si="167"/>
        <v>4.2</v>
      </c>
      <c r="N63" s="4">
        <f t="shared" si="167"/>
        <v>0</v>
      </c>
      <c r="O63" s="4">
        <f t="shared" si="168"/>
        <v>15.540000000000001</v>
      </c>
      <c r="P63" s="267">
        <f t="shared" si="169"/>
        <v>0</v>
      </c>
      <c r="Q63" s="6">
        <v>0.12</v>
      </c>
      <c r="R63" s="273"/>
      <c r="S63" s="4">
        <f t="shared" si="170"/>
        <v>5.04</v>
      </c>
      <c r="T63" s="4">
        <f t="shared" si="170"/>
        <v>0</v>
      </c>
      <c r="U63" s="4">
        <f t="shared" si="171"/>
        <v>18.648</v>
      </c>
      <c r="V63" s="267">
        <f t="shared" si="172"/>
        <v>0</v>
      </c>
      <c r="W63" s="273"/>
      <c r="X63" s="4">
        <f t="shared" si="173"/>
        <v>5.88</v>
      </c>
      <c r="Y63" s="4">
        <f t="shared" si="173"/>
        <v>0</v>
      </c>
      <c r="Z63" s="4">
        <f t="shared" si="174"/>
        <v>21.756</v>
      </c>
      <c r="AA63" s="267">
        <f t="shared" si="175"/>
        <v>0</v>
      </c>
      <c r="AB63" s="273"/>
      <c r="AC63" s="4">
        <f t="shared" si="176"/>
        <v>5.88</v>
      </c>
      <c r="AD63" s="4">
        <f t="shared" si="176"/>
        <v>0.84</v>
      </c>
      <c r="AE63" s="4">
        <f t="shared" si="177"/>
        <v>21.756</v>
      </c>
      <c r="AF63" s="267">
        <f t="shared" si="178"/>
        <v>2.8904400000000003</v>
      </c>
      <c r="AG63" s="273"/>
      <c r="AH63" s="4">
        <f t="shared" si="179"/>
        <v>0</v>
      </c>
      <c r="AI63" s="4">
        <f t="shared" si="179"/>
        <v>1.26</v>
      </c>
      <c r="AJ63" s="4">
        <f t="shared" si="180"/>
        <v>0</v>
      </c>
      <c r="AK63" s="267">
        <f t="shared" si="181"/>
        <v>4.3356600000000007</v>
      </c>
      <c r="AL63" s="273"/>
      <c r="AM63" s="4">
        <f t="shared" si="182"/>
        <v>0</v>
      </c>
      <c r="AN63" s="4">
        <f t="shared" si="182"/>
        <v>1.68</v>
      </c>
      <c r="AO63" s="4">
        <f t="shared" si="183"/>
        <v>0</v>
      </c>
      <c r="AP63" s="267">
        <f t="shared" si="184"/>
        <v>5.7808800000000007</v>
      </c>
      <c r="AQ63" s="273"/>
      <c r="AR63" s="4">
        <f t="shared" si="185"/>
        <v>0</v>
      </c>
      <c r="AS63" s="4">
        <f t="shared" si="185"/>
        <v>9.24</v>
      </c>
      <c r="AT63" s="4">
        <f t="shared" si="186"/>
        <v>0</v>
      </c>
      <c r="AU63" s="267">
        <f t="shared" si="187"/>
        <v>31.794840000000004</v>
      </c>
    </row>
    <row r="64" spans="1:47" x14ac:dyDescent="0.4">
      <c r="D64" s="1">
        <f t="shared" si="104"/>
        <v>0</v>
      </c>
      <c r="F64" s="6"/>
      <c r="G64" s="4">
        <f>機器台数case３!D36</f>
        <v>47.982180399999997</v>
      </c>
      <c r="H64" s="4">
        <f>G64*(1-G$3)</f>
        <v>47.982180399999997</v>
      </c>
      <c r="I64" s="4">
        <f>G64*G$3</f>
        <v>0</v>
      </c>
      <c r="J64" s="4">
        <f>SUM(J65:J68)</f>
        <v>214.63725324324298</v>
      </c>
      <c r="K64" s="267">
        <f t="shared" si="130"/>
        <v>0</v>
      </c>
      <c r="L64" s="273">
        <f>機器台数case３!F36</f>
        <v>50.169861161221789</v>
      </c>
      <c r="M64" s="4">
        <f>L64*(1-L$3)</f>
        <v>50.169861161221789</v>
      </c>
      <c r="N64" s="4">
        <f>L64*L$3</f>
        <v>0</v>
      </c>
      <c r="O64" s="4">
        <f>SUM(O65:O68)</f>
        <v>224.42334019567613</v>
      </c>
      <c r="P64" s="4">
        <f>SUM(P65:P68)</f>
        <v>0</v>
      </c>
      <c r="Q64" s="6"/>
      <c r="R64" s="273">
        <f>機器台数case３!H36</f>
        <v>52.477783583942077</v>
      </c>
      <c r="S64" s="4">
        <f>R64*(1-R$3)</f>
        <v>52.477783583942077</v>
      </c>
      <c r="T64" s="4">
        <f>R64*R$3</f>
        <v>0</v>
      </c>
      <c r="U64" s="4">
        <f>SUM(U65:U68)</f>
        <v>234.74730057808455</v>
      </c>
      <c r="V64" s="4">
        <f>SUM(V65:V68)</f>
        <v>0</v>
      </c>
      <c r="W64" s="273">
        <f>機器台数case３!J36</f>
        <v>54.911908080343203</v>
      </c>
      <c r="X64" s="4">
        <f>W64*(1-W$3)</f>
        <v>54.911908080343203</v>
      </c>
      <c r="Y64" s="4">
        <f>W64*W$3</f>
        <v>0</v>
      </c>
      <c r="Z64" s="4">
        <f>SUM(Z65:Z68)</f>
        <v>245.63579692410784</v>
      </c>
      <c r="AA64" s="4">
        <f>SUM(AA65:AA68)</f>
        <v>0</v>
      </c>
      <c r="AB64" s="273">
        <f>機器台数case３!L36+機器台数case３!L46</f>
        <v>105.43444487570562</v>
      </c>
      <c r="AC64" s="4">
        <f>機器台数case３!L36</f>
        <v>57.478490521876495</v>
      </c>
      <c r="AD64" s="4">
        <f>機器台数case３!L46</f>
        <v>47.955954353829121</v>
      </c>
      <c r="AE64" s="4">
        <f>SUM(AE65:AE68)</f>
        <v>257.11681343650127</v>
      </c>
      <c r="AF64" s="4">
        <f>SUM(AF65:AF68)</f>
        <v>199.50354146104476</v>
      </c>
      <c r="AG64" s="273">
        <f>機器台数case３!N36</f>
        <v>9.8546601580819786</v>
      </c>
      <c r="AH64" s="4">
        <f>機器台数case３!N36</f>
        <v>9.8546601580819786</v>
      </c>
      <c r="AI64" s="4">
        <f>機器台数case３!N46</f>
        <v>59.331449800330724</v>
      </c>
      <c r="AJ64" s="4">
        <f>SUM(AJ65:AJ68)</f>
        <v>44.082556697993219</v>
      </c>
      <c r="AK64" s="4">
        <f>SUM(AK65:AK68)</f>
        <v>246.8272087309434</v>
      </c>
      <c r="AL64" s="273">
        <f>機器台数case３!S36</f>
        <v>0</v>
      </c>
      <c r="AM64" s="4">
        <f>機器台数case３!P36</f>
        <v>2.6500353499701212</v>
      </c>
      <c r="AN64" s="4">
        <f>機器台数case３!P46</f>
        <v>65.458626855834154</v>
      </c>
      <c r="AO64" s="4">
        <f>SUM(AO65:AO68)</f>
        <v>11.85432391303091</v>
      </c>
      <c r="AP64" s="4">
        <f>SUM(AP65:AP68)</f>
        <v>272.31713043519551</v>
      </c>
      <c r="AQ64" s="273">
        <f>機器台数case３!X36</f>
        <v>0</v>
      </c>
      <c r="AR64" s="4">
        <f>機器台数case３!R36</f>
        <v>0</v>
      </c>
      <c r="AS64" s="4">
        <f>機器台数case３!R46</f>
        <v>60.213204498479172</v>
      </c>
      <c r="AT64" s="4">
        <f>SUM(AT65:AT68)</f>
        <v>0</v>
      </c>
      <c r="AU64" s="4">
        <f>SUM(AU65:AU68)</f>
        <v>250.49543277842258</v>
      </c>
    </row>
    <row r="65" spans="1:47" x14ac:dyDescent="0.4">
      <c r="A65" t="s">
        <v>14</v>
      </c>
      <c r="B65">
        <v>2</v>
      </c>
      <c r="C65" s="1">
        <v>3.3</v>
      </c>
      <c r="D65" s="1">
        <f t="shared" si="104"/>
        <v>3.069</v>
      </c>
      <c r="E65" s="4">
        <v>6624</v>
      </c>
      <c r="F65" s="6">
        <v>0.13006597549481622</v>
      </c>
      <c r="H65" s="4">
        <f>F65*H$64</f>
        <v>6.240849100094251</v>
      </c>
      <c r="I65" s="4">
        <f>$F65*I$64</f>
        <v>0</v>
      </c>
      <c r="J65" s="267">
        <f>C65*H65</f>
        <v>20.594802030311026</v>
      </c>
      <c r="K65" s="267">
        <f t="shared" si="130"/>
        <v>0</v>
      </c>
      <c r="L65" s="273">
        <f>SUM(M65:M68)</f>
        <v>50.169861161221789</v>
      </c>
      <c r="M65" s="4">
        <f t="shared" ref="M65:N68" si="188">$F65*M$64</f>
        <v>6.5253919323738048</v>
      </c>
      <c r="N65" s="4">
        <f t="shared" si="188"/>
        <v>0</v>
      </c>
      <c r="O65" s="4">
        <f>$C65*M65</f>
        <v>21.533793376833554</v>
      </c>
      <c r="P65" s="267">
        <f>$D65*N65</f>
        <v>0</v>
      </c>
      <c r="Q65" s="6">
        <f>E65/$A$67</f>
        <v>0.13006597549481622</v>
      </c>
      <c r="R65" s="273">
        <f>SUM(S65:S68)</f>
        <v>52.477783583942077</v>
      </c>
      <c r="S65" s="4">
        <f t="shared" ref="S65:T68" si="189">$F65*S$64</f>
        <v>6.8255741136512791</v>
      </c>
      <c r="T65" s="4">
        <f t="shared" si="189"/>
        <v>0</v>
      </c>
      <c r="U65" s="4">
        <f>$C65*S65</f>
        <v>22.524394575049218</v>
      </c>
      <c r="V65" s="267">
        <f>$D65*T65</f>
        <v>0</v>
      </c>
      <c r="W65" s="273">
        <f>SUM(X65:X68)</f>
        <v>54.91190808034321</v>
      </c>
      <c r="X65" s="4">
        <f t="shared" ref="X65:Y68" si="190">$F65*X$64</f>
        <v>7.1421708907515198</v>
      </c>
      <c r="Y65" s="4">
        <f t="shared" si="190"/>
        <v>0</v>
      </c>
      <c r="Z65" s="4">
        <f>$C65*X65</f>
        <v>23.569163939480013</v>
      </c>
      <c r="AA65" s="267">
        <f>$D65*Y65</f>
        <v>0</v>
      </c>
      <c r="AB65" s="273">
        <f>SUM(AC65:AC68)</f>
        <v>57.478490521876495</v>
      </c>
      <c r="AC65" s="4">
        <f t="shared" ref="AC65:AD68" si="191">$F65*AC$64</f>
        <v>7.4759959396974143</v>
      </c>
      <c r="AD65" s="4">
        <f t="shared" si="191"/>
        <v>6.2374379838156635</v>
      </c>
      <c r="AE65" s="4">
        <f>$C65*AC65</f>
        <v>24.670786601001467</v>
      </c>
      <c r="AF65" s="267">
        <f>$D65*AD65</f>
        <v>19.142697172330269</v>
      </c>
      <c r="AG65" s="273">
        <f>SUM(AH65:AH68)</f>
        <v>9.8546601580819786</v>
      </c>
      <c r="AH65" s="4">
        <f t="shared" ref="AH65:AI68" si="192">$F65*AH$64</f>
        <v>1.2817559866308323</v>
      </c>
      <c r="AI65" s="4">
        <f t="shared" si="192"/>
        <v>7.717002895801734</v>
      </c>
      <c r="AJ65" s="4">
        <f>$C65*AH65</f>
        <v>4.2297947558817466</v>
      </c>
      <c r="AK65" s="267">
        <f>$D65*AI65</f>
        <v>23.683481887215521</v>
      </c>
      <c r="AL65" s="273">
        <f>SUM(AM65:AM68)</f>
        <v>2.6500353499701217</v>
      </c>
      <c r="AM65" s="4">
        <f t="shared" ref="AM65:AN68" si="193">$F65*AM$64</f>
        <v>0.3446794328896105</v>
      </c>
      <c r="AN65" s="4">
        <f t="shared" si="193"/>
        <v>8.5139401565552433</v>
      </c>
      <c r="AO65" s="4">
        <f>$C65*AM65</f>
        <v>1.1374421285357146</v>
      </c>
      <c r="AP65" s="267">
        <f>$D65*AN65</f>
        <v>26.129282340468041</v>
      </c>
      <c r="AQ65" s="273">
        <f>SUM(AR65:AR68)</f>
        <v>0</v>
      </c>
      <c r="AR65" s="4">
        <f t="shared" ref="AR65:AS68" si="194">$F65*AR$64</f>
        <v>0</v>
      </c>
      <c r="AS65" s="4">
        <f t="shared" si="194"/>
        <v>7.8316891807635498</v>
      </c>
      <c r="AT65" s="4">
        <f>$C65*AR65</f>
        <v>0</v>
      </c>
      <c r="AU65" s="267">
        <f>$D65*AS65</f>
        <v>24.035454095763335</v>
      </c>
    </row>
    <row r="66" spans="1:47" x14ac:dyDescent="0.4">
      <c r="A66" t="s">
        <v>15</v>
      </c>
      <c r="B66">
        <v>3</v>
      </c>
      <c r="C66" s="1">
        <v>3.3</v>
      </c>
      <c r="D66" s="1">
        <f t="shared" si="104"/>
        <v>3.069</v>
      </c>
      <c r="E66" s="4">
        <v>19777</v>
      </c>
      <c r="F66" s="6">
        <v>0.38833254791077598</v>
      </c>
      <c r="H66" s="4">
        <f>F66*H$64</f>
        <v>18.633042369046496</v>
      </c>
      <c r="I66" s="4">
        <f>$F66*I$64</f>
        <v>0</v>
      </c>
      <c r="J66" s="267">
        <f>C66*H66</f>
        <v>61.489039817853431</v>
      </c>
      <c r="K66" s="267">
        <f t="shared" si="130"/>
        <v>0</v>
      </c>
      <c r="L66" s="273"/>
      <c r="M66" s="4">
        <f t="shared" si="188"/>
        <v>19.482590013067139</v>
      </c>
      <c r="N66" s="4">
        <f t="shared" si="188"/>
        <v>0</v>
      </c>
      <c r="O66" s="4">
        <f>$C66*M66</f>
        <v>64.292547043121559</v>
      </c>
      <c r="P66" s="267">
        <f>$D66*N66</f>
        <v>0</v>
      </c>
      <c r="Q66" s="6">
        <f>E66/$A$67</f>
        <v>0.38833254791077598</v>
      </c>
      <c r="R66" s="273"/>
      <c r="S66" s="4">
        <f t="shared" si="189"/>
        <v>20.378831407862521</v>
      </c>
      <c r="T66" s="4">
        <f t="shared" si="189"/>
        <v>0</v>
      </c>
      <c r="U66" s="4">
        <f>$C66*S66</f>
        <v>67.250143645946309</v>
      </c>
      <c r="V66" s="267">
        <f>$D66*T66</f>
        <v>0</v>
      </c>
      <c r="W66" s="273"/>
      <c r="X66" s="4">
        <f t="shared" si="190"/>
        <v>21.324081175482004</v>
      </c>
      <c r="Y66" s="4">
        <f t="shared" si="190"/>
        <v>0</v>
      </c>
      <c r="Z66" s="4">
        <f>$C66*X66</f>
        <v>70.369467879090607</v>
      </c>
      <c r="AA66" s="267">
        <f>$D66*Y66</f>
        <v>0</v>
      </c>
      <c r="AB66" s="273"/>
      <c r="AC66" s="4">
        <f t="shared" si="191"/>
        <v>22.320768674425686</v>
      </c>
      <c r="AD66" s="4">
        <f t="shared" si="191"/>
        <v>18.622857941715335</v>
      </c>
      <c r="AE66" s="4">
        <f>$C66*AC66</f>
        <v>73.658536625604754</v>
      </c>
      <c r="AF66" s="267">
        <f>$D66*AD66</f>
        <v>57.153551023124365</v>
      </c>
      <c r="AG66" s="273"/>
      <c r="AH66" s="4">
        <f t="shared" si="192"/>
        <v>3.826885287982785</v>
      </c>
      <c r="AI66" s="4">
        <f t="shared" si="192"/>
        <v>23.040333072202731</v>
      </c>
      <c r="AJ66" s="4">
        <f>$C66*AH66</f>
        <v>12.628721450343191</v>
      </c>
      <c r="AK66" s="267">
        <f>$D66*AI66</f>
        <v>70.710782198590181</v>
      </c>
      <c r="AL66" s="273"/>
      <c r="AM66" s="4">
        <f t="shared" si="193"/>
        <v>1.0290949795075222</v>
      </c>
      <c r="AN66" s="4">
        <f t="shared" si="193"/>
        <v>25.419715349666824</v>
      </c>
      <c r="AO66" s="4">
        <f>$C66*AM66</f>
        <v>3.396013432374823</v>
      </c>
      <c r="AP66" s="267">
        <f>$D66*AN66</f>
        <v>78.013106408127484</v>
      </c>
      <c r="AQ66" s="273"/>
      <c r="AR66" s="4">
        <f t="shared" si="194"/>
        <v>0</v>
      </c>
      <c r="AS66" s="4">
        <f t="shared" si="194"/>
        <v>23.382747120767014</v>
      </c>
      <c r="AT66" s="4">
        <f>$C66*AR66</f>
        <v>0</v>
      </c>
      <c r="AU66" s="267">
        <f>$D66*AS66</f>
        <v>71.761650913633972</v>
      </c>
    </row>
    <row r="67" spans="1:47" x14ac:dyDescent="0.4">
      <c r="A67" s="5">
        <f>SUM(E65:E68)</f>
        <v>50928</v>
      </c>
      <c r="B67">
        <v>4</v>
      </c>
      <c r="C67" s="1">
        <v>5.7</v>
      </c>
      <c r="D67" s="1">
        <f t="shared" si="104"/>
        <v>5.3010000000000002</v>
      </c>
      <c r="E67" s="4">
        <v>15652</v>
      </c>
      <c r="F67" s="6">
        <v>0.30733584668551683</v>
      </c>
      <c r="H67" s="4">
        <f>F67*H$64</f>
        <v>14.74664403905121</v>
      </c>
      <c r="I67" s="4">
        <f>$F67*I$64</f>
        <v>0</v>
      </c>
      <c r="J67" s="267">
        <f>C67*H67</f>
        <v>84.055871022591901</v>
      </c>
      <c r="K67" s="267">
        <f t="shared" si="130"/>
        <v>0</v>
      </c>
      <c r="L67" s="273"/>
      <c r="M67" s="4">
        <f t="shared" si="188"/>
        <v>15.418996758078926</v>
      </c>
      <c r="N67" s="4">
        <f t="shared" si="188"/>
        <v>0</v>
      </c>
      <c r="O67" s="4">
        <f>$C67*M67</f>
        <v>87.888281521049876</v>
      </c>
      <c r="P67" s="267">
        <f>$D67*N67</f>
        <v>0</v>
      </c>
      <c r="Q67" s="6">
        <f>E67/$A$67</f>
        <v>0.30733584668551683</v>
      </c>
      <c r="R67" s="273"/>
      <c r="S67" s="4">
        <f t="shared" si="189"/>
        <v>16.128304049950156</v>
      </c>
      <c r="T67" s="4">
        <f t="shared" si="189"/>
        <v>0</v>
      </c>
      <c r="U67" s="4">
        <f>$C67*S67</f>
        <v>91.931333084715888</v>
      </c>
      <c r="V67" s="267">
        <f>$D67*T67</f>
        <v>0</v>
      </c>
      <c r="W67" s="273"/>
      <c r="X67" s="4">
        <f t="shared" si="190"/>
        <v>16.876397762989551</v>
      </c>
      <c r="Y67" s="4">
        <f t="shared" si="190"/>
        <v>0</v>
      </c>
      <c r="Z67" s="4">
        <f>$C67*X67</f>
        <v>96.195467249040448</v>
      </c>
      <c r="AA67" s="267">
        <f>$D67*Y67</f>
        <v>0</v>
      </c>
      <c r="AB67" s="273"/>
      <c r="AC67" s="4">
        <f t="shared" si="191"/>
        <v>17.665200550746366</v>
      </c>
      <c r="AD67" s="4">
        <f t="shared" si="191"/>
        <v>14.73858383494607</v>
      </c>
      <c r="AE67" s="4">
        <f>$C67*AC67</f>
        <v>100.6916431392543</v>
      </c>
      <c r="AF67" s="267">
        <f>$D67*AD67</f>
        <v>78.129232909049122</v>
      </c>
      <c r="AG67" s="273"/>
      <c r="AH67" s="4">
        <f t="shared" si="192"/>
        <v>3.0286903234821541</v>
      </c>
      <c r="AI67" s="4">
        <f t="shared" si="192"/>
        <v>18.234681359463881</v>
      </c>
      <c r="AJ67" s="4">
        <f>$C67*AH67</f>
        <v>17.26353484384828</v>
      </c>
      <c r="AK67" s="267">
        <f>$D67*AI67</f>
        <v>96.66204588651803</v>
      </c>
      <c r="AL67" s="273"/>
      <c r="AM67" s="4">
        <f t="shared" si="193"/>
        <v>0.81445085802961714</v>
      </c>
      <c r="AN67" s="4">
        <f t="shared" si="193"/>
        <v>20.1177825076091</v>
      </c>
      <c r="AO67" s="4">
        <f>$C67*AM67</f>
        <v>4.6423698907688182</v>
      </c>
      <c r="AP67" s="267">
        <f>$D67*AN67</f>
        <v>106.64436507283584</v>
      </c>
      <c r="AQ67" s="273"/>
      <c r="AR67" s="4">
        <f t="shared" si="194"/>
        <v>0</v>
      </c>
      <c r="AS67" s="4">
        <f t="shared" si="194"/>
        <v>18.505676186188268</v>
      </c>
      <c r="AT67" s="4">
        <f>$C67*AR67</f>
        <v>0</v>
      </c>
      <c r="AU67" s="267">
        <f>$D67*AS67</f>
        <v>98.098589462984009</v>
      </c>
    </row>
    <row r="68" spans="1:47" x14ac:dyDescent="0.4">
      <c r="A68" s="237">
        <f>A67/$E$75</f>
        <v>3.366911211996803E-2</v>
      </c>
      <c r="B68">
        <v>5</v>
      </c>
      <c r="C68" s="1">
        <v>5.8</v>
      </c>
      <c r="D68" s="1">
        <f t="shared" ref="D68:D73" si="195">C68*$D$1</f>
        <v>5.3940000000000001</v>
      </c>
      <c r="E68" s="4">
        <v>8875</v>
      </c>
      <c r="F68" s="6">
        <v>0.174265629908891</v>
      </c>
      <c r="H68" s="4">
        <f>F68*H$64</f>
        <v>8.3616448918080426</v>
      </c>
      <c r="I68" s="4">
        <f>$F68*I$64</f>
        <v>0</v>
      </c>
      <c r="J68" s="267">
        <f>C68*H68</f>
        <v>48.497540372486647</v>
      </c>
      <c r="K68" s="267">
        <f t="shared" si="130"/>
        <v>0</v>
      </c>
      <c r="L68" s="273"/>
      <c r="M68" s="4">
        <f t="shared" si="188"/>
        <v>8.7428824577019206</v>
      </c>
      <c r="N68" s="4">
        <f t="shared" si="188"/>
        <v>0</v>
      </c>
      <c r="O68" s="4">
        <f>$C68*M68</f>
        <v>50.70871825467114</v>
      </c>
      <c r="P68" s="267">
        <f>$D68*N68</f>
        <v>0</v>
      </c>
      <c r="Q68" s="6">
        <f>E68/$A$67</f>
        <v>0.174265629908891</v>
      </c>
      <c r="R68" s="273"/>
      <c r="S68" s="4">
        <f t="shared" si="189"/>
        <v>9.1450740124781262</v>
      </c>
      <c r="T68" s="4">
        <f t="shared" si="189"/>
        <v>0</v>
      </c>
      <c r="U68" s="4">
        <f>$C68*S68</f>
        <v>53.041429272373129</v>
      </c>
      <c r="V68" s="267">
        <f>$D68*T68</f>
        <v>0</v>
      </c>
      <c r="W68" s="273"/>
      <c r="X68" s="4">
        <f t="shared" si="190"/>
        <v>9.5692582511201287</v>
      </c>
      <c r="Y68" s="4">
        <f t="shared" si="190"/>
        <v>0</v>
      </c>
      <c r="Z68" s="4">
        <f>$C68*X68</f>
        <v>55.501697856496747</v>
      </c>
      <c r="AA68" s="267">
        <f>$D68*Y68</f>
        <v>0</v>
      </c>
      <c r="AB68" s="273"/>
      <c r="AC68" s="4">
        <f t="shared" si="191"/>
        <v>10.016525357007028</v>
      </c>
      <c r="AD68" s="4">
        <f t="shared" si="191"/>
        <v>8.3570745933520563</v>
      </c>
      <c r="AE68" s="4">
        <f>$C68*AC68</f>
        <v>58.095847070640758</v>
      </c>
      <c r="AF68" s="267">
        <f>$D68*AD68</f>
        <v>45.078060356540995</v>
      </c>
      <c r="AG68" s="273"/>
      <c r="AH68" s="4">
        <f t="shared" si="192"/>
        <v>1.7173285599862074</v>
      </c>
      <c r="AI68" s="4">
        <f t="shared" si="192"/>
        <v>10.339432472862379</v>
      </c>
      <c r="AJ68" s="4">
        <f>$C68*AH68</f>
        <v>9.9605056479200016</v>
      </c>
      <c r="AK68" s="267">
        <f>$D68*AI68</f>
        <v>55.770898758619673</v>
      </c>
      <c r="AL68" s="273"/>
      <c r="AM68" s="4">
        <f t="shared" si="193"/>
        <v>0.46181007954337155</v>
      </c>
      <c r="AN68" s="4">
        <f t="shared" si="193"/>
        <v>11.407188842002988</v>
      </c>
      <c r="AO68" s="4">
        <f>$C68*AM68</f>
        <v>2.678498461351555</v>
      </c>
      <c r="AP68" s="267">
        <f>$D68*AN68</f>
        <v>61.530376613764119</v>
      </c>
      <c r="AQ68" s="273"/>
      <c r="AR68" s="4">
        <f t="shared" si="194"/>
        <v>0</v>
      </c>
      <c r="AS68" s="4">
        <f t="shared" si="194"/>
        <v>10.493092010760341</v>
      </c>
      <c r="AT68" s="4">
        <f>$C68*AR68</f>
        <v>0</v>
      </c>
      <c r="AU68" s="267">
        <f>$D68*AS68</f>
        <v>56.599738306041282</v>
      </c>
    </row>
    <row r="69" spans="1:47" x14ac:dyDescent="0.4">
      <c r="A69" s="237"/>
      <c r="D69" s="1">
        <f t="shared" si="195"/>
        <v>0</v>
      </c>
      <c r="F69" s="6"/>
      <c r="G69" s="4">
        <f>機器台数case３!D37</f>
        <v>4.2337217999999996</v>
      </c>
      <c r="H69" s="4">
        <f>G69*(1-G$3)</f>
        <v>4.2337217999999996</v>
      </c>
      <c r="I69" s="4">
        <f>G69*G$3</f>
        <v>0</v>
      </c>
      <c r="J69" s="4">
        <f>SUM(J70:J73)</f>
        <v>24.761089345704107</v>
      </c>
      <c r="K69" s="267">
        <f t="shared" si="130"/>
        <v>0</v>
      </c>
      <c r="L69" s="273">
        <f>機器台数case３!F37</f>
        <v>4.426752455401922</v>
      </c>
      <c r="M69" s="4">
        <f>L69*(1-L$3)</f>
        <v>4.426752455401922</v>
      </c>
      <c r="N69" s="4">
        <f>L69*L$3</f>
        <v>0</v>
      </c>
      <c r="O69" s="4">
        <f>SUM(O70:O73)</f>
        <v>25.890036766119593</v>
      </c>
      <c r="P69" s="4">
        <f>SUM(P70:P73)</f>
        <v>0</v>
      </c>
      <c r="Q69" s="6"/>
      <c r="R69" s="273">
        <f>機器台数case３!H37</f>
        <v>4.6303926691713597</v>
      </c>
      <c r="S69" s="4">
        <f>R69*(1-R$3)</f>
        <v>4.6303926691713597</v>
      </c>
      <c r="T69" s="4">
        <f>R69*R$3</f>
        <v>0</v>
      </c>
      <c r="U69" s="4">
        <f>SUM(U70:U73)</f>
        <v>27.081034608142026</v>
      </c>
      <c r="V69" s="4">
        <f>SUM(V70:V73)</f>
        <v>0</v>
      </c>
      <c r="W69" s="273">
        <f>機器台数case３!J37</f>
        <v>4.8451683600302822</v>
      </c>
      <c r="X69" s="4">
        <f>W69*(1-W$3)</f>
        <v>4.8451683600302822</v>
      </c>
      <c r="Y69" s="4">
        <f>W69*W$3</f>
        <v>0</v>
      </c>
      <c r="Z69" s="4">
        <f>SUM(Z70:Z73)</f>
        <v>28.3371587282113</v>
      </c>
      <c r="AA69" s="4">
        <f>SUM(AA70:AA73)</f>
        <v>0</v>
      </c>
      <c r="AB69" s="273">
        <f>機器台数case３!L37+機器台数case３!L47</f>
        <v>9.3030392537387314</v>
      </c>
      <c r="AC69" s="4">
        <f>機器台数case３!L37</f>
        <v>5.0716315166361614</v>
      </c>
      <c r="AD69" s="4">
        <f>機器台数case３!L47</f>
        <v>4.23140773710257</v>
      </c>
      <c r="AE69" s="4">
        <f>SUM(AE70:AE73)</f>
        <v>29.661637453815892</v>
      </c>
      <c r="AF69" s="4">
        <f>SUM(AF70:AF73)</f>
        <v>23.015226575337415</v>
      </c>
      <c r="AG69" s="273">
        <f>機器台数case３!N37</f>
        <v>0.86952883747782161</v>
      </c>
      <c r="AH69" s="4">
        <f>機器台数case３!N37</f>
        <v>0.86952883747782161</v>
      </c>
      <c r="AI69" s="4">
        <f>機器台数case３!N47</f>
        <v>5.2351279235585935</v>
      </c>
      <c r="AJ69" s="4">
        <f>SUM(AJ70:AJ73)</f>
        <v>5.0854737865521935</v>
      </c>
      <c r="AK69" s="4">
        <f>SUM(AK70:AK73)</f>
        <v>28.474602968439033</v>
      </c>
      <c r="AL69" s="273">
        <f>機器台数case３!S37</f>
        <v>0</v>
      </c>
      <c r="AM69" s="4">
        <f>機器台数case３!P37</f>
        <v>0.2338266485267754</v>
      </c>
      <c r="AN69" s="4">
        <f>機器台数case３!P47</f>
        <v>5.7757611931618369</v>
      </c>
      <c r="AO69" s="4">
        <f>SUM(AO70:AO73)</f>
        <v>1.3675443992512777</v>
      </c>
      <c r="AP69" s="4">
        <f>SUM(AP70:AP73)</f>
        <v>31.415183968228064</v>
      </c>
      <c r="AQ69" s="273">
        <f>機器台数case３!X37</f>
        <v>0</v>
      </c>
      <c r="AR69" s="4">
        <f>機器台数case３!R37</f>
        <v>0</v>
      </c>
      <c r="AS69" s="4">
        <f>機器台数case３!R47</f>
        <v>5.8270843063044362</v>
      </c>
      <c r="AT69" s="4">
        <f>SUM(AT70:AT73)</f>
        <v>0</v>
      </c>
      <c r="AU69" s="4">
        <f>SUM(AU70:AU73)</f>
        <v>31.694337656767999</v>
      </c>
    </row>
    <row r="70" spans="1:47" x14ac:dyDescent="0.4">
      <c r="A70" t="s">
        <v>16</v>
      </c>
      <c r="B70">
        <v>2</v>
      </c>
      <c r="C70" s="1">
        <v>4.3</v>
      </c>
      <c r="D70" s="1">
        <f t="shared" si="195"/>
        <v>3.9990000000000001</v>
      </c>
      <c r="E70" s="4">
        <v>700</v>
      </c>
      <c r="F70" s="6">
        <v>0.16623129897886488</v>
      </c>
      <c r="H70" s="4">
        <f>F70*H$69</f>
        <v>0.70377707432913794</v>
      </c>
      <c r="I70" s="4">
        <f>$F70*I$69</f>
        <v>0</v>
      </c>
      <c r="J70" s="267">
        <f>C70*H70</f>
        <v>3.0262414196152929</v>
      </c>
      <c r="K70" s="267">
        <f t="shared" si="130"/>
        <v>0</v>
      </c>
      <c r="L70" s="273">
        <f>SUM(M70:M73)</f>
        <v>4.426752455401922</v>
      </c>
      <c r="M70" s="4">
        <f t="shared" ref="M70:N73" si="196">$F70*M$69</f>
        <v>0.73586481091934108</v>
      </c>
      <c r="N70" s="4">
        <f t="shared" si="196"/>
        <v>0</v>
      </c>
      <c r="O70" s="4">
        <f>$C70*M70</f>
        <v>3.1642186869531663</v>
      </c>
      <c r="P70" s="267">
        <f>$D70*N70</f>
        <v>0</v>
      </c>
      <c r="Q70" s="6">
        <f>E70/$A$71</f>
        <v>0.16623129897886488</v>
      </c>
      <c r="R70" s="273">
        <f>SUM(S70:S73)</f>
        <v>4.6303926691713588</v>
      </c>
      <c r="S70" s="4">
        <f t="shared" ref="S70:T73" si="197">$F70*S$69</f>
        <v>0.76971618817856846</v>
      </c>
      <c r="T70" s="4">
        <f t="shared" si="197"/>
        <v>0</v>
      </c>
      <c r="U70" s="4">
        <f>$C70*S70</f>
        <v>3.3097796091678444</v>
      </c>
      <c r="V70" s="267">
        <f>$D70*T70</f>
        <v>0</v>
      </c>
      <c r="W70" s="273">
        <f>SUM(X70:X73)</f>
        <v>4.8451683600302822</v>
      </c>
      <c r="X70" s="4">
        <f t="shared" ref="X70:Y73" si="198">$F70*X$69</f>
        <v>0.8054186302591303</v>
      </c>
      <c r="Y70" s="4">
        <f t="shared" si="198"/>
        <v>0</v>
      </c>
      <c r="Z70" s="4">
        <f>$C70*X70</f>
        <v>3.4633001101142602</v>
      </c>
      <c r="AA70" s="267">
        <f>$D70*Y70</f>
        <v>0</v>
      </c>
      <c r="AB70" s="273">
        <f>SUM(AC70:AC73)</f>
        <v>5.0716315166361614</v>
      </c>
      <c r="AC70" s="4">
        <f t="shared" ref="AC70:AD73" si="199">$F70*AC$69</f>
        <v>0.84306389495257972</v>
      </c>
      <c r="AD70" s="4">
        <f t="shared" si="199"/>
        <v>0.70339240464777941</v>
      </c>
      <c r="AE70" s="4">
        <f>$C70*AC70</f>
        <v>3.6251747482960925</v>
      </c>
      <c r="AF70" s="267">
        <f>$D70*AD70</f>
        <v>2.8128662261864701</v>
      </c>
      <c r="AG70" s="273">
        <f>SUM(AH70:AH73)</f>
        <v>0.86952883747782161</v>
      </c>
      <c r="AH70" s="4">
        <f t="shared" ref="AH70:AI73" si="200">$F70*AH$69</f>
        <v>0.14454290815352058</v>
      </c>
      <c r="AI70" s="4">
        <f t="shared" si="200"/>
        <v>0.87024211505367266</v>
      </c>
      <c r="AJ70" s="4">
        <f>$C70*AH70</f>
        <v>0.62153450506013852</v>
      </c>
      <c r="AK70" s="267">
        <f>$D70*AI70</f>
        <v>3.4800982180996369</v>
      </c>
      <c r="AL70" s="273">
        <f>SUM(AM70:AM73)</f>
        <v>0.23382664852677543</v>
      </c>
      <c r="AM70" s="4">
        <f t="shared" ref="AM70:AN73" si="201">$F70*AM$69</f>
        <v>3.8869307520480359E-2</v>
      </c>
      <c r="AN70" s="4">
        <f t="shared" si="201"/>
        <v>0.9601122857310106</v>
      </c>
      <c r="AO70" s="4">
        <f>$C70*AM70</f>
        <v>0.16713802233806554</v>
      </c>
      <c r="AP70" s="267">
        <f>$D70*AN70</f>
        <v>3.8394890306383114</v>
      </c>
      <c r="AQ70" s="273">
        <f>SUM(AR70:AR73)</f>
        <v>0</v>
      </c>
      <c r="AR70" s="4">
        <f t="shared" ref="AR70:AS73" si="202">$F70*AR$69</f>
        <v>0</v>
      </c>
      <c r="AS70" s="4">
        <f t="shared" si="202"/>
        <v>0.96864379349634422</v>
      </c>
      <c r="AT70" s="4">
        <f>$C70*AR70</f>
        <v>0</v>
      </c>
      <c r="AU70" s="267">
        <f>$D70*AS70</f>
        <v>3.8736065301918807</v>
      </c>
    </row>
    <row r="71" spans="1:47" x14ac:dyDescent="0.4">
      <c r="A71" s="5">
        <f>SUM(E70:E73)</f>
        <v>4211</v>
      </c>
      <c r="B71">
        <v>3</v>
      </c>
      <c r="C71" s="1">
        <v>4.4000000000000004</v>
      </c>
      <c r="D71" s="1">
        <f t="shared" si="195"/>
        <v>4.0920000000000005</v>
      </c>
      <c r="E71" s="4">
        <v>1138</v>
      </c>
      <c r="F71" s="6">
        <v>0.27024459748278318</v>
      </c>
      <c r="H71" s="4">
        <f>F71*H$69</f>
        <v>1.1441404436950842</v>
      </c>
      <c r="I71" s="4">
        <f>$F71*I$69</f>
        <v>0</v>
      </c>
      <c r="J71" s="267">
        <f>C71*H71</f>
        <v>5.0342179522583708</v>
      </c>
      <c r="K71" s="267">
        <f t="shared" si="130"/>
        <v>0</v>
      </c>
      <c r="L71" s="273"/>
      <c r="M71" s="4">
        <f t="shared" si="196"/>
        <v>1.1963059354660146</v>
      </c>
      <c r="N71" s="4">
        <f t="shared" si="196"/>
        <v>0</v>
      </c>
      <c r="O71" s="4">
        <f>$C71*M71</f>
        <v>5.2637461160504646</v>
      </c>
      <c r="P71" s="267">
        <f>$D71*N71</f>
        <v>0</v>
      </c>
      <c r="Q71" s="6">
        <f>E71/$A$71</f>
        <v>0.27024459748278318</v>
      </c>
      <c r="R71" s="273"/>
      <c r="S71" s="4">
        <f t="shared" si="197"/>
        <v>1.251338603067444</v>
      </c>
      <c r="T71" s="4">
        <f t="shared" si="197"/>
        <v>0</v>
      </c>
      <c r="U71" s="4">
        <f>$C71*S71</f>
        <v>5.505889853496754</v>
      </c>
      <c r="V71" s="267">
        <f>$D71*T71</f>
        <v>0</v>
      </c>
      <c r="W71" s="273"/>
      <c r="X71" s="4">
        <f t="shared" si="198"/>
        <v>1.3093805731927002</v>
      </c>
      <c r="Y71" s="4">
        <f t="shared" si="198"/>
        <v>0</v>
      </c>
      <c r="Z71" s="4">
        <f>$C71*X71</f>
        <v>5.7612745220478816</v>
      </c>
      <c r="AA71" s="267">
        <f>$D71*Y71</f>
        <v>0</v>
      </c>
      <c r="AB71" s="273"/>
      <c r="AC71" s="4">
        <f t="shared" si="199"/>
        <v>1.3705810177943367</v>
      </c>
      <c r="AD71" s="4">
        <f t="shared" si="199"/>
        <v>1.1435150806988184</v>
      </c>
      <c r="AE71" s="4">
        <f>$C71*AC71</f>
        <v>6.0305564782950825</v>
      </c>
      <c r="AF71" s="267">
        <f>$D71*AD71</f>
        <v>4.6792637102195656</v>
      </c>
      <c r="AG71" s="273"/>
      <c r="AH71" s="4">
        <f t="shared" si="200"/>
        <v>0.2349854706838663</v>
      </c>
      <c r="AI71" s="4">
        <f t="shared" si="200"/>
        <v>1.4147650384729706</v>
      </c>
      <c r="AJ71" s="4">
        <f>$C71*AH71</f>
        <v>1.0339360710090117</v>
      </c>
      <c r="AK71" s="267">
        <f>$D71*AI71</f>
        <v>5.7892185374313962</v>
      </c>
      <c r="AL71" s="273"/>
      <c r="AM71" s="4">
        <f t="shared" si="201"/>
        <v>6.3190388511866633E-2</v>
      </c>
      <c r="AN71" s="4">
        <f t="shared" si="201"/>
        <v>1.5608682588027001</v>
      </c>
      <c r="AO71" s="4">
        <f>$C71*AM71</f>
        <v>0.27803770945221323</v>
      </c>
      <c r="AP71" s="267">
        <f>$D71*AN71</f>
        <v>6.3870729150206493</v>
      </c>
      <c r="AQ71" s="273"/>
      <c r="AR71" s="4">
        <f t="shared" si="202"/>
        <v>0</v>
      </c>
      <c r="AS71" s="4">
        <f t="shared" si="202"/>
        <v>1.5747380528554853</v>
      </c>
      <c r="AT71" s="4">
        <f>$C71*AR71</f>
        <v>0</v>
      </c>
      <c r="AU71" s="267">
        <f>$D71*AS71</f>
        <v>6.4438281122846464</v>
      </c>
    </row>
    <row r="72" spans="1:47" x14ac:dyDescent="0.4">
      <c r="A72" s="237">
        <f>A71/$E$75</f>
        <v>2.7839426472114626E-3</v>
      </c>
      <c r="B72">
        <v>4</v>
      </c>
      <c r="C72" s="1">
        <v>7</v>
      </c>
      <c r="D72" s="1">
        <f t="shared" si="195"/>
        <v>6.5100000000000007</v>
      </c>
      <c r="E72" s="4">
        <v>1229</v>
      </c>
      <c r="F72" s="6">
        <v>0.2918546663500356</v>
      </c>
      <c r="H72" s="4">
        <f>F72*H$69</f>
        <v>1.235631463357872</v>
      </c>
      <c r="I72" s="4">
        <f>$F72*I$69</f>
        <v>0</v>
      </c>
      <c r="J72" s="267">
        <f>C72*H72</f>
        <v>8.6494202435051033</v>
      </c>
      <c r="K72" s="267">
        <f t="shared" si="130"/>
        <v>0</v>
      </c>
      <c r="L72" s="273"/>
      <c r="M72" s="4">
        <f t="shared" si="196"/>
        <v>1.2919683608855288</v>
      </c>
      <c r="N72" s="4">
        <f t="shared" si="196"/>
        <v>0</v>
      </c>
      <c r="O72" s="4">
        <f>$C72*M72</f>
        <v>9.043778526198702</v>
      </c>
      <c r="P72" s="267">
        <f>$D72*N72</f>
        <v>0</v>
      </c>
      <c r="Q72" s="6">
        <f>E72/$A$71</f>
        <v>0.2918546663500356</v>
      </c>
      <c r="R72" s="273"/>
      <c r="S72" s="4">
        <f t="shared" si="197"/>
        <v>1.3514017075306579</v>
      </c>
      <c r="T72" s="4">
        <f t="shared" si="197"/>
        <v>0</v>
      </c>
      <c r="U72" s="4">
        <f>$C72*S72</f>
        <v>9.4598119527146061</v>
      </c>
      <c r="V72" s="267">
        <f>$D72*T72</f>
        <v>0</v>
      </c>
      <c r="W72" s="273"/>
      <c r="X72" s="4">
        <f t="shared" si="198"/>
        <v>1.4140849951263872</v>
      </c>
      <c r="Y72" s="4">
        <f t="shared" si="198"/>
        <v>0</v>
      </c>
      <c r="Z72" s="4">
        <f>$C72*X72</f>
        <v>9.8985949658847101</v>
      </c>
      <c r="AA72" s="267">
        <f>$D72*Y72</f>
        <v>0</v>
      </c>
      <c r="AB72" s="273"/>
      <c r="AC72" s="4">
        <f t="shared" si="199"/>
        <v>1.480179324138172</v>
      </c>
      <c r="AD72" s="4">
        <f t="shared" si="199"/>
        <v>1.2349560933030297</v>
      </c>
      <c r="AE72" s="4">
        <f>$C72*AC72</f>
        <v>10.361255268967204</v>
      </c>
      <c r="AF72" s="267">
        <f>$D72*AD72</f>
        <v>8.0395641674027249</v>
      </c>
      <c r="AG72" s="273"/>
      <c r="AH72" s="4">
        <f t="shared" si="200"/>
        <v>0.25377604874382398</v>
      </c>
      <c r="AI72" s="4">
        <f t="shared" si="200"/>
        <v>1.527896513429948</v>
      </c>
      <c r="AJ72" s="4">
        <f>$C72*AH72</f>
        <v>1.776432341206768</v>
      </c>
      <c r="AK72" s="267">
        <f>$D72*AI72</f>
        <v>9.9466063024289628</v>
      </c>
      <c r="AL72" s="273"/>
      <c r="AM72" s="4">
        <f t="shared" si="201"/>
        <v>6.8243398489529081E-2</v>
      </c>
      <c r="AN72" s="4">
        <f t="shared" si="201"/>
        <v>1.6856828559477315</v>
      </c>
      <c r="AO72" s="4">
        <f>$C72*AM72</f>
        <v>0.47770378942670355</v>
      </c>
      <c r="AP72" s="267">
        <f>$D72*AN72</f>
        <v>10.973795392219733</v>
      </c>
      <c r="AQ72" s="273"/>
      <c r="AR72" s="4">
        <f t="shared" si="202"/>
        <v>0</v>
      </c>
      <c r="AS72" s="4">
        <f t="shared" si="202"/>
        <v>1.7006617460100097</v>
      </c>
      <c r="AT72" s="4">
        <f>$C72*AR72</f>
        <v>0</v>
      </c>
      <c r="AU72" s="267">
        <f>$D72*AS72</f>
        <v>11.071307966525165</v>
      </c>
    </row>
    <row r="73" spans="1:47" x14ac:dyDescent="0.4">
      <c r="B73">
        <v>5</v>
      </c>
      <c r="C73" s="1">
        <v>7</v>
      </c>
      <c r="D73" s="1">
        <f t="shared" si="195"/>
        <v>6.5100000000000007</v>
      </c>
      <c r="E73" s="4">
        <v>1144</v>
      </c>
      <c r="F73" s="6">
        <v>0.27166943718831632</v>
      </c>
      <c r="H73" s="4">
        <f>F73*H$69</f>
        <v>1.1501728186179054</v>
      </c>
      <c r="I73" s="4">
        <f>$F73*I$69</f>
        <v>0</v>
      </c>
      <c r="J73" s="267">
        <f>C73*H73</f>
        <v>8.051209730325338</v>
      </c>
      <c r="K73" s="267">
        <f t="shared" si="130"/>
        <v>0</v>
      </c>
      <c r="L73" s="273"/>
      <c r="M73" s="4">
        <f t="shared" si="196"/>
        <v>1.2026133481310375</v>
      </c>
      <c r="N73" s="4">
        <f t="shared" si="196"/>
        <v>0</v>
      </c>
      <c r="O73" s="4">
        <f>$C73*M73</f>
        <v>8.4182934369172617</v>
      </c>
      <c r="P73" s="267">
        <f>$D73*N73</f>
        <v>0</v>
      </c>
      <c r="Q73" s="6">
        <f>E73/$A$71</f>
        <v>0.27166943718831632</v>
      </c>
      <c r="R73" s="273"/>
      <c r="S73" s="4">
        <f t="shared" si="197"/>
        <v>1.257936170394689</v>
      </c>
      <c r="T73" s="4">
        <f t="shared" si="197"/>
        <v>0</v>
      </c>
      <c r="U73" s="4">
        <f>$C73*S73</f>
        <v>8.8055531927628223</v>
      </c>
      <c r="V73" s="267">
        <f>$D73*T73</f>
        <v>0</v>
      </c>
      <c r="W73" s="273"/>
      <c r="X73" s="4">
        <f t="shared" si="198"/>
        <v>1.3162841614520644</v>
      </c>
      <c r="Y73" s="4">
        <f t="shared" si="198"/>
        <v>0</v>
      </c>
      <c r="Z73" s="4">
        <f>$C73*X73</f>
        <v>9.2139891301644514</v>
      </c>
      <c r="AA73" s="267">
        <f>$D73*Y73</f>
        <v>0</v>
      </c>
      <c r="AB73" s="273"/>
      <c r="AC73" s="4">
        <f t="shared" si="199"/>
        <v>1.3778072797510732</v>
      </c>
      <c r="AD73" s="4">
        <f t="shared" si="199"/>
        <v>1.1495441584529424</v>
      </c>
      <c r="AE73" s="4">
        <f>$C73*AC73</f>
        <v>9.6446509582575128</v>
      </c>
      <c r="AF73" s="267">
        <f>$D73*AD73</f>
        <v>7.4835324715286564</v>
      </c>
      <c r="AG73" s="273"/>
      <c r="AH73" s="4">
        <f t="shared" si="200"/>
        <v>0.23622440989661078</v>
      </c>
      <c r="AI73" s="4">
        <f t="shared" si="200"/>
        <v>1.4222242566020022</v>
      </c>
      <c r="AJ73" s="4">
        <f>$C73*AH73</f>
        <v>1.6535708692762754</v>
      </c>
      <c r="AK73" s="267">
        <f>$D73*AI73</f>
        <v>9.2586799104790352</v>
      </c>
      <c r="AL73" s="273"/>
      <c r="AM73" s="4">
        <f t="shared" si="201"/>
        <v>6.3523554004899327E-2</v>
      </c>
      <c r="AN73" s="4">
        <f t="shared" si="201"/>
        <v>1.5690977926803946</v>
      </c>
      <c r="AO73" s="4">
        <f>$C73*AM73</f>
        <v>0.44466487803429527</v>
      </c>
      <c r="AP73" s="267">
        <f>$D73*AN73</f>
        <v>10.21482663034937</v>
      </c>
      <c r="AQ73" s="273"/>
      <c r="AR73" s="4">
        <f t="shared" si="202"/>
        <v>0</v>
      </c>
      <c r="AS73" s="4">
        <f t="shared" si="202"/>
        <v>1.5830407139425968</v>
      </c>
      <c r="AT73" s="4">
        <f>$C73*AR73</f>
        <v>0</v>
      </c>
      <c r="AU73" s="267">
        <f>$D73*AS73</f>
        <v>10.305595047766307</v>
      </c>
    </row>
    <row r="74" spans="1:47" x14ac:dyDescent="0.4">
      <c r="A74" t="s">
        <v>20</v>
      </c>
      <c r="D74" s="1">
        <f>C74*0.85</f>
        <v>0</v>
      </c>
      <c r="E74" s="4">
        <f>SUM(E4:E73)</f>
        <v>1812603</v>
      </c>
      <c r="F74" s="6">
        <v>1</v>
      </c>
      <c r="H74" s="267">
        <f>SUM(H3,H11,H19,H27,H35,H43,H48,H56,H64,H69)</f>
        <v>1439.2406000000001</v>
      </c>
      <c r="I74" s="267">
        <f>SUM(I3,I12,I19,I27,I35,I43,I48,I56,I64,I69)</f>
        <v>0</v>
      </c>
      <c r="J74" s="267">
        <f>SUM(J3,J11,J19,J27,J35,J43,J48,J56,J64,J69)</f>
        <v>4113.4254878329739</v>
      </c>
      <c r="K74" s="267">
        <f>SUM(K3,K11,K19,K27,K35,K43,K48,K56,K64,K69)</f>
        <v>0</v>
      </c>
      <c r="L74" s="273"/>
      <c r="M74" s="267">
        <f>SUM(M3,M11,M19,M27,M35,M43,M48,M56,M64,M69)</f>
        <v>1510.5841518006409</v>
      </c>
      <c r="N74" s="267">
        <f>SUM(N3,N12,N19,N27,N35,N43,N48,N56,N64,N69)</f>
        <v>0</v>
      </c>
      <c r="O74" s="4">
        <f>SUM(O3,O11,O19,O27,O35,O43,O48,O56,O64,O69)</f>
        <v>4316.3558428704737</v>
      </c>
      <c r="P74" s="267">
        <f>SUM(P3,P11,P19,P27,P35,P43,P48,P56,P64,P69)</f>
        <v>0</v>
      </c>
      <c r="Q74" s="6">
        <f>E74/$E$74</f>
        <v>1</v>
      </c>
      <c r="R74" s="273"/>
      <c r="S74" s="267">
        <f>SUM(S3,S11,S19,S27,S35,S43,S48,S56,S64,S69)</f>
        <v>1585.4642230571199</v>
      </c>
      <c r="T74" s="267">
        <f>SUM(T3,T12,T19,T27,T35,T43,T48,T56,T64,T69)</f>
        <v>0</v>
      </c>
      <c r="U74" s="4">
        <f>SUM(U3,U11,U19,U27,U35,U43,U48,U56,U64,U69)</f>
        <v>4529.4056889908807</v>
      </c>
      <c r="V74" s="267">
        <f>SUM(V3,V11,V19,V27,V35,V43,V48,V56,V64,V69)</f>
        <v>0</v>
      </c>
      <c r="W74" s="273"/>
      <c r="X74" s="267">
        <f>SUM(X3,X11,X19,X27,X35,X43,X48,X56,X64,X69)</f>
        <v>1664.0561200100942</v>
      </c>
      <c r="Y74" s="267">
        <f>SUM(Y3,Y12,Y19,Y27,Y35,Y43,Y48,Y56,Y64,Y69)</f>
        <v>0</v>
      </c>
      <c r="Z74" s="4">
        <f>SUM(Z3,Z11,Z19,Z27,Z35,Z43,Z48,Z56,Z64,Z69)</f>
        <v>4753.076652146282</v>
      </c>
      <c r="AA74" s="267">
        <f>SUM(AA3,AA11,AA19,AA27,AA35,AA43,AA48,AA56,AA64,AA69)</f>
        <v>0</v>
      </c>
      <c r="AB74" s="273"/>
      <c r="AC74" s="267">
        <f>SUM(AC3,AC11,AC19,AC27,AC35,AC43,AC48,AC56,AC64,AC69)</f>
        <v>1032.7548789195298</v>
      </c>
      <c r="AD74" s="267">
        <f>SUM(AD3,AD11,AD19,AD27,AD35,AD43,AD48,AD56,AD64,AD69)</f>
        <v>1047.9263033272321</v>
      </c>
      <c r="AE74" s="4">
        <f>SUM(AE3,AE11,AE19,AE27,AE35,AE43,AE48,AE56,AE64,AE69)</f>
        <v>3103.5344355152461</v>
      </c>
      <c r="AF74" s="267">
        <f>SUM(AF3,AF11,AF19,AF27,AF35,AF43,AF48,AF56,AF64,AF69)</f>
        <v>2948.7207825243181</v>
      </c>
      <c r="AG74" s="273"/>
      <c r="AH74" s="267">
        <f>SUM(AH3,AH11,AH19,AH27,AH35,AH43,AH48,AH56,AH64,AH69)</f>
        <v>289.8429458259406</v>
      </c>
      <c r="AI74" s="267">
        <f>SUM(AI3,AI11,AI19,AI27,AI35,AI43,AI48,AI56,AI64,AI69)</f>
        <v>1490.7775507993263</v>
      </c>
      <c r="AJ74" s="4">
        <f>SUM(AJ3,AJ11,AJ19,AJ27,AJ35,AJ43,AJ48,AJ56,AJ64,AJ69)</f>
        <v>829.36433472391047</v>
      </c>
      <c r="AK74" s="267">
        <f>SUM(AK3,AK11,AK19,AK27,AK35,AK43,AK48,AK56,AK64,AK69)</f>
        <v>4086.1762009126105</v>
      </c>
      <c r="AL74" s="273"/>
      <c r="AM74" s="267">
        <f>SUM(AM3,AM11,AM19,AM27,AM35,AM43,AM48,AM56,AM64,AM69)</f>
        <v>77.942216175591795</v>
      </c>
      <c r="AN74" s="267">
        <f>SUM(AN3,AN11,AN19,AN27,AN35,AN43,AN48,AN56,AN64,AN69)</f>
        <v>1790.0465668972649</v>
      </c>
      <c r="AO74" s="4">
        <f>SUM(AO3,AO11,AO19,AO27,AO35,AO43,AO48,AO56,AO64,AO69)</f>
        <v>223.02593592944183</v>
      </c>
      <c r="AP74" s="267">
        <f>SUM(AP3,AP11,AP19,AP27,AP35,AP43,AP48,AP56,AP64,AP69)</f>
        <v>4834.9210859264258</v>
      </c>
      <c r="AQ74" s="273"/>
      <c r="AR74" s="267">
        <f>SUM(AR3,AR11,AR19,AR27,AR35,AR43,AR48,AR56,AR64,AR69)</f>
        <v>0</v>
      </c>
      <c r="AS74" s="267">
        <f>SUM(AS3,AS11,AS19,AS27,AS35,AS43,AS48,AS56,AS64,AS69)</f>
        <v>2021.3037968702465</v>
      </c>
      <c r="AT74" s="4">
        <f>SUM(AT3,AT11,AT19,AT27,AT35,AT43,AT48,AT56,AT64,AT69)</f>
        <v>0</v>
      </c>
      <c r="AU74" s="267">
        <f>SUM(AU3,AU11,AU19,AU27,AU35,AU43,AU48,AU56,AU64,AU69)</f>
        <v>5358.1595109190011</v>
      </c>
    </row>
    <row r="75" spans="1:47" x14ac:dyDescent="0.4">
      <c r="A75" t="s">
        <v>74</v>
      </c>
      <c r="D75" s="1">
        <f>C75*0.85</f>
        <v>0</v>
      </c>
      <c r="E75" s="4">
        <f>E74-A59</f>
        <v>1512603</v>
      </c>
      <c r="J75" s="267"/>
      <c r="K75" s="267"/>
      <c r="AC75" s="172">
        <f>AC74+AD74</f>
        <v>2080.6811822467616</v>
      </c>
      <c r="AH75" s="172">
        <f>AH74-AH56</f>
        <v>289.8429458259406</v>
      </c>
      <c r="AI75" s="172">
        <f>AI74-AI56</f>
        <v>1480.2775507993263</v>
      </c>
      <c r="AM75" s="172">
        <f>AM74-AM56</f>
        <v>77.942216175591795</v>
      </c>
      <c r="AN75" s="172">
        <f>AN74-AN56</f>
        <v>1776.0465668972649</v>
      </c>
      <c r="AR75" s="172">
        <f>AR74-AR56</f>
        <v>0</v>
      </c>
      <c r="AS75" s="172">
        <f>AS74-AS56</f>
        <v>1944.3037968702465</v>
      </c>
    </row>
    <row r="76" spans="1:47" x14ac:dyDescent="0.4">
      <c r="J76" s="267"/>
      <c r="AH76" s="172">
        <f>AH74+AI74</f>
        <v>1780.6204966252669</v>
      </c>
      <c r="AM76" s="172">
        <f>AM74+AN74</f>
        <v>1867.9887830728567</v>
      </c>
      <c r="AR76" s="172">
        <f>AR74+AS74</f>
        <v>2021.3037968702465</v>
      </c>
    </row>
  </sheetData>
  <phoneticPr fontId="2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28B72-2DF8-4A56-9F80-375F1FA53836}">
  <dimension ref="A1:AT82"/>
  <sheetViews>
    <sheetView workbookViewId="0">
      <selection activeCell="L15" sqref="L15"/>
    </sheetView>
  </sheetViews>
  <sheetFormatPr defaultRowHeight="15" x14ac:dyDescent="0.4"/>
  <cols>
    <col min="1" max="1" width="19.25" bestFit="1" customWidth="1"/>
    <col min="3" max="3" width="13.875" style="1" bestFit="1" customWidth="1"/>
    <col min="4" max="4" width="11.5" style="1" bestFit="1" customWidth="1"/>
    <col min="5" max="5" width="9.375" style="4" hidden="1" customWidth="1"/>
    <col min="6" max="6" width="8.75" style="4"/>
    <col min="7" max="7" width="7.25" style="4" customWidth="1"/>
    <col min="8" max="8" width="10.375" style="4" bestFit="1" customWidth="1"/>
    <col min="9" max="9" width="8.25" style="4" hidden="1" customWidth="1"/>
    <col min="10" max="10" width="12.375" style="4" bestFit="1" customWidth="1"/>
    <col min="11" max="11" width="0" style="4" hidden="1" customWidth="1"/>
    <col min="14" max="14" width="0" hidden="1" customWidth="1"/>
    <col min="16" max="16" width="0" style="302" hidden="1" customWidth="1"/>
    <col min="43" max="43" width="0" hidden="1" customWidth="1"/>
    <col min="45" max="45" width="0" hidden="1" customWidth="1"/>
  </cols>
  <sheetData>
    <row r="1" spans="1:46" x14ac:dyDescent="0.4">
      <c r="A1" s="8" t="s">
        <v>23</v>
      </c>
      <c r="C1" s="1" t="s">
        <v>29</v>
      </c>
      <c r="D1" s="1">
        <v>0.93</v>
      </c>
      <c r="E1" s="4" t="s">
        <v>18</v>
      </c>
      <c r="G1" s="4" t="s">
        <v>42</v>
      </c>
      <c r="L1" s="4" t="s">
        <v>64</v>
      </c>
      <c r="M1" s="4"/>
      <c r="N1" s="4"/>
      <c r="O1" s="4"/>
      <c r="P1" s="297"/>
      <c r="Q1" s="4" t="s">
        <v>19</v>
      </c>
      <c r="R1" s="4"/>
      <c r="S1" s="4"/>
      <c r="T1" s="4"/>
      <c r="U1" s="297"/>
      <c r="V1" s="4" t="s">
        <v>32</v>
      </c>
      <c r="W1" s="4"/>
      <c r="X1" s="4"/>
      <c r="Y1" s="4"/>
      <c r="Z1" s="297"/>
      <c r="AA1" s="4" t="s">
        <v>172</v>
      </c>
      <c r="AB1" s="4"/>
      <c r="AC1" s="4"/>
      <c r="AD1" s="4"/>
      <c r="AE1" s="297"/>
      <c r="AF1" s="4" t="s">
        <v>173</v>
      </c>
      <c r="AG1" s="4"/>
      <c r="AH1" s="4"/>
      <c r="AI1" s="4"/>
      <c r="AJ1" s="297"/>
      <c r="AK1" s="4" t="s">
        <v>174</v>
      </c>
      <c r="AL1" s="4"/>
      <c r="AM1" s="4"/>
      <c r="AN1" s="4"/>
      <c r="AO1" s="297"/>
      <c r="AP1" s="4" t="s">
        <v>43</v>
      </c>
      <c r="AQ1" s="4"/>
      <c r="AR1" s="4"/>
      <c r="AS1" s="4"/>
      <c r="AT1" s="297"/>
    </row>
    <row r="2" spans="1:46" ht="18" customHeight="1" x14ac:dyDescent="0.4">
      <c r="C2" s="2" t="s">
        <v>4</v>
      </c>
      <c r="D2" s="2" t="s">
        <v>175</v>
      </c>
      <c r="E2" s="4" t="s">
        <v>19</v>
      </c>
      <c r="H2" s="4" t="s">
        <v>169</v>
      </c>
      <c r="I2" s="4" t="s">
        <v>170</v>
      </c>
      <c r="J2" s="4" t="s">
        <v>171</v>
      </c>
      <c r="K2" s="4" t="s">
        <v>84</v>
      </c>
      <c r="L2" s="4"/>
      <c r="M2" s="4" t="s">
        <v>169</v>
      </c>
      <c r="N2" s="4" t="s">
        <v>170</v>
      </c>
      <c r="O2" s="4" t="s">
        <v>171</v>
      </c>
      <c r="P2" s="297" t="s">
        <v>84</v>
      </c>
      <c r="Q2" s="4"/>
      <c r="R2" s="4" t="s">
        <v>169</v>
      </c>
      <c r="S2" s="4" t="s">
        <v>170</v>
      </c>
      <c r="T2" s="4" t="s">
        <v>171</v>
      </c>
      <c r="U2" s="297" t="s">
        <v>84</v>
      </c>
      <c r="V2" s="4"/>
      <c r="W2" s="4" t="s">
        <v>169</v>
      </c>
      <c r="X2" s="4" t="s">
        <v>170</v>
      </c>
      <c r="Y2" s="4" t="s">
        <v>171</v>
      </c>
      <c r="Z2" s="297" t="s">
        <v>84</v>
      </c>
      <c r="AA2" s="4"/>
      <c r="AB2" s="4" t="s">
        <v>169</v>
      </c>
      <c r="AC2" s="4" t="s">
        <v>170</v>
      </c>
      <c r="AD2" s="4" t="s">
        <v>171</v>
      </c>
      <c r="AE2" s="297" t="s">
        <v>84</v>
      </c>
      <c r="AF2" s="4"/>
      <c r="AG2" s="4" t="s">
        <v>169</v>
      </c>
      <c r="AH2" s="4" t="s">
        <v>170</v>
      </c>
      <c r="AI2" s="4" t="s">
        <v>171</v>
      </c>
      <c r="AJ2" s="297" t="s">
        <v>84</v>
      </c>
      <c r="AK2" s="4"/>
      <c r="AL2" s="4" t="s">
        <v>169</v>
      </c>
      <c r="AM2" s="4" t="s">
        <v>170</v>
      </c>
      <c r="AN2" s="4" t="s">
        <v>171</v>
      </c>
      <c r="AO2" s="297" t="s">
        <v>84</v>
      </c>
      <c r="AP2" s="4"/>
      <c r="AQ2" s="4" t="s">
        <v>169</v>
      </c>
      <c r="AR2" s="4" t="s">
        <v>170</v>
      </c>
      <c r="AS2" s="4" t="s">
        <v>171</v>
      </c>
      <c r="AT2" s="297" t="s">
        <v>84</v>
      </c>
    </row>
    <row r="3" spans="1:46" x14ac:dyDescent="0.4">
      <c r="B3" t="s">
        <v>2</v>
      </c>
      <c r="C3" s="1" t="s">
        <v>8</v>
      </c>
      <c r="F3" s="4" t="s">
        <v>21</v>
      </c>
      <c r="H3" s="4">
        <f>機器台数case３!D62</f>
        <v>354.68572292133291</v>
      </c>
      <c r="I3" s="4">
        <f>機器台数case３!D69</f>
        <v>0</v>
      </c>
      <c r="J3" s="4">
        <f>SUM(J4:J10)</f>
        <v>1379.2466936686524</v>
      </c>
      <c r="K3" s="4">
        <f>SUM(K4:K10)</f>
        <v>0</v>
      </c>
      <c r="L3" s="4"/>
      <c r="M3" s="4">
        <f>機器台数case３!F62</f>
        <v>370.85712500949313</v>
      </c>
      <c r="N3" s="4">
        <f>機器台数case３!F68</f>
        <v>0</v>
      </c>
      <c r="O3" s="4">
        <f>SUM(O4:O10)</f>
        <v>1442.131527820909</v>
      </c>
      <c r="P3" s="297">
        <f>SUM(P4:P10)</f>
        <v>0</v>
      </c>
      <c r="Q3" s="4"/>
      <c r="R3" s="4">
        <f>機器台数case３!H62</f>
        <v>268.37540425208203</v>
      </c>
      <c r="S3" s="4">
        <f>機器台数case３!H69</f>
        <v>119.54195282950137</v>
      </c>
      <c r="T3" s="4">
        <f>SUM(T4:T10)</f>
        <v>1043.61654573497</v>
      </c>
      <c r="U3" s="297">
        <f>SUM(U4:U10)</f>
        <v>432.31622888062503</v>
      </c>
      <c r="V3" s="4"/>
      <c r="W3" s="4">
        <f>機器台数case３!J62</f>
        <v>-9.3829502371150113</v>
      </c>
      <c r="X3" s="4">
        <f>機器台数case３!J69</f>
        <v>415.29342892112049</v>
      </c>
      <c r="Y3" s="4">
        <f>SUM(Y4:Y10)</f>
        <v>-36.486958045020323</v>
      </c>
      <c r="Z3" s="297">
        <f>SUM(Z4:Z10)</f>
        <v>1501.8835213956374</v>
      </c>
      <c r="AA3" s="4"/>
      <c r="AB3" s="4">
        <f>機器台数case３!L62</f>
        <v>163.26774131884684</v>
      </c>
      <c r="AC3" s="4">
        <f>機器台数case３!L69</f>
        <v>261.61499208813166</v>
      </c>
      <c r="AD3" s="4">
        <f>SUM(AD4:AD10)</f>
        <v>634.89020799045045</v>
      </c>
      <c r="AE3" s="297">
        <f>SUM(AE4:AE10)</f>
        <v>946.11476658313336</v>
      </c>
      <c r="AF3" s="4"/>
      <c r="AG3" s="4">
        <f>機器台数case３!N62</f>
        <v>169.97387107897762</v>
      </c>
      <c r="AH3" s="4">
        <f>機器台数case３!N69</f>
        <v>274.90878606920927</v>
      </c>
      <c r="AI3" s="4">
        <f>SUM(AI4:AI10)</f>
        <v>660.9679627497668</v>
      </c>
      <c r="AJ3" s="297">
        <f>SUM(AJ4:AJ10)</f>
        <v>994.19096699130591</v>
      </c>
      <c r="AK3" s="4"/>
      <c r="AL3" s="4">
        <f>機器台数case３!P62</f>
        <v>68.561993976191587</v>
      </c>
      <c r="AM3" s="4">
        <f>機器台数case３!P69</f>
        <v>397.39919776690203</v>
      </c>
      <c r="AN3" s="4">
        <f>SUM(AN4:AN10)</f>
        <v>266.61322233138202</v>
      </c>
      <c r="AO3" s="297">
        <f>SUM(AO4:AO10)</f>
        <v>1437.1701187097749</v>
      </c>
      <c r="AP3" s="4"/>
      <c r="AQ3" s="4">
        <f>機器台数case３!R62</f>
        <v>0</v>
      </c>
      <c r="AR3" s="4">
        <f>機器台数case３!R69</f>
        <v>488.17180422793547</v>
      </c>
      <c r="AS3" s="4">
        <f>SUM(AS4:AS10)</f>
        <v>0</v>
      </c>
      <c r="AT3" s="297">
        <f>SUM(AT4:AT10)</f>
        <v>1765.4437496991334</v>
      </c>
    </row>
    <row r="4" spans="1:46" s="287" customFormat="1" x14ac:dyDescent="0.4">
      <c r="A4" s="287" t="s">
        <v>6</v>
      </c>
      <c r="B4" s="287">
        <v>1.5</v>
      </c>
      <c r="C4" s="288">
        <v>3</v>
      </c>
      <c r="D4" s="288">
        <f t="shared" ref="D4:D49" si="0">C4*$D$1</f>
        <v>2.79</v>
      </c>
      <c r="E4" s="114">
        <v>35090</v>
      </c>
      <c r="F4" s="289">
        <f t="shared" ref="F4:F10" si="1">E4/$A$6</f>
        <v>9.3588806682704875E-2</v>
      </c>
      <c r="G4" s="114">
        <f>SUM(H4:H10)</f>
        <v>354.68572292133291</v>
      </c>
      <c r="H4" s="114">
        <f t="shared" ref="H4:H10" si="2">F4*H$3</f>
        <v>33.19461355560005</v>
      </c>
      <c r="I4" s="114">
        <f t="shared" ref="I4:I10" si="3">$F4*I$3</f>
        <v>0</v>
      </c>
      <c r="J4" s="290">
        <f t="shared" ref="J4:K10" si="4">C4*H4</f>
        <v>99.583840666800143</v>
      </c>
      <c r="K4" s="290">
        <f t="shared" si="4"/>
        <v>0</v>
      </c>
      <c r="L4" s="114"/>
      <c r="M4" s="114">
        <f t="shared" ref="M4:N10" si="5">$F4*M$3</f>
        <v>34.708075779417165</v>
      </c>
      <c r="N4" s="114">
        <f t="shared" si="5"/>
        <v>0</v>
      </c>
      <c r="O4" s="290">
        <f t="shared" ref="O4:O10" si="6">$C4*M4</f>
        <v>104.1242273382515</v>
      </c>
      <c r="P4" s="298">
        <f t="shared" ref="P4:P10" si="7">$D4*N4</f>
        <v>0</v>
      </c>
      <c r="Q4" s="114"/>
      <c r="R4" s="114">
        <f t="shared" ref="R4:S10" si="8">$F4*R$3</f>
        <v>25.116933826940876</v>
      </c>
      <c r="S4" s="114">
        <f t="shared" si="8"/>
        <v>11.187788713833228</v>
      </c>
      <c r="T4" s="290">
        <f t="shared" ref="T4:T10" si="9">$C4*R4</f>
        <v>75.350801480822625</v>
      </c>
      <c r="U4" s="298">
        <f t="shared" ref="U4:U10" si="10">$D4*S4</f>
        <v>31.213930511594707</v>
      </c>
      <c r="V4" s="114"/>
      <c r="W4" s="114">
        <f t="shared" ref="W4:X10" si="11">$F4*W$3</f>
        <v>-0.87813911585479665</v>
      </c>
      <c r="X4" s="114">
        <f t="shared" si="11"/>
        <v>38.866816435896382</v>
      </c>
      <c r="Y4" s="290">
        <f t="shared" ref="Y4:Y10" si="12">$C4*W4</f>
        <v>-2.6344173475643897</v>
      </c>
      <c r="Z4" s="298">
        <f t="shared" ref="Z4:Z10" si="13">$D4*X4</f>
        <v>108.43841785615091</v>
      </c>
      <c r="AA4" s="114"/>
      <c r="AB4" s="114">
        <f t="shared" ref="AB4:AC10" si="14">$F4*AB$3</f>
        <v>15.280033079811425</v>
      </c>
      <c r="AC4" s="114">
        <f t="shared" si="14"/>
        <v>24.484234919833519</v>
      </c>
      <c r="AD4" s="290">
        <f t="shared" ref="AD4:AD10" si="15">$C4*AB4</f>
        <v>45.840099239434274</v>
      </c>
      <c r="AE4" s="298">
        <f t="shared" ref="AE4:AE10" si="16">$D4*AC4</f>
        <v>68.311015426335516</v>
      </c>
      <c r="AF4" s="114">
        <f>SUM(AG4:AG10)</f>
        <v>169.97387107897765</v>
      </c>
      <c r="AG4" s="114">
        <f t="shared" ref="AG4:AH10" si="17">$F4*AG$3</f>
        <v>15.907651761521437</v>
      </c>
      <c r="AH4" s="114">
        <f t="shared" si="17"/>
        <v>25.728385234808297</v>
      </c>
      <c r="AI4" s="290">
        <f t="shared" ref="AI4:AI10" si="18">$C4*AG4</f>
        <v>47.722955284564314</v>
      </c>
      <c r="AJ4" s="298">
        <f t="shared" ref="AJ4:AJ10" si="19">$D4*AH4</f>
        <v>71.782194805115154</v>
      </c>
      <c r="AK4" s="114">
        <f>SUM(AL4:AL10)</f>
        <v>68.561993976191587</v>
      </c>
      <c r="AL4" s="114">
        <f t="shared" ref="AL4:AM10" si="20">$F4*AL$3</f>
        <v>6.4166352000185709</v>
      </c>
      <c r="AM4" s="114">
        <f t="shared" si="20"/>
        <v>37.192116695668595</v>
      </c>
      <c r="AN4" s="290">
        <f t="shared" ref="AN4:AN10" si="21">$C4*AL4</f>
        <v>19.249905600055712</v>
      </c>
      <c r="AO4" s="298">
        <f t="shared" ref="AO4:AO10" si="22">$D4*AM4</f>
        <v>103.76600558091538</v>
      </c>
      <c r="AP4" s="114"/>
      <c r="AQ4" s="114">
        <f t="shared" ref="AQ4:AR10" si="23">$F4*AQ$3</f>
        <v>0</v>
      </c>
      <c r="AR4" s="114">
        <f t="shared" si="23"/>
        <v>45.687416613835502</v>
      </c>
      <c r="AS4" s="290">
        <f t="shared" ref="AS4:AS10" si="24">$C4*AQ4</f>
        <v>0</v>
      </c>
      <c r="AT4" s="298">
        <f t="shared" ref="AT4:AT10" si="25">$D4*AR4</f>
        <v>127.46789235260105</v>
      </c>
    </row>
    <row r="5" spans="1:46" x14ac:dyDescent="0.4">
      <c r="A5" t="s">
        <v>30</v>
      </c>
      <c r="B5">
        <v>2</v>
      </c>
      <c r="C5" s="1">
        <v>3.3</v>
      </c>
      <c r="D5" s="1">
        <f t="shared" si="0"/>
        <v>3.069</v>
      </c>
      <c r="E5" s="4">
        <v>99152</v>
      </c>
      <c r="F5" s="6">
        <f t="shared" si="1"/>
        <v>0.26444905557718879</v>
      </c>
      <c r="H5" s="4">
        <f t="shared" si="2"/>
        <v>93.796304453258955</v>
      </c>
      <c r="I5" s="4">
        <f t="shared" si="3"/>
        <v>0</v>
      </c>
      <c r="J5" s="267">
        <f t="shared" si="4"/>
        <v>309.52780469575453</v>
      </c>
      <c r="K5" s="267">
        <f t="shared" si="4"/>
        <v>0</v>
      </c>
      <c r="L5" s="4"/>
      <c r="M5" s="4">
        <f t="shared" si="5"/>
        <v>98.072816462831895</v>
      </c>
      <c r="N5" s="4">
        <f t="shared" si="5"/>
        <v>0</v>
      </c>
      <c r="O5" s="267">
        <f t="shared" si="6"/>
        <v>323.64029432734526</v>
      </c>
      <c r="P5" s="299">
        <f t="shared" si="7"/>
        <v>0</v>
      </c>
      <c r="Q5" s="4"/>
      <c r="R5" s="4">
        <f t="shared" si="8"/>
        <v>70.971622194609353</v>
      </c>
      <c r="S5" s="4">
        <f t="shared" si="8"/>
        <v>31.612756527614486</v>
      </c>
      <c r="T5" s="267">
        <f t="shared" si="9"/>
        <v>234.20635324221084</v>
      </c>
      <c r="U5" s="299">
        <f t="shared" si="10"/>
        <v>97.019549783248863</v>
      </c>
      <c r="V5" s="4"/>
      <c r="W5" s="4">
        <f t="shared" si="11"/>
        <v>-2.4813123287328245</v>
      </c>
      <c r="X5" s="4">
        <f t="shared" si="11"/>
        <v>109.82395506560269</v>
      </c>
      <c r="Y5" s="267">
        <f t="shared" si="12"/>
        <v>-8.1883306848183199</v>
      </c>
      <c r="Z5" s="299">
        <f t="shared" si="13"/>
        <v>337.04971809633463</v>
      </c>
      <c r="AA5" s="4"/>
      <c r="AB5" s="4">
        <f t="shared" si="14"/>
        <v>43.175999997989813</v>
      </c>
      <c r="AC5" s="4">
        <f t="shared" si="14"/>
        <v>69.183837582540136</v>
      </c>
      <c r="AD5" s="267">
        <f t="shared" si="15"/>
        <v>142.48079999336636</v>
      </c>
      <c r="AE5" s="299">
        <f t="shared" si="16"/>
        <v>212.32519754081568</v>
      </c>
      <c r="AF5" s="4"/>
      <c r="AG5" s="4">
        <f t="shared" si="17"/>
        <v>44.949429679634477</v>
      </c>
      <c r="AH5" s="4">
        <f t="shared" si="17"/>
        <v>72.699368845873821</v>
      </c>
      <c r="AI5" s="267">
        <f t="shared" si="18"/>
        <v>148.33311794279376</v>
      </c>
      <c r="AJ5" s="299">
        <f t="shared" si="19"/>
        <v>223.11436298798674</v>
      </c>
      <c r="AK5" s="4"/>
      <c r="AL5" s="4">
        <f t="shared" si="20"/>
        <v>18.13115455549277</v>
      </c>
      <c r="AM5" s="4">
        <f t="shared" si="20"/>
        <v>105.09184253658971</v>
      </c>
      <c r="AN5" s="267">
        <f t="shared" si="21"/>
        <v>59.832810033126137</v>
      </c>
      <c r="AO5" s="299">
        <f t="shared" si="22"/>
        <v>322.52686474479384</v>
      </c>
      <c r="AP5" s="4"/>
      <c r="AQ5" s="4">
        <f t="shared" si="23"/>
        <v>0</v>
      </c>
      <c r="AR5" s="4">
        <f t="shared" si="23"/>
        <v>129.09657258748982</v>
      </c>
      <c r="AS5" s="267">
        <f t="shared" si="24"/>
        <v>0</v>
      </c>
      <c r="AT5" s="299">
        <f t="shared" si="25"/>
        <v>396.19738127100624</v>
      </c>
    </row>
    <row r="6" spans="1:46" x14ac:dyDescent="0.4">
      <c r="A6" s="5">
        <f>SUM(E4:E10)</f>
        <v>374938</v>
      </c>
      <c r="B6">
        <v>2.5</v>
      </c>
      <c r="C6" s="1">
        <v>3.4</v>
      </c>
      <c r="D6" s="1">
        <f t="shared" si="0"/>
        <v>3.1619999999999999</v>
      </c>
      <c r="E6" s="4">
        <v>75562</v>
      </c>
      <c r="F6" s="6">
        <f t="shared" si="1"/>
        <v>0.20153198662178815</v>
      </c>
      <c r="H6" s="4">
        <f t="shared" si="2"/>
        <v>71.480518366721327</v>
      </c>
      <c r="I6" s="4">
        <f t="shared" si="3"/>
        <v>0</v>
      </c>
      <c r="J6" s="267">
        <f t="shared" si="4"/>
        <v>243.03376244685251</v>
      </c>
      <c r="K6" s="267">
        <f t="shared" si="4"/>
        <v>0</v>
      </c>
      <c r="L6" s="4"/>
      <c r="M6" s="4">
        <f t="shared" si="5"/>
        <v>74.739573156007978</v>
      </c>
      <c r="N6" s="4">
        <f t="shared" si="5"/>
        <v>0</v>
      </c>
      <c r="O6" s="267">
        <f t="shared" si="6"/>
        <v>254.11454873042712</v>
      </c>
      <c r="P6" s="299">
        <f t="shared" si="7"/>
        <v>0</v>
      </c>
      <c r="Q6" s="4"/>
      <c r="R6" s="4">
        <f t="shared" si="8"/>
        <v>54.086228379347581</v>
      </c>
      <c r="S6" s="4">
        <f t="shared" si="8"/>
        <v>24.091527238377498</v>
      </c>
      <c r="T6" s="267">
        <f t="shared" si="9"/>
        <v>183.89317648978178</v>
      </c>
      <c r="U6" s="299">
        <f t="shared" si="10"/>
        <v>76.177409127749641</v>
      </c>
      <c r="V6" s="4"/>
      <c r="W6" s="4">
        <f t="shared" si="11"/>
        <v>-1.8909646016591664</v>
      </c>
      <c r="X6" s="4">
        <f t="shared" si="11"/>
        <v>83.694909761447775</v>
      </c>
      <c r="Y6" s="267">
        <f t="shared" si="12"/>
        <v>-6.4292796456411656</v>
      </c>
      <c r="Z6" s="299">
        <f t="shared" si="13"/>
        <v>264.64330466569788</v>
      </c>
      <c r="AA6" s="4"/>
      <c r="AB6" s="4">
        <f t="shared" si="14"/>
        <v>32.903672259239407</v>
      </c>
      <c r="AC6" s="4">
        <f t="shared" si="14"/>
        <v>52.723789085564562</v>
      </c>
      <c r="AD6" s="267">
        <f t="shared" si="15"/>
        <v>111.87248568141398</v>
      </c>
      <c r="AE6" s="299">
        <f t="shared" si="16"/>
        <v>166.71262108855515</v>
      </c>
      <c r="AF6" s="4"/>
      <c r="AG6" s="4">
        <f t="shared" si="17"/>
        <v>34.255171912342064</v>
      </c>
      <c r="AH6" s="4">
        <f t="shared" si="17"/>
        <v>55.4029137963119</v>
      </c>
      <c r="AI6" s="267">
        <f t="shared" si="18"/>
        <v>116.46758450196302</v>
      </c>
      <c r="AJ6" s="299">
        <f t="shared" si="19"/>
        <v>175.18401342393821</v>
      </c>
      <c r="AK6" s="4"/>
      <c r="AL6" s="4">
        <f t="shared" si="20"/>
        <v>13.817434852772962</v>
      </c>
      <c r="AM6" s="4">
        <f t="shared" si="20"/>
        <v>80.088649807868649</v>
      </c>
      <c r="AN6" s="267">
        <f t="shared" si="21"/>
        <v>46.979278499428069</v>
      </c>
      <c r="AO6" s="299">
        <f t="shared" si="22"/>
        <v>253.24031069248065</v>
      </c>
      <c r="AP6" s="4"/>
      <c r="AQ6" s="4">
        <f t="shared" si="23"/>
        <v>0</v>
      </c>
      <c r="AR6" s="4">
        <f t="shared" si="23"/>
        <v>98.382233518798472</v>
      </c>
      <c r="AS6" s="267">
        <f t="shared" si="24"/>
        <v>0</v>
      </c>
      <c r="AT6" s="299">
        <f t="shared" si="25"/>
        <v>311.08462238644074</v>
      </c>
    </row>
    <row r="7" spans="1:46" x14ac:dyDescent="0.4">
      <c r="A7" s="6">
        <f>A6/$E$51</f>
        <v>0.58643438981969243</v>
      </c>
      <c r="B7">
        <v>3</v>
      </c>
      <c r="C7" s="1">
        <v>3.2</v>
      </c>
      <c r="D7" s="1">
        <f t="shared" si="0"/>
        <v>2.9760000000000004</v>
      </c>
      <c r="E7" s="4">
        <v>80334</v>
      </c>
      <c r="F7" s="6">
        <f t="shared" si="1"/>
        <v>0.21425942422480518</v>
      </c>
      <c r="H7" s="4">
        <f t="shared" si="2"/>
        <v>75.994758773883575</v>
      </c>
      <c r="I7" s="4">
        <f t="shared" si="3"/>
        <v>0</v>
      </c>
      <c r="J7" s="267">
        <f t="shared" si="4"/>
        <v>243.18322807642744</v>
      </c>
      <c r="K7" s="267">
        <f t="shared" si="4"/>
        <v>0</v>
      </c>
      <c r="L7" s="4"/>
      <c r="M7" s="4">
        <f t="shared" si="5"/>
        <v>79.459634074200594</v>
      </c>
      <c r="N7" s="4">
        <f t="shared" si="5"/>
        <v>0</v>
      </c>
      <c r="O7" s="267">
        <f t="shared" si="6"/>
        <v>254.2708290374419</v>
      </c>
      <c r="P7" s="299">
        <f t="shared" si="7"/>
        <v>0</v>
      </c>
      <c r="Q7" s="4"/>
      <c r="R7" s="4">
        <f t="shared" si="8"/>
        <v>57.501959591150431</v>
      </c>
      <c r="S7" s="4">
        <f t="shared" si="8"/>
        <v>25.612989983957785</v>
      </c>
      <c r="T7" s="267">
        <f t="shared" si="9"/>
        <v>184.00627069168138</v>
      </c>
      <c r="U7" s="299">
        <f t="shared" si="10"/>
        <v>76.224258192258375</v>
      </c>
      <c r="V7" s="4"/>
      <c r="W7" s="4">
        <f t="shared" si="11"/>
        <v>-2.0103855153342614</v>
      </c>
      <c r="X7" s="4">
        <f t="shared" si="11"/>
        <v>88.980530964984325</v>
      </c>
      <c r="Y7" s="267">
        <f t="shared" si="12"/>
        <v>-6.4332336490696367</v>
      </c>
      <c r="Z7" s="299">
        <f t="shared" si="13"/>
        <v>264.80606015179342</v>
      </c>
      <c r="AA7" s="4"/>
      <c r="AB7" s="4">
        <f t="shared" si="14"/>
        <v>34.981652249460559</v>
      </c>
      <c r="AC7" s="4">
        <f t="shared" si="14"/>
        <v>56.05347757338005</v>
      </c>
      <c r="AD7" s="267">
        <f t="shared" si="15"/>
        <v>111.9412871982738</v>
      </c>
      <c r="AE7" s="299">
        <f t="shared" si="16"/>
        <v>166.81514925837905</v>
      </c>
      <c r="AF7" s="4"/>
      <c r="AG7" s="4">
        <f t="shared" si="17"/>
        <v>36.418503750643012</v>
      </c>
      <c r="AH7" s="4">
        <f t="shared" si="17"/>
        <v>58.901798217528921</v>
      </c>
      <c r="AI7" s="267">
        <f t="shared" si="18"/>
        <v>116.53921200205764</v>
      </c>
      <c r="AJ7" s="299">
        <f t="shared" si="19"/>
        <v>175.2917514953661</v>
      </c>
      <c r="AK7" s="4"/>
      <c r="AL7" s="4">
        <f t="shared" si="20"/>
        <v>14.690053353043371</v>
      </c>
      <c r="AM7" s="4">
        <f t="shared" si="20"/>
        <v>85.146523300935911</v>
      </c>
      <c r="AN7" s="267">
        <f t="shared" si="21"/>
        <v>47.008170729738794</v>
      </c>
      <c r="AO7" s="299">
        <f t="shared" si="22"/>
        <v>253.39605334358529</v>
      </c>
      <c r="AP7" s="4"/>
      <c r="AQ7" s="4">
        <f t="shared" si="23"/>
        <v>0</v>
      </c>
      <c r="AR7" s="4">
        <f t="shared" si="23"/>
        <v>104.59540969666176</v>
      </c>
      <c r="AS7" s="267">
        <f t="shared" si="24"/>
        <v>0</v>
      </c>
      <c r="AT7" s="299">
        <f t="shared" si="25"/>
        <v>311.27593925726546</v>
      </c>
    </row>
    <row r="8" spans="1:46" x14ac:dyDescent="0.4">
      <c r="A8" s="6"/>
      <c r="B8">
        <v>3.5</v>
      </c>
      <c r="C8" s="1">
        <v>4.7</v>
      </c>
      <c r="D8" s="1">
        <f t="shared" si="0"/>
        <v>4.3710000000000004</v>
      </c>
      <c r="E8" s="4">
        <v>31154</v>
      </c>
      <c r="F8" s="6">
        <f t="shared" si="1"/>
        <v>8.3091071057081439E-2</v>
      </c>
      <c r="H8" s="4">
        <f t="shared" si="2"/>
        <v>29.471216606188772</v>
      </c>
      <c r="I8" s="4">
        <f t="shared" si="3"/>
        <v>0</v>
      </c>
      <c r="J8" s="267">
        <f t="shared" si="4"/>
        <v>138.51471804908724</v>
      </c>
      <c r="K8" s="267">
        <f t="shared" si="4"/>
        <v>0</v>
      </c>
      <c r="L8" s="4"/>
      <c r="M8" s="4">
        <f t="shared" si="5"/>
        <v>30.81491572618873</v>
      </c>
      <c r="N8" s="4">
        <f t="shared" si="5"/>
        <v>0</v>
      </c>
      <c r="O8" s="267">
        <f t="shared" si="6"/>
        <v>144.83010391308704</v>
      </c>
      <c r="P8" s="299">
        <f t="shared" si="7"/>
        <v>0</v>
      </c>
      <c r="Q8" s="4"/>
      <c r="R8" s="4">
        <f t="shared" si="8"/>
        <v>22.299599784682705</v>
      </c>
      <c r="S8" s="4">
        <f t="shared" si="8"/>
        <v>9.9328688968583752</v>
      </c>
      <c r="T8" s="267">
        <f t="shared" si="9"/>
        <v>104.80811898800872</v>
      </c>
      <c r="U8" s="299">
        <f t="shared" si="10"/>
        <v>43.416569948167961</v>
      </c>
      <c r="V8" s="4"/>
      <c r="W8" s="4">
        <f t="shared" si="11"/>
        <v>-0.77963938487718254</v>
      </c>
      <c r="X8" s="4">
        <f t="shared" si="11"/>
        <v>34.507175812023824</v>
      </c>
      <c r="Y8" s="267">
        <f t="shared" si="12"/>
        <v>-3.6643051089227581</v>
      </c>
      <c r="Z8" s="299">
        <f t="shared" si="13"/>
        <v>150.83086547435616</v>
      </c>
      <c r="AA8" s="4"/>
      <c r="AB8" s="4">
        <f t="shared" si="14"/>
        <v>13.566091495253495</v>
      </c>
      <c r="AC8" s="4">
        <f t="shared" si="14"/>
        <v>21.737869897192745</v>
      </c>
      <c r="AD8" s="267">
        <f t="shared" si="15"/>
        <v>63.760630027691427</v>
      </c>
      <c r="AE8" s="299">
        <f t="shared" si="16"/>
        <v>95.016229320629492</v>
      </c>
      <c r="AF8" s="4"/>
      <c r="AG8" s="4">
        <f t="shared" si="17"/>
        <v>14.123310999670529</v>
      </c>
      <c r="AH8" s="4">
        <f t="shared" si="17"/>
        <v>22.842465477492667</v>
      </c>
      <c r="AI8" s="267">
        <f t="shared" si="18"/>
        <v>66.379561698451496</v>
      </c>
      <c r="AJ8" s="299">
        <f t="shared" si="19"/>
        <v>99.844416602120461</v>
      </c>
      <c r="AK8" s="4"/>
      <c r="AL8" s="4">
        <f t="shared" si="20"/>
        <v>5.696889513290925</v>
      </c>
      <c r="AM8" s="4">
        <f t="shared" si="20"/>
        <v>33.020324979676815</v>
      </c>
      <c r="AN8" s="267">
        <f t="shared" si="21"/>
        <v>26.775380712467349</v>
      </c>
      <c r="AO8" s="299">
        <f t="shared" si="22"/>
        <v>144.33184048616738</v>
      </c>
      <c r="AP8" s="4"/>
      <c r="AQ8" s="4">
        <f t="shared" si="23"/>
        <v>0</v>
      </c>
      <c r="AR8" s="4">
        <f t="shared" si="23"/>
        <v>40.562718073167034</v>
      </c>
      <c r="AS8" s="267">
        <f t="shared" si="24"/>
        <v>0</v>
      </c>
      <c r="AT8" s="299">
        <f t="shared" si="25"/>
        <v>177.29964069781312</v>
      </c>
    </row>
    <row r="9" spans="1:46" x14ac:dyDescent="0.4">
      <c r="B9">
        <v>4</v>
      </c>
      <c r="C9" s="1">
        <v>6.3</v>
      </c>
      <c r="D9" s="1">
        <f t="shared" si="0"/>
        <v>5.859</v>
      </c>
      <c r="E9" s="4">
        <v>34249</v>
      </c>
      <c r="F9" s="6">
        <f t="shared" si="1"/>
        <v>9.1345769167168966E-2</v>
      </c>
      <c r="H9" s="4">
        <f t="shared" si="2"/>
        <v>32.399040172862527</v>
      </c>
      <c r="I9" s="4">
        <f t="shared" si="3"/>
        <v>0</v>
      </c>
      <c r="J9" s="267">
        <f t="shared" si="4"/>
        <v>204.11395308903391</v>
      </c>
      <c r="K9" s="267">
        <f t="shared" si="4"/>
        <v>0</v>
      </c>
      <c r="L9" s="4"/>
      <c r="M9" s="4">
        <f t="shared" si="5"/>
        <v>33.876229335117088</v>
      </c>
      <c r="N9" s="4">
        <f t="shared" si="5"/>
        <v>0</v>
      </c>
      <c r="O9" s="267">
        <f t="shared" si="6"/>
        <v>213.42024481123764</v>
      </c>
      <c r="P9" s="299">
        <f t="shared" si="7"/>
        <v>0</v>
      </c>
      <c r="Q9" s="4"/>
      <c r="R9" s="4">
        <f t="shared" si="8"/>
        <v>24.514957726956343</v>
      </c>
      <c r="S9" s="4">
        <f t="shared" si="8"/>
        <v>10.919651628956233</v>
      </c>
      <c r="T9" s="267">
        <f t="shared" si="9"/>
        <v>154.44423367982495</v>
      </c>
      <c r="U9" s="299">
        <f t="shared" si="10"/>
        <v>63.97823889405457</v>
      </c>
      <c r="V9" s="4"/>
      <c r="W9" s="4">
        <f t="shared" si="11"/>
        <v>-0.85709280646654118</v>
      </c>
      <c r="X9" s="4">
        <f t="shared" si="11"/>
        <v>37.935297694870762</v>
      </c>
      <c r="Y9" s="267">
        <f t="shared" si="12"/>
        <v>-5.3996846807392096</v>
      </c>
      <c r="Z9" s="299">
        <f t="shared" si="13"/>
        <v>222.26290919424778</v>
      </c>
      <c r="AA9" s="4"/>
      <c r="AB9" s="4">
        <f t="shared" si="14"/>
        <v>14.913817410956439</v>
      </c>
      <c r="AC9" s="4">
        <f t="shared" si="14"/>
        <v>23.897422677953209</v>
      </c>
      <c r="AD9" s="267">
        <f t="shared" si="15"/>
        <v>93.957049689025567</v>
      </c>
      <c r="AE9" s="299">
        <f t="shared" si="16"/>
        <v>140.01499947012786</v>
      </c>
      <c r="AF9" s="4"/>
      <c r="AG9" s="4">
        <f t="shared" si="17"/>
        <v>15.526393992030426</v>
      </c>
      <c r="AH9" s="4">
        <f t="shared" si="17"/>
        <v>25.111754514304625</v>
      </c>
      <c r="AI9" s="267">
        <f t="shared" si="18"/>
        <v>97.816282149791689</v>
      </c>
      <c r="AJ9" s="299">
        <f t="shared" si="19"/>
        <v>147.1297696993108</v>
      </c>
      <c r="AK9" s="4"/>
      <c r="AL9" s="4">
        <f t="shared" si="20"/>
        <v>6.2628480753900257</v>
      </c>
      <c r="AM9" s="4">
        <f t="shared" si="20"/>
        <v>36.300735386433566</v>
      </c>
      <c r="AN9" s="267">
        <f t="shared" si="21"/>
        <v>39.455942874957159</v>
      </c>
      <c r="AO9" s="299">
        <f t="shared" si="22"/>
        <v>212.68600862911427</v>
      </c>
      <c r="AP9" s="4"/>
      <c r="AQ9" s="4">
        <f t="shared" si="23"/>
        <v>0</v>
      </c>
      <c r="AR9" s="4">
        <f t="shared" si="23"/>
        <v>44.592428942925395</v>
      </c>
      <c r="AS9" s="267">
        <f t="shared" si="24"/>
        <v>0</v>
      </c>
      <c r="AT9" s="299">
        <f t="shared" si="25"/>
        <v>261.26704117659989</v>
      </c>
    </row>
    <row r="10" spans="1:46" x14ac:dyDescent="0.4">
      <c r="B10">
        <v>5</v>
      </c>
      <c r="C10" s="1">
        <v>7.7</v>
      </c>
      <c r="D10" s="1">
        <f t="shared" si="0"/>
        <v>7.1610000000000005</v>
      </c>
      <c r="E10" s="4">
        <v>19397</v>
      </c>
      <c r="F10" s="6">
        <f t="shared" si="1"/>
        <v>5.1733886669262652E-2</v>
      </c>
      <c r="H10" s="4">
        <f t="shared" si="2"/>
        <v>18.349270992817733</v>
      </c>
      <c r="I10" s="4">
        <f t="shared" si="3"/>
        <v>0</v>
      </c>
      <c r="J10" s="267">
        <f t="shared" si="4"/>
        <v>141.28938664469655</v>
      </c>
      <c r="K10" s="267">
        <f t="shared" si="4"/>
        <v>0</v>
      </c>
      <c r="L10" s="4"/>
      <c r="M10" s="4">
        <f t="shared" si="5"/>
        <v>19.185880475729689</v>
      </c>
      <c r="N10" s="4">
        <f t="shared" si="5"/>
        <v>0</v>
      </c>
      <c r="O10" s="267">
        <f t="shared" si="6"/>
        <v>147.73127966311861</v>
      </c>
      <c r="P10" s="299">
        <f t="shared" si="7"/>
        <v>0</v>
      </c>
      <c r="Q10" s="4"/>
      <c r="R10" s="4">
        <f t="shared" si="8"/>
        <v>13.884102748394762</v>
      </c>
      <c r="S10" s="4">
        <f t="shared" si="8"/>
        <v>6.1843698399037654</v>
      </c>
      <c r="T10" s="267">
        <f t="shared" si="9"/>
        <v>106.90759116263966</v>
      </c>
      <c r="U10" s="299">
        <f t="shared" si="10"/>
        <v>44.286272423550869</v>
      </c>
      <c r="V10" s="4"/>
      <c r="W10" s="4">
        <f t="shared" si="11"/>
        <v>-0.48541648419023914</v>
      </c>
      <c r="X10" s="4">
        <f t="shared" si="11"/>
        <v>21.484743186294732</v>
      </c>
      <c r="Y10" s="267">
        <f t="shared" si="12"/>
        <v>-3.7377069282648416</v>
      </c>
      <c r="Z10" s="299">
        <f t="shared" si="13"/>
        <v>153.8522459570566</v>
      </c>
      <c r="AA10" s="4"/>
      <c r="AB10" s="4">
        <f t="shared" si="14"/>
        <v>8.446474826135713</v>
      </c>
      <c r="AC10" s="4">
        <f t="shared" si="14"/>
        <v>13.534360351667448</v>
      </c>
      <c r="AD10" s="267">
        <f t="shared" si="15"/>
        <v>65.037856161244989</v>
      </c>
      <c r="AE10" s="299">
        <f t="shared" si="16"/>
        <v>96.919554478290607</v>
      </c>
      <c r="AF10" s="4"/>
      <c r="AG10" s="4">
        <f t="shared" si="17"/>
        <v>8.7934089831356896</v>
      </c>
      <c r="AH10" s="4">
        <f t="shared" si="17"/>
        <v>14.222099982889043</v>
      </c>
      <c r="AI10" s="267">
        <f t="shared" si="18"/>
        <v>67.709249170144815</v>
      </c>
      <c r="AJ10" s="299">
        <f t="shared" si="19"/>
        <v>101.84445797746845</v>
      </c>
      <c r="AK10" s="4"/>
      <c r="AL10" s="4">
        <f t="shared" si="20"/>
        <v>3.5469784261829642</v>
      </c>
      <c r="AM10" s="4">
        <f t="shared" si="20"/>
        <v>20.559005059728804</v>
      </c>
      <c r="AN10" s="267">
        <f t="shared" si="21"/>
        <v>27.311733881608824</v>
      </c>
      <c r="AO10" s="299">
        <f t="shared" si="22"/>
        <v>147.22303523271799</v>
      </c>
      <c r="AP10" s="4"/>
      <c r="AQ10" s="4">
        <f t="shared" si="23"/>
        <v>0</v>
      </c>
      <c r="AR10" s="4">
        <f t="shared" si="23"/>
        <v>25.255024795057487</v>
      </c>
      <c r="AS10" s="267">
        <f t="shared" si="24"/>
        <v>0</v>
      </c>
      <c r="AT10" s="299">
        <f t="shared" si="25"/>
        <v>180.85123255740669</v>
      </c>
    </row>
    <row r="11" spans="1:46" s="287" customFormat="1" x14ac:dyDescent="0.4">
      <c r="C11" s="288"/>
      <c r="D11" s="288">
        <f t="shared" si="0"/>
        <v>0</v>
      </c>
      <c r="E11" s="114"/>
      <c r="F11" s="289">
        <f>SUM(F4:F10)</f>
        <v>1</v>
      </c>
      <c r="G11" s="114"/>
      <c r="H11" s="114">
        <f>機器台数case３!D63</f>
        <v>31.256290296112319</v>
      </c>
      <c r="I11" s="114">
        <f>機器台数case３!D70</f>
        <v>0</v>
      </c>
      <c r="J11" s="114">
        <f>SUM(J12:J18)</f>
        <v>125.60902312478888</v>
      </c>
      <c r="K11" s="114">
        <f>SUM(K12:K18)</f>
        <v>0</v>
      </c>
      <c r="L11" s="114"/>
      <c r="M11" s="114">
        <f>機器台数case３!F63</f>
        <v>32.681377367561204</v>
      </c>
      <c r="N11" s="114">
        <f>機器台数case３!F70</f>
        <v>0</v>
      </c>
      <c r="O11" s="114">
        <f>SUM(O12:O18)</f>
        <v>131.33599178346955</v>
      </c>
      <c r="P11" s="300">
        <f>SUM(P12:P18)</f>
        <v>0</v>
      </c>
      <c r="Q11" s="114"/>
      <c r="R11" s="114">
        <f>機器台数case３!H63</f>
        <v>23.65028813268605</v>
      </c>
      <c r="S11" s="114">
        <f>機器台数case３!H70</f>
        <v>10.534503473746472</v>
      </c>
      <c r="T11" s="114">
        <f>SUM(T12:T18)</f>
        <v>95.042935704240577</v>
      </c>
      <c r="U11" s="300">
        <f>SUM(U12:U18)</f>
        <v>39.371360786987367</v>
      </c>
      <c r="V11" s="114"/>
      <c r="W11" s="114">
        <f>機器台数case３!J63</f>
        <v>-0.82686219797544425</v>
      </c>
      <c r="X11" s="114">
        <f>機器台数case３!J70</f>
        <v>36.597277909901749</v>
      </c>
      <c r="Y11" s="114">
        <f>SUM(Y12:Y18)</f>
        <v>-3.3228944306109698</v>
      </c>
      <c r="Z11" s="300">
        <f>SUM(Z12:Z18)</f>
        <v>136.77765031862018</v>
      </c>
      <c r="AA11" s="114"/>
      <c r="AB11" s="114">
        <f>機器台数case３!L63</f>
        <v>14.387790623825856</v>
      </c>
      <c r="AC11" s="114">
        <f>機器台数case３!L70</f>
        <v>23.054534225882566</v>
      </c>
      <c r="AD11" s="114">
        <f>SUM(AD12:AD18)</f>
        <v>57.819923863694974</v>
      </c>
      <c r="AE11" s="300">
        <f>SUM(AE12:AE18)</f>
        <v>86.163376095063569</v>
      </c>
      <c r="AF11" s="114"/>
      <c r="AG11" s="114">
        <f>機器台数case３!N63</f>
        <v>14.978760953332282</v>
      </c>
      <c r="AH11" s="114">
        <f>機器台数case３!N70</f>
        <v>24.226035239193532</v>
      </c>
      <c r="AI11" s="114">
        <f>SUM(AI12:AI18)</f>
        <v>60.194844402306359</v>
      </c>
      <c r="AJ11" s="300">
        <f>SUM(AJ12:AJ18)</f>
        <v>90.541711454896529</v>
      </c>
      <c r="AK11" s="114"/>
      <c r="AL11" s="114">
        <f>機器台数case３!P63</f>
        <v>6.0419505170650778</v>
      </c>
      <c r="AM11" s="114">
        <f>機器台数case３!P70</f>
        <v>35.020368416688122</v>
      </c>
      <c r="AN11" s="114">
        <f>SUM(AN12:AN18)</f>
        <v>24.280664628689252</v>
      </c>
      <c r="AO11" s="300">
        <f>SUM(AO12:AO18)</f>
        <v>130.88415256236956</v>
      </c>
      <c r="AP11" s="114"/>
      <c r="AQ11" s="114">
        <f>機器台数case３!R63</f>
        <v>0</v>
      </c>
      <c r="AR11" s="114">
        <f>機器台数case３!R70</f>
        <v>43.019604797313733</v>
      </c>
      <c r="AS11" s="114">
        <f>SUM(AS12:AS18)</f>
        <v>0</v>
      </c>
      <c r="AT11" s="300">
        <f>SUM(AT12:AT18)</f>
        <v>160.78027650849427</v>
      </c>
    </row>
    <row r="12" spans="1:46" x14ac:dyDescent="0.4">
      <c r="A12" t="s">
        <v>6</v>
      </c>
      <c r="B12">
        <v>1.5</v>
      </c>
      <c r="C12" s="1">
        <v>3</v>
      </c>
      <c r="D12" s="1">
        <f t="shared" si="0"/>
        <v>2.79</v>
      </c>
      <c r="E12" s="4">
        <v>1882</v>
      </c>
      <c r="F12" s="6">
        <f>E12/A14</f>
        <v>5.6959535123028961E-2</v>
      </c>
      <c r="G12" s="4">
        <f>機器台数case３!D63</f>
        <v>31.256290296112319</v>
      </c>
      <c r="H12" s="4">
        <f t="shared" ref="H12:H18" si="26">F12*H$11</f>
        <v>1.7803437649369989</v>
      </c>
      <c r="I12" s="4">
        <f t="shared" ref="I12:I18" si="27">$F12*I$11</f>
        <v>0</v>
      </c>
      <c r="J12" s="4">
        <f t="shared" ref="J12:K18" si="28">C12*H12</f>
        <v>5.3410312948109961</v>
      </c>
      <c r="K12" s="267">
        <f t="shared" si="28"/>
        <v>0</v>
      </c>
      <c r="L12" s="4">
        <f>機器台数case３!I63</f>
        <v>5.1678887373465633E-2</v>
      </c>
      <c r="M12" s="4">
        <f t="shared" ref="M12:N18" si="29">$F12*M$11</f>
        <v>1.8615160620365661</v>
      </c>
      <c r="N12" s="4">
        <f t="shared" si="29"/>
        <v>0</v>
      </c>
      <c r="O12" s="267">
        <f t="shared" ref="O12:O18" si="30">$C12*M12</f>
        <v>5.5845481861096982</v>
      </c>
      <c r="P12" s="299">
        <f t="shared" ref="P12:P18" si="31">$D12*N12</f>
        <v>0</v>
      </c>
      <c r="Q12" s="4">
        <f>機器台数case３!N63</f>
        <v>14.978760953332282</v>
      </c>
      <c r="R12" s="4">
        <f t="shared" ref="R12:S18" si="32">$F12*R$11</f>
        <v>1.3471094175634861</v>
      </c>
      <c r="S12" s="4">
        <f t="shared" si="32"/>
        <v>0.60004042061653273</v>
      </c>
      <c r="T12" s="267">
        <f t="shared" ref="T12:T18" si="33">$C12*R12</f>
        <v>4.0413282526904588</v>
      </c>
      <c r="U12" s="299">
        <f t="shared" ref="U12:U18" si="34">$D12*S12</f>
        <v>1.6741127735201264</v>
      </c>
      <c r="V12" s="4">
        <f>機器台数case３!S63</f>
        <v>0</v>
      </c>
      <c r="W12" s="4">
        <f t="shared" ref="W12:X18" si="35">$F12*W$11</f>
        <v>-4.7097686407487245E-2</v>
      </c>
      <c r="X12" s="4">
        <f t="shared" si="35"/>
        <v>2.0845639365163007</v>
      </c>
      <c r="Y12" s="267">
        <f t="shared" ref="Y12:Y18" si="36">$C12*W12</f>
        <v>-0.14129305922246174</v>
      </c>
      <c r="Z12" s="299">
        <f t="shared" ref="Z12:Z18" si="37">$D12*X12</f>
        <v>5.8159333828804787</v>
      </c>
      <c r="AA12" s="4">
        <f>機器台数case３!X63</f>
        <v>0</v>
      </c>
      <c r="AB12" s="4">
        <f t="shared" ref="AB12:AC18" si="38">$F12*AB$11</f>
        <v>0.81952186538059557</v>
      </c>
      <c r="AC12" s="4">
        <f t="shared" si="38"/>
        <v>1.3131755519842314</v>
      </c>
      <c r="AD12" s="267">
        <f t="shared" ref="AD12:AD18" si="39">$C12*AB12</f>
        <v>2.4585655961417867</v>
      </c>
      <c r="AE12" s="299">
        <f t="shared" ref="AE12:AE18" si="40">$D12*AC12</f>
        <v>3.6637597900360057</v>
      </c>
      <c r="AF12" s="114">
        <f>SUM(AG12:AG18)</f>
        <v>14.978760953332284</v>
      </c>
      <c r="AG12" s="4">
        <f t="shared" ref="AG12:AH18" si="41">$F12*AG$11</f>
        <v>0.85318326062078487</v>
      </c>
      <c r="AH12" s="4">
        <f t="shared" si="41"/>
        <v>1.3799037050985814</v>
      </c>
      <c r="AI12" s="267">
        <f t="shared" ref="AI12:AI18" si="42">$C12*AG12</f>
        <v>2.5595497818623545</v>
      </c>
      <c r="AJ12" s="299">
        <f t="shared" ref="AJ12:AJ18" si="43">$D12*AH12</f>
        <v>3.8499313372250423</v>
      </c>
      <c r="AK12" s="114">
        <f>SUM(AL12:AL18)</f>
        <v>6.0419505170650769</v>
      </c>
      <c r="AL12" s="4">
        <f t="shared" ref="AL12:AM18" si="44">$F12*AL$11</f>
        <v>0.34414669268837128</v>
      </c>
      <c r="AM12" s="4">
        <f t="shared" si="44"/>
        <v>1.9947439048517612</v>
      </c>
      <c r="AN12" s="267">
        <f t="shared" ref="AN12:AN18" si="45">$C12*AL12</f>
        <v>1.0324400780651137</v>
      </c>
      <c r="AO12" s="299">
        <f t="shared" ref="AO12:AO18" si="46">$D12*AM12</f>
        <v>5.5653354945364137</v>
      </c>
      <c r="AP12" s="4">
        <f>機器台数case３!AM63</f>
        <v>0</v>
      </c>
      <c r="AQ12" s="4">
        <f t="shared" ref="AQ12:AR18" si="47">$F12*AQ$11</f>
        <v>0</v>
      </c>
      <c r="AR12" s="4">
        <f t="shared" si="47"/>
        <v>2.4503766904314168</v>
      </c>
      <c r="AS12" s="267">
        <f t="shared" ref="AS12:AS18" si="48">$C12*AQ12</f>
        <v>0</v>
      </c>
      <c r="AT12" s="299">
        <f t="shared" ref="AT12:AT18" si="49">$D12*AR12</f>
        <v>6.836550966303653</v>
      </c>
    </row>
    <row r="13" spans="1:46" x14ac:dyDescent="0.4">
      <c r="A13" t="s">
        <v>5</v>
      </c>
      <c r="B13">
        <v>2</v>
      </c>
      <c r="C13" s="1">
        <v>3.3</v>
      </c>
      <c r="D13" s="1">
        <f t="shared" si="0"/>
        <v>3.069</v>
      </c>
      <c r="E13" s="4">
        <v>7623</v>
      </c>
      <c r="F13" s="6">
        <f t="shared" ref="F13:F18" si="50">E13/$A$14</f>
        <v>0.23071335613328894</v>
      </c>
      <c r="H13" s="4">
        <f t="shared" si="26"/>
        <v>7.2112436344924244</v>
      </c>
      <c r="I13" s="4">
        <f t="shared" si="27"/>
        <v>0</v>
      </c>
      <c r="J13" s="267">
        <f t="shared" si="28"/>
        <v>23.797103993825001</v>
      </c>
      <c r="K13" s="267">
        <f t="shared" si="28"/>
        <v>0</v>
      </c>
      <c r="L13" s="4"/>
      <c r="M13" s="4">
        <f t="shared" si="29"/>
        <v>7.5400302555285572</v>
      </c>
      <c r="N13" s="4">
        <f t="shared" si="29"/>
        <v>0</v>
      </c>
      <c r="O13" s="267">
        <f t="shared" si="30"/>
        <v>24.882099843244237</v>
      </c>
      <c r="P13" s="299">
        <f t="shared" si="31"/>
        <v>0</v>
      </c>
      <c r="Q13" s="4"/>
      <c r="R13" s="4">
        <f t="shared" si="32"/>
        <v>5.4564373486112938</v>
      </c>
      <c r="S13" s="4">
        <f t="shared" si="32"/>
        <v>2.4304506516258395</v>
      </c>
      <c r="T13" s="267">
        <f t="shared" si="33"/>
        <v>18.006243250417267</v>
      </c>
      <c r="U13" s="299">
        <f t="shared" si="34"/>
        <v>7.4590530498397012</v>
      </c>
      <c r="V13" s="4"/>
      <c r="W13" s="4">
        <f t="shared" si="35"/>
        <v>-0.19076815275466275</v>
      </c>
      <c r="X13" s="4">
        <f t="shared" si="35"/>
        <v>8.4434808119361104</v>
      </c>
      <c r="Y13" s="267">
        <f t="shared" si="36"/>
        <v>-0.62953490409038704</v>
      </c>
      <c r="Z13" s="299">
        <f t="shared" si="37"/>
        <v>25.913042611831923</v>
      </c>
      <c r="AA13" s="4"/>
      <c r="AB13" s="4">
        <f t="shared" si="38"/>
        <v>3.31945546216593</v>
      </c>
      <c r="AC13" s="4">
        <f t="shared" si="38"/>
        <v>5.3189889653431432</v>
      </c>
      <c r="AD13" s="267">
        <f t="shared" si="39"/>
        <v>10.954203025147569</v>
      </c>
      <c r="AE13" s="299">
        <f t="shared" si="40"/>
        <v>16.323977134638106</v>
      </c>
      <c r="AF13" s="4"/>
      <c r="AG13" s="4">
        <f t="shared" si="41"/>
        <v>3.4558002102615535</v>
      </c>
      <c r="AH13" s="4">
        <f t="shared" si="41"/>
        <v>5.5892698958376652</v>
      </c>
      <c r="AI13" s="267">
        <f t="shared" si="42"/>
        <v>11.404140693863125</v>
      </c>
      <c r="AJ13" s="299">
        <f t="shared" si="43"/>
        <v>17.153469310325793</v>
      </c>
      <c r="AK13" s="4"/>
      <c r="AL13" s="4">
        <f t="shared" si="44"/>
        <v>1.3939586813833447</v>
      </c>
      <c r="AM13" s="4">
        <f t="shared" si="44"/>
        <v>8.0796667304383512</v>
      </c>
      <c r="AN13" s="267">
        <f t="shared" si="45"/>
        <v>4.6000636485650368</v>
      </c>
      <c r="AO13" s="299">
        <f t="shared" si="46"/>
        <v>24.7964971957153</v>
      </c>
      <c r="AP13" s="4"/>
      <c r="AQ13" s="4">
        <f t="shared" si="47"/>
        <v>0</v>
      </c>
      <c r="AR13" s="4">
        <f t="shared" si="47"/>
        <v>9.9251974023159892</v>
      </c>
      <c r="AS13" s="267">
        <f t="shared" si="48"/>
        <v>0</v>
      </c>
      <c r="AT13" s="299">
        <f t="shared" si="49"/>
        <v>30.460430827707771</v>
      </c>
    </row>
    <row r="14" spans="1:46" x14ac:dyDescent="0.4">
      <c r="A14" s="5">
        <f>SUM(E12:E18)</f>
        <v>33041</v>
      </c>
      <c r="B14">
        <v>2.5</v>
      </c>
      <c r="C14" s="1">
        <v>3.4</v>
      </c>
      <c r="D14" s="1">
        <f t="shared" si="0"/>
        <v>3.1619999999999999</v>
      </c>
      <c r="E14" s="4">
        <v>7511</v>
      </c>
      <c r="F14" s="6">
        <f t="shared" si="50"/>
        <v>0.22732362821948487</v>
      </c>
      <c r="H14" s="4">
        <f t="shared" si="26"/>
        <v>7.1052933147937294</v>
      </c>
      <c r="I14" s="4">
        <f t="shared" si="27"/>
        <v>0</v>
      </c>
      <c r="J14" s="267">
        <f t="shared" si="28"/>
        <v>24.157997270298679</v>
      </c>
      <c r="K14" s="267">
        <f t="shared" si="28"/>
        <v>0</v>
      </c>
      <c r="L14" s="4"/>
      <c r="M14" s="4">
        <f t="shared" si="29"/>
        <v>7.4292492784041704</v>
      </c>
      <c r="N14" s="4">
        <f t="shared" si="29"/>
        <v>0</v>
      </c>
      <c r="O14" s="267">
        <f t="shared" si="30"/>
        <v>25.259447546574179</v>
      </c>
      <c r="P14" s="299">
        <f t="shared" si="31"/>
        <v>0</v>
      </c>
      <c r="Q14" s="4"/>
      <c r="R14" s="4">
        <f t="shared" si="32"/>
        <v>5.3762693067584193</v>
      </c>
      <c r="S14" s="4">
        <f t="shared" si="32"/>
        <v>2.3947415511428152</v>
      </c>
      <c r="T14" s="267">
        <f t="shared" si="33"/>
        <v>18.279315642978624</v>
      </c>
      <c r="U14" s="299">
        <f t="shared" si="34"/>
        <v>7.5721727847135814</v>
      </c>
      <c r="V14" s="4"/>
      <c r="W14" s="4">
        <f t="shared" si="35"/>
        <v>-0.18796531488131599</v>
      </c>
      <c r="X14" s="4">
        <f t="shared" si="35"/>
        <v>8.3194259974356708</v>
      </c>
      <c r="Y14" s="267">
        <f t="shared" si="36"/>
        <v>-0.63908207059647437</v>
      </c>
      <c r="Z14" s="299">
        <f t="shared" si="37"/>
        <v>26.306025003891591</v>
      </c>
      <c r="AA14" s="4"/>
      <c r="AB14" s="4">
        <f t="shared" si="38"/>
        <v>3.2706847666703793</v>
      </c>
      <c r="AC14" s="4">
        <f t="shared" si="38"/>
        <v>5.2408403671379178</v>
      </c>
      <c r="AD14" s="267">
        <f t="shared" si="39"/>
        <v>11.120328206679289</v>
      </c>
      <c r="AE14" s="299">
        <f t="shared" si="40"/>
        <v>16.571537240890095</v>
      </c>
      <c r="AF14" s="4"/>
      <c r="AG14" s="4">
        <f t="shared" si="41"/>
        <v>3.4050262861438445</v>
      </c>
      <c r="AH14" s="4">
        <f t="shared" si="41"/>
        <v>5.5071502279465694</v>
      </c>
      <c r="AI14" s="267">
        <f t="shared" si="42"/>
        <v>11.577089372889072</v>
      </c>
      <c r="AJ14" s="299">
        <f t="shared" si="43"/>
        <v>17.413609020767051</v>
      </c>
      <c r="AK14" s="4"/>
      <c r="AL14" s="4">
        <f t="shared" si="44"/>
        <v>1.3734781130618261</v>
      </c>
      <c r="AM14" s="4">
        <f t="shared" si="44"/>
        <v>7.9609572100646009</v>
      </c>
      <c r="AN14" s="267">
        <f t="shared" si="45"/>
        <v>4.6698255844102086</v>
      </c>
      <c r="AO14" s="299">
        <f t="shared" si="46"/>
        <v>25.172546698224266</v>
      </c>
      <c r="AP14" s="4"/>
      <c r="AQ14" s="4">
        <f t="shared" si="47"/>
        <v>0</v>
      </c>
      <c r="AR14" s="4">
        <f t="shared" si="47"/>
        <v>9.7793726470937141</v>
      </c>
      <c r="AS14" s="267">
        <f t="shared" si="48"/>
        <v>0</v>
      </c>
      <c r="AT14" s="299">
        <f t="shared" si="49"/>
        <v>30.922376310110323</v>
      </c>
    </row>
    <row r="15" spans="1:46" x14ac:dyDescent="0.4">
      <c r="A15" s="6">
        <f>A14/$E$51</f>
        <v>5.1678887373465633E-2</v>
      </c>
      <c r="B15">
        <v>3</v>
      </c>
      <c r="C15" s="1">
        <v>3.2</v>
      </c>
      <c r="D15" s="1">
        <f t="shared" si="0"/>
        <v>2.9760000000000004</v>
      </c>
      <c r="E15" s="4">
        <v>7402</v>
      </c>
      <c r="F15" s="6">
        <f t="shared" si="50"/>
        <v>0.22402469658908628</v>
      </c>
      <c r="H15" s="4">
        <f t="shared" si="26"/>
        <v>7.0021809500869638</v>
      </c>
      <c r="I15" s="4">
        <f t="shared" si="27"/>
        <v>0</v>
      </c>
      <c r="J15" s="267">
        <f t="shared" si="28"/>
        <v>22.406979040278287</v>
      </c>
      <c r="K15" s="267">
        <f t="shared" si="28"/>
        <v>0</v>
      </c>
      <c r="L15" s="4"/>
      <c r="M15" s="4">
        <f t="shared" si="29"/>
        <v>7.3214356488813301</v>
      </c>
      <c r="N15" s="4">
        <f t="shared" si="29"/>
        <v>0</v>
      </c>
      <c r="O15" s="267">
        <f t="shared" si="30"/>
        <v>23.428594076420257</v>
      </c>
      <c r="P15" s="299">
        <f t="shared" si="31"/>
        <v>0</v>
      </c>
      <c r="Q15" s="4"/>
      <c r="R15" s="4">
        <f t="shared" si="32"/>
        <v>5.2982486231694601</v>
      </c>
      <c r="S15" s="4">
        <f t="shared" si="32"/>
        <v>2.3599889444227289</v>
      </c>
      <c r="T15" s="267">
        <f t="shared" si="33"/>
        <v>16.954395594142273</v>
      </c>
      <c r="U15" s="299">
        <f t="shared" si="34"/>
        <v>7.0233270986020422</v>
      </c>
      <c r="V15" s="4"/>
      <c r="W15" s="4">
        <f t="shared" si="35"/>
        <v>-0.18523755302243389</v>
      </c>
      <c r="X15" s="4">
        <f t="shared" si="35"/>
        <v>8.1986940797522081</v>
      </c>
      <c r="Y15" s="267">
        <f t="shared" si="36"/>
        <v>-0.59276016967178846</v>
      </c>
      <c r="Z15" s="299">
        <f t="shared" si="37"/>
        <v>24.399313581342575</v>
      </c>
      <c r="AA15" s="4"/>
      <c r="AB15" s="4">
        <f t="shared" si="38"/>
        <v>3.2232204290898876</v>
      </c>
      <c r="AC15" s="4">
        <f t="shared" si="38"/>
        <v>5.1647850349560471</v>
      </c>
      <c r="AD15" s="267">
        <f t="shared" si="39"/>
        <v>10.314305373087642</v>
      </c>
      <c r="AE15" s="299">
        <f t="shared" si="40"/>
        <v>15.370400264029199</v>
      </c>
      <c r="AF15" s="4"/>
      <c r="AG15" s="4">
        <f t="shared" si="41"/>
        <v>3.3556123778507172</v>
      </c>
      <c r="AH15" s="4">
        <f t="shared" si="41"/>
        <v>5.4272301940168433</v>
      </c>
      <c r="AI15" s="267">
        <f t="shared" si="42"/>
        <v>10.737959609122296</v>
      </c>
      <c r="AJ15" s="299">
        <f t="shared" si="43"/>
        <v>16.151437057394126</v>
      </c>
      <c r="AK15" s="4"/>
      <c r="AL15" s="4">
        <f t="shared" si="44"/>
        <v>1.3535461313917769</v>
      </c>
      <c r="AM15" s="4">
        <f t="shared" si="44"/>
        <v>7.8454274089865761</v>
      </c>
      <c r="AN15" s="267">
        <f t="shared" si="45"/>
        <v>4.3313476204536867</v>
      </c>
      <c r="AO15" s="299">
        <f t="shared" si="46"/>
        <v>23.347991969144054</v>
      </c>
      <c r="AP15" s="4"/>
      <c r="AQ15" s="4">
        <f t="shared" si="47"/>
        <v>0</v>
      </c>
      <c r="AR15" s="4">
        <f t="shared" si="47"/>
        <v>9.6374539121006091</v>
      </c>
      <c r="AS15" s="267">
        <f t="shared" si="48"/>
        <v>0</v>
      </c>
      <c r="AT15" s="299">
        <f t="shared" si="49"/>
        <v>28.681062842411418</v>
      </c>
    </row>
    <row r="16" spans="1:46" x14ac:dyDescent="0.4">
      <c r="B16">
        <v>3.5</v>
      </c>
      <c r="C16" s="1">
        <v>4.7</v>
      </c>
      <c r="D16" s="1">
        <f t="shared" si="0"/>
        <v>4.3710000000000004</v>
      </c>
      <c r="E16" s="4">
        <v>3241</v>
      </c>
      <c r="F16" s="6">
        <f t="shared" si="50"/>
        <v>9.8090251505705037E-2</v>
      </c>
      <c r="H16" s="4">
        <f t="shared" si="26"/>
        <v>3.0659373762809849</v>
      </c>
      <c r="I16" s="4">
        <f t="shared" si="27"/>
        <v>0</v>
      </c>
      <c r="J16" s="267">
        <f t="shared" si="28"/>
        <v>14.409905668520629</v>
      </c>
      <c r="K16" s="267">
        <f t="shared" si="28"/>
        <v>0</v>
      </c>
      <c r="L16" s="4"/>
      <c r="M16" s="4">
        <f t="shared" si="29"/>
        <v>3.2057245255369349</v>
      </c>
      <c r="N16" s="4">
        <f t="shared" si="29"/>
        <v>0</v>
      </c>
      <c r="O16" s="267">
        <f t="shared" si="30"/>
        <v>15.066905270023595</v>
      </c>
      <c r="P16" s="299">
        <f t="shared" si="31"/>
        <v>0</v>
      </c>
      <c r="Q16" s="4"/>
      <c r="R16" s="4">
        <f t="shared" si="32"/>
        <v>2.3198627111175658</v>
      </c>
      <c r="S16" s="4">
        <f t="shared" si="32"/>
        <v>1.0333320952275149</v>
      </c>
      <c r="T16" s="267">
        <f t="shared" si="33"/>
        <v>10.90335474225256</v>
      </c>
      <c r="U16" s="299">
        <f t="shared" si="34"/>
        <v>4.516694588239468</v>
      </c>
      <c r="V16" s="4"/>
      <c r="W16" s="4">
        <f t="shared" si="35"/>
        <v>-8.1107120959971399E-2</v>
      </c>
      <c r="X16" s="4">
        <f t="shared" si="35"/>
        <v>3.5898361946064457</v>
      </c>
      <c r="Y16" s="267">
        <f t="shared" si="36"/>
        <v>-0.3812034685118656</v>
      </c>
      <c r="Z16" s="299">
        <f t="shared" si="37"/>
        <v>15.691174006624776</v>
      </c>
      <c r="AA16" s="4"/>
      <c r="AB16" s="4">
        <f t="shared" si="38"/>
        <v>1.411302000902503</v>
      </c>
      <c r="AC16" s="4">
        <f t="shared" si="38"/>
        <v>2.2614250605637056</v>
      </c>
      <c r="AD16" s="267">
        <f t="shared" si="39"/>
        <v>6.6331194042417643</v>
      </c>
      <c r="AE16" s="299">
        <f t="shared" si="40"/>
        <v>9.8846889397239579</v>
      </c>
      <c r="AF16" s="4"/>
      <c r="AG16" s="4">
        <f t="shared" si="41"/>
        <v>1.4692704291561978</v>
      </c>
      <c r="AH16" s="4">
        <f t="shared" si="41"/>
        <v>2.3763378895985667</v>
      </c>
      <c r="AI16" s="267">
        <f t="shared" si="42"/>
        <v>6.9055710170341298</v>
      </c>
      <c r="AJ16" s="299">
        <f t="shared" si="43"/>
        <v>10.386972915435337</v>
      </c>
      <c r="AK16" s="4"/>
      <c r="AL16" s="4">
        <f t="shared" si="44"/>
        <v>0.59265644580393806</v>
      </c>
      <c r="AM16" s="4">
        <f t="shared" si="44"/>
        <v>3.4351567458153873</v>
      </c>
      <c r="AN16" s="267">
        <f t="shared" si="45"/>
        <v>2.7854852952785092</v>
      </c>
      <c r="AO16" s="299">
        <f t="shared" si="46"/>
        <v>15.015070135959059</v>
      </c>
      <c r="AP16" s="4"/>
      <c r="AQ16" s="4">
        <f t="shared" si="47"/>
        <v>0</v>
      </c>
      <c r="AR16" s="4">
        <f t="shared" si="47"/>
        <v>4.2198038542445389</v>
      </c>
      <c r="AS16" s="267">
        <f t="shared" si="48"/>
        <v>0</v>
      </c>
      <c r="AT16" s="299">
        <f t="shared" si="49"/>
        <v>18.44476264690288</v>
      </c>
    </row>
    <row r="17" spans="1:46" x14ac:dyDescent="0.4">
      <c r="B17">
        <v>4</v>
      </c>
      <c r="C17" s="1">
        <v>6.3</v>
      </c>
      <c r="D17" s="1">
        <f t="shared" si="0"/>
        <v>5.859</v>
      </c>
      <c r="E17" s="4">
        <v>2799</v>
      </c>
      <c r="F17" s="6">
        <f t="shared" si="50"/>
        <v>8.4712932417299713E-2</v>
      </c>
      <c r="H17" s="4">
        <f t="shared" si="26"/>
        <v>2.6478120074700637</v>
      </c>
      <c r="I17" s="4">
        <f t="shared" si="27"/>
        <v>0</v>
      </c>
      <c r="J17" s="267">
        <f t="shared" si="28"/>
        <v>16.6812156470614</v>
      </c>
      <c r="K17" s="267">
        <f t="shared" si="28"/>
        <v>0</v>
      </c>
      <c r="L17" s="4"/>
      <c r="M17" s="4">
        <f t="shared" si="29"/>
        <v>2.7685353122424807</v>
      </c>
      <c r="N17" s="4">
        <f t="shared" si="29"/>
        <v>0</v>
      </c>
      <c r="O17" s="267">
        <f t="shared" si="30"/>
        <v>17.441772467127628</v>
      </c>
      <c r="P17" s="299">
        <f t="shared" si="31"/>
        <v>0</v>
      </c>
      <c r="Q17" s="4"/>
      <c r="R17" s="4">
        <f t="shared" si="32"/>
        <v>2.0034852602338988</v>
      </c>
      <c r="S17" s="4">
        <f t="shared" si="32"/>
        <v>0.89240868082129399</v>
      </c>
      <c r="T17" s="267">
        <f t="shared" si="33"/>
        <v>12.621957139473562</v>
      </c>
      <c r="U17" s="299">
        <f t="shared" si="34"/>
        <v>5.2286224609319616</v>
      </c>
      <c r="V17" s="4"/>
      <c r="W17" s="4">
        <f t="shared" si="35"/>
        <v>-7.004592149551371E-2</v>
      </c>
      <c r="X17" s="4">
        <f t="shared" si="35"/>
        <v>3.1002627302386427</v>
      </c>
      <c r="Y17" s="267">
        <f t="shared" si="36"/>
        <v>-0.44128930542173639</v>
      </c>
      <c r="Z17" s="299">
        <f t="shared" si="37"/>
        <v>18.16443933646821</v>
      </c>
      <c r="AA17" s="4"/>
      <c r="AB17" s="4">
        <f t="shared" si="38"/>
        <v>1.2188319347504182</v>
      </c>
      <c r="AC17" s="4">
        <f t="shared" si="38"/>
        <v>1.9530171997895129</v>
      </c>
      <c r="AD17" s="267">
        <f t="shared" si="39"/>
        <v>7.6786411889276343</v>
      </c>
      <c r="AE17" s="299">
        <f t="shared" si="40"/>
        <v>11.442727773566757</v>
      </c>
      <c r="AF17" s="4"/>
      <c r="AG17" s="4">
        <f t="shared" si="41"/>
        <v>1.2688947643345254</v>
      </c>
      <c r="AH17" s="4">
        <f t="shared" si="41"/>
        <v>2.0522584859569228</v>
      </c>
      <c r="AI17" s="267">
        <f t="shared" si="42"/>
        <v>7.9940370153075095</v>
      </c>
      <c r="AJ17" s="299">
        <f t="shared" si="43"/>
        <v>12.024182469221611</v>
      </c>
      <c r="AK17" s="4"/>
      <c r="AL17" s="4">
        <f t="shared" si="44"/>
        <v>0.51183134582080303</v>
      </c>
      <c r="AM17" s="4">
        <f t="shared" si="44"/>
        <v>2.9666781029118381</v>
      </c>
      <c r="AN17" s="267">
        <f t="shared" si="45"/>
        <v>3.224537478671059</v>
      </c>
      <c r="AO17" s="299">
        <f t="shared" si="46"/>
        <v>17.381767004960459</v>
      </c>
      <c r="AP17" s="4"/>
      <c r="AQ17" s="4">
        <f t="shared" si="47"/>
        <v>0</v>
      </c>
      <c r="AR17" s="4">
        <f t="shared" si="47"/>
        <v>3.6443168738137808</v>
      </c>
      <c r="AS17" s="267">
        <f t="shared" si="48"/>
        <v>0</v>
      </c>
      <c r="AT17" s="299">
        <f t="shared" si="49"/>
        <v>21.352052563674942</v>
      </c>
    </row>
    <row r="18" spans="1:46" x14ac:dyDescent="0.4">
      <c r="B18">
        <v>5</v>
      </c>
      <c r="C18" s="1">
        <v>7.7</v>
      </c>
      <c r="D18" s="1">
        <f t="shared" si="0"/>
        <v>7.1610000000000005</v>
      </c>
      <c r="E18" s="4">
        <v>2583</v>
      </c>
      <c r="F18" s="6">
        <f t="shared" si="50"/>
        <v>7.8175600012106175E-2</v>
      </c>
      <c r="H18" s="4">
        <f t="shared" si="26"/>
        <v>2.4434792480511525</v>
      </c>
      <c r="I18" s="4">
        <f t="shared" si="27"/>
        <v>0</v>
      </c>
      <c r="J18" s="267">
        <f t="shared" si="28"/>
        <v>18.814790209993873</v>
      </c>
      <c r="K18" s="267">
        <f t="shared" si="28"/>
        <v>0</v>
      </c>
      <c r="L18" s="4"/>
      <c r="M18" s="4">
        <f t="shared" si="29"/>
        <v>2.5548862849311642</v>
      </c>
      <c r="N18" s="4">
        <f t="shared" si="29"/>
        <v>0</v>
      </c>
      <c r="O18" s="267">
        <f t="shared" si="30"/>
        <v>19.672624393969965</v>
      </c>
      <c r="P18" s="299">
        <f t="shared" si="31"/>
        <v>0</v>
      </c>
      <c r="Q18" s="4"/>
      <c r="R18" s="4">
        <f t="shared" si="32"/>
        <v>1.8488754652319261</v>
      </c>
      <c r="S18" s="4">
        <f t="shared" si="32"/>
        <v>0.82354112988974726</v>
      </c>
      <c r="T18" s="267">
        <f t="shared" si="33"/>
        <v>14.236341082285831</v>
      </c>
      <c r="U18" s="299">
        <f t="shared" si="34"/>
        <v>5.8973780311404802</v>
      </c>
      <c r="V18" s="4"/>
      <c r="W18" s="4">
        <f t="shared" si="35"/>
        <v>-6.4640448454059279E-2</v>
      </c>
      <c r="X18" s="4">
        <f t="shared" si="35"/>
        <v>2.8610141594163681</v>
      </c>
      <c r="Y18" s="267">
        <f t="shared" si="36"/>
        <v>-0.49773145309625644</v>
      </c>
      <c r="Z18" s="299">
        <f t="shared" si="37"/>
        <v>20.487722395580612</v>
      </c>
      <c r="AA18" s="4"/>
      <c r="AB18" s="4">
        <f t="shared" si="38"/>
        <v>1.1247741648661416</v>
      </c>
      <c r="AC18" s="4">
        <f t="shared" si="38"/>
        <v>1.8023020461080075</v>
      </c>
      <c r="AD18" s="267">
        <f t="shared" si="39"/>
        <v>8.6607610694692898</v>
      </c>
      <c r="AE18" s="299">
        <f t="shared" si="40"/>
        <v>12.906284952179442</v>
      </c>
      <c r="AF18" s="4"/>
      <c r="AG18" s="4">
        <f t="shared" si="41"/>
        <v>1.1709736249646587</v>
      </c>
      <c r="AH18" s="4">
        <f t="shared" si="41"/>
        <v>1.8938848407383826</v>
      </c>
      <c r="AI18" s="267">
        <f t="shared" si="42"/>
        <v>9.016496912227872</v>
      </c>
      <c r="AJ18" s="299">
        <f t="shared" si="43"/>
        <v>13.562109344527558</v>
      </c>
      <c r="AK18" s="4"/>
      <c r="AL18" s="4">
        <f t="shared" si="44"/>
        <v>0.47233310691501762</v>
      </c>
      <c r="AM18" s="4">
        <f t="shared" si="44"/>
        <v>2.7377383136196065</v>
      </c>
      <c r="AN18" s="267">
        <f t="shared" si="45"/>
        <v>3.6369649232456358</v>
      </c>
      <c r="AO18" s="299">
        <f t="shared" si="46"/>
        <v>19.604944063830004</v>
      </c>
      <c r="AP18" s="4"/>
      <c r="AQ18" s="4">
        <f t="shared" si="47"/>
        <v>0</v>
      </c>
      <c r="AR18" s="4">
        <f t="shared" si="47"/>
        <v>3.3630834173136823</v>
      </c>
      <c r="AS18" s="267">
        <f t="shared" si="48"/>
        <v>0</v>
      </c>
      <c r="AT18" s="299">
        <f t="shared" si="49"/>
        <v>24.083040351383282</v>
      </c>
    </row>
    <row r="19" spans="1:46" s="287" customFormat="1" x14ac:dyDescent="0.4">
      <c r="C19" s="288"/>
      <c r="D19" s="288">
        <f t="shared" si="0"/>
        <v>0</v>
      </c>
      <c r="E19" s="114"/>
      <c r="F19" s="289"/>
      <c r="G19" s="114"/>
      <c r="H19" s="114">
        <f>機器台数case３!D64</f>
        <v>101.20242099719718</v>
      </c>
      <c r="I19" s="114">
        <f>機器台数case３!D71</f>
        <v>0</v>
      </c>
      <c r="J19" s="114">
        <f>SUM(J20:J23)</f>
        <v>323.19104440589848</v>
      </c>
      <c r="K19" s="114">
        <f>SUM(K20:K26)</f>
        <v>0</v>
      </c>
      <c r="L19" s="114"/>
      <c r="M19" s="114">
        <f>機器台数case３!F64</f>
        <v>105.81660458699994</v>
      </c>
      <c r="N19" s="114">
        <f>機器台数case３!I71</f>
        <v>0.16732723132171323</v>
      </c>
      <c r="O19" s="114">
        <f>SUM(O20:O23)</f>
        <v>213.26821770245175</v>
      </c>
      <c r="P19" s="300">
        <f>SUM(P20:P23)</f>
        <v>0</v>
      </c>
      <c r="Q19" s="114"/>
      <c r="R19" s="114">
        <f>機器台数case３!H64</f>
        <v>76.575511477342886</v>
      </c>
      <c r="S19" s="114">
        <f>機器台数case３!H71</f>
        <v>34.108886417628746</v>
      </c>
      <c r="T19" s="114">
        <f>SUM(T20:T23)</f>
        <v>154.33421735810364</v>
      </c>
      <c r="U19" s="300">
        <f>SUM(U20:U23)</f>
        <v>11.541554385363096</v>
      </c>
      <c r="V19" s="114"/>
      <c r="W19" s="114">
        <f>機器台数case３!J64</f>
        <v>-2.6772357011473926</v>
      </c>
      <c r="X19" s="114">
        <f>機器台数case３!J71</f>
        <v>118.49560812563782</v>
      </c>
      <c r="Y19" s="114">
        <f>SUM(Y20:Y23)</f>
        <v>-98.094222627949804</v>
      </c>
      <c r="Z19" s="300">
        <f>SUM(Z20:Z23)</f>
        <v>351.92783574109126</v>
      </c>
      <c r="AA19" s="114"/>
      <c r="AB19" s="114">
        <f>機器台数case３!L64</f>
        <v>46.585158703656489</v>
      </c>
      <c r="AC19" s="114">
        <f>機器台数case３!L71</f>
        <v>74.646564148153601</v>
      </c>
      <c r="AD19" s="114">
        <f>SUM(AD20:AD23)</f>
        <v>148.770216630156</v>
      </c>
      <c r="AE19" s="300">
        <f>SUM(AE20:AE23)</f>
        <v>221.69769987014723</v>
      </c>
      <c r="AF19" s="114"/>
      <c r="AG19" s="114">
        <f>機器台数case３!N64</f>
        <v>48.498617643183948</v>
      </c>
      <c r="AH19" s="114">
        <f>機器台数case３!N71</f>
        <v>78.439680273725472</v>
      </c>
      <c r="AI19" s="114">
        <f>SUM(AI20:AI23)</f>
        <v>154.88086879638047</v>
      </c>
      <c r="AJ19" s="300">
        <f>SUM(AJ20:AJ23)</f>
        <v>232.96312286685253</v>
      </c>
      <c r="AK19" s="114"/>
      <c r="AL19" s="114">
        <f>機器台数case３!P64</f>
        <v>19.562782853610337</v>
      </c>
      <c r="AM19" s="114">
        <f>機器台数case３!P71</f>
        <v>113.3898499920012</v>
      </c>
      <c r="AN19" s="114">
        <f>SUM(AN20:AN23)</f>
        <v>62.473962180403092</v>
      </c>
      <c r="AO19" s="300">
        <f>SUM(AO20:AO23)</f>
        <v>336.76391162431685</v>
      </c>
      <c r="AP19" s="114"/>
      <c r="AQ19" s="114">
        <f>機器台数case３!R64</f>
        <v>0</v>
      </c>
      <c r="AR19" s="114">
        <f>機器台数case３!R71</f>
        <v>139.28998337887535</v>
      </c>
      <c r="AS19" s="114">
        <f>SUM(AS20:AS23)</f>
        <v>0</v>
      </c>
      <c r="AT19" s="300">
        <f>SUM(AT20:AT23)</f>
        <v>413.68640717017564</v>
      </c>
    </row>
    <row r="20" spans="1:46" x14ac:dyDescent="0.4">
      <c r="A20" t="s">
        <v>6</v>
      </c>
      <c r="B20">
        <v>1.5</v>
      </c>
      <c r="C20" s="1">
        <v>3</v>
      </c>
      <c r="D20" s="1">
        <f t="shared" si="0"/>
        <v>2.79</v>
      </c>
      <c r="E20" s="4">
        <v>42010</v>
      </c>
      <c r="F20" s="6">
        <f>E20/$A$22</f>
        <v>0.39268655181761247</v>
      </c>
      <c r="G20" s="114">
        <f>SUM(H20:H23)</f>
        <v>101.20242099719718</v>
      </c>
      <c r="H20" s="4">
        <f>F20*H$19</f>
        <v>39.740829736983706</v>
      </c>
      <c r="I20" s="4">
        <f>$F20*I$11</f>
        <v>0</v>
      </c>
      <c r="J20" s="267">
        <f t="shared" ref="J20:K23" si="51">C20*H20</f>
        <v>119.22248921095112</v>
      </c>
      <c r="K20" s="267">
        <f t="shared" si="51"/>
        <v>0</v>
      </c>
      <c r="L20" s="4"/>
      <c r="M20" s="4">
        <f>K20*M$19</f>
        <v>0</v>
      </c>
      <c r="N20" s="4">
        <f>$F20*N$11</f>
        <v>0</v>
      </c>
      <c r="O20" s="267">
        <f>$C20*M20</f>
        <v>0</v>
      </c>
      <c r="P20" s="299">
        <f>$D20*N20</f>
        <v>0</v>
      </c>
      <c r="Q20" s="4"/>
      <c r="R20" s="4">
        <f>P20*R$19</f>
        <v>0</v>
      </c>
      <c r="S20" s="4">
        <f>$F20*S$11</f>
        <v>4.136757844216163</v>
      </c>
      <c r="T20" s="267">
        <f>$C20*R20</f>
        <v>0</v>
      </c>
      <c r="U20" s="299">
        <f>$D20*S20</f>
        <v>11.541554385363096</v>
      </c>
      <c r="V20" s="4"/>
      <c r="W20" s="4">
        <f>U20*W$19</f>
        <v>-30.899461447228333</v>
      </c>
      <c r="X20" s="4">
        <f>$F20*X$19</f>
        <v>46.531631760387775</v>
      </c>
      <c r="Y20" s="267">
        <f>$C20*W20</f>
        <v>-92.698384341684999</v>
      </c>
      <c r="Z20" s="299">
        <f>$D20*X20</f>
        <v>129.82325261148191</v>
      </c>
      <c r="AA20" s="4"/>
      <c r="AB20" s="4">
        <f>$F20*AB$19</f>
        <v>18.293365337215103</v>
      </c>
      <c r="AC20" s="4">
        <f>$F20*AC$19</f>
        <v>29.312701880370653</v>
      </c>
      <c r="AD20" s="267">
        <f>$C20*AB20</f>
        <v>54.880096011645307</v>
      </c>
      <c r="AE20" s="299">
        <f>$D20*AC20</f>
        <v>81.782438246234122</v>
      </c>
      <c r="AF20" s="114">
        <f>SUM(AG20:AG23)</f>
        <v>48.498617643183941</v>
      </c>
      <c r="AG20" s="4">
        <f>F20*AG$19</f>
        <v>19.044754930222727</v>
      </c>
      <c r="AH20" s="4">
        <f>$F20*AH$19</f>
        <v>30.802207572365251</v>
      </c>
      <c r="AI20" s="267">
        <f>$C20*AG20</f>
        <v>57.134264790668183</v>
      </c>
      <c r="AJ20" s="299">
        <f>$D20*AH20</f>
        <v>85.938159126899052</v>
      </c>
      <c r="AK20" s="114">
        <f>SUM(AL20:AL23)</f>
        <v>19.562782853610337</v>
      </c>
      <c r="AL20" s="4">
        <f>F20*AL$19</f>
        <v>7.6820417427409566</v>
      </c>
      <c r="AM20" s="4">
        <f>$F20*AM$19</f>
        <v>44.526669204475283</v>
      </c>
      <c r="AN20" s="267">
        <f>$C20*AL20</f>
        <v>23.04612522822287</v>
      </c>
      <c r="AO20" s="299">
        <f>$D20*AM20</f>
        <v>124.22940708048604</v>
      </c>
      <c r="AP20" s="4"/>
      <c r="AQ20" s="4">
        <f>AQ$19*$F20</f>
        <v>0</v>
      </c>
      <c r="AR20" s="4">
        <f>$F20*AR$19</f>
        <v>54.697303275783113</v>
      </c>
      <c r="AS20" s="267">
        <f>$C20*AQ20</f>
        <v>0</v>
      </c>
      <c r="AT20" s="299">
        <f>$D20*AR20</f>
        <v>152.6054761394349</v>
      </c>
    </row>
    <row r="21" spans="1:46" x14ac:dyDescent="0.4">
      <c r="A21" t="s">
        <v>10</v>
      </c>
      <c r="B21">
        <v>2</v>
      </c>
      <c r="C21" s="1">
        <v>3.3</v>
      </c>
      <c r="D21" s="1">
        <f t="shared" si="0"/>
        <v>3.069</v>
      </c>
      <c r="E21" s="4">
        <v>42936</v>
      </c>
      <c r="F21" s="6">
        <f>E21/$A$22</f>
        <v>0.40134229442611302</v>
      </c>
      <c r="H21" s="4">
        <f>H$19*$F21</f>
        <v>40.616811844492553</v>
      </c>
      <c r="I21" s="4">
        <f>G21*$G$3</f>
        <v>0</v>
      </c>
      <c r="J21" s="4">
        <f t="shared" si="51"/>
        <v>134.0354790868254</v>
      </c>
      <c r="K21" s="267">
        <f t="shared" si="51"/>
        <v>0</v>
      </c>
      <c r="L21" s="4"/>
      <c r="M21" s="4">
        <f>M$19*$F21</f>
        <v>42.468678873327313</v>
      </c>
      <c r="N21" s="4">
        <f>L21*$G$3</f>
        <v>0</v>
      </c>
      <c r="O21" s="4">
        <f>$C21*M21</f>
        <v>140.14664028198013</v>
      </c>
      <c r="P21" s="299">
        <f>$D21*N21</f>
        <v>0</v>
      </c>
      <c r="Q21" s="4"/>
      <c r="R21" s="4">
        <f>R$19*$F21</f>
        <v>30.732991473169946</v>
      </c>
      <c r="S21" s="4">
        <f>Q21*$G$3</f>
        <v>0</v>
      </c>
      <c r="T21" s="4">
        <f>$C21*R21</f>
        <v>101.41887186146081</v>
      </c>
      <c r="U21" s="299">
        <f>$D21*S21</f>
        <v>0</v>
      </c>
      <c r="V21" s="4"/>
      <c r="W21" s="4">
        <f>W$19*$F21</f>
        <v>-1.0744879190179979</v>
      </c>
      <c r="X21" s="4">
        <f>$F21*X$19</f>
        <v>47.557299244561044</v>
      </c>
      <c r="Y21" s="4">
        <f>$C21*W21</f>
        <v>-3.5458101327593927</v>
      </c>
      <c r="Z21" s="299">
        <f>$D21*X21</f>
        <v>145.95335138155784</v>
      </c>
      <c r="AA21" s="4"/>
      <c r="AB21" s="4">
        <f>AB$19*$F21</f>
        <v>18.696594480330106</v>
      </c>
      <c r="AC21" s="4">
        <f>$F21*AC$19</f>
        <v>29.958823326245994</v>
      </c>
      <c r="AD21" s="4">
        <f>$C21*AB21</f>
        <v>61.698761785089346</v>
      </c>
      <c r="AE21" s="299">
        <f>$D21*AC21</f>
        <v>91.943628788248958</v>
      </c>
      <c r="AF21" s="4"/>
      <c r="AG21" s="4">
        <f>AG$19*$F21</f>
        <v>19.464546481410213</v>
      </c>
      <c r="AH21" s="4">
        <f>$F21*AH$19</f>
        <v>31.481161255107697</v>
      </c>
      <c r="AI21" s="4">
        <f>$C21*AG21</f>
        <v>64.2330033886537</v>
      </c>
      <c r="AJ21" s="299">
        <f>$D21*AH21</f>
        <v>96.615683891925514</v>
      </c>
      <c r="AK21" s="4"/>
      <c r="AL21" s="4">
        <f>AL$19*$F21</f>
        <v>7.8513721558277956</v>
      </c>
      <c r="AM21" s="4">
        <f>$F21*AM$19</f>
        <v>45.508142560422534</v>
      </c>
      <c r="AN21" s="4">
        <f>$C21*AL21</f>
        <v>25.909528114231723</v>
      </c>
      <c r="AO21" s="299">
        <f>$D21*AM21</f>
        <v>139.66448951793674</v>
      </c>
      <c r="AP21" s="4"/>
      <c r="AQ21" s="4">
        <f>AQ$19*$F21</f>
        <v>0</v>
      </c>
      <c r="AR21" s="4">
        <f>$F21*AR$19</f>
        <v>55.90296151985298</v>
      </c>
      <c r="AS21" s="4">
        <f>$C21*AQ21</f>
        <v>0</v>
      </c>
      <c r="AT21" s="299">
        <f>$D21*AR21</f>
        <v>171.5661889044288</v>
      </c>
    </row>
    <row r="22" spans="1:46" x14ac:dyDescent="0.4">
      <c r="A22" s="5">
        <f>SUM(E20:E23)</f>
        <v>106981</v>
      </c>
      <c r="B22">
        <v>2.5</v>
      </c>
      <c r="C22" s="1">
        <v>3.4</v>
      </c>
      <c r="D22" s="1">
        <f t="shared" si="0"/>
        <v>3.1619999999999999</v>
      </c>
      <c r="E22" s="4">
        <v>17071</v>
      </c>
      <c r="F22" s="6">
        <f>E22/$A$22</f>
        <v>0.15957039100401005</v>
      </c>
      <c r="H22" s="4">
        <f>H$19*$F22</f>
        <v>16.148909889075192</v>
      </c>
      <c r="I22" s="4">
        <f>$F22*I$21</f>
        <v>0</v>
      </c>
      <c r="J22" s="267">
        <f t="shared" si="51"/>
        <v>54.90629362285565</v>
      </c>
      <c r="K22" s="267">
        <f t="shared" si="51"/>
        <v>0</v>
      </c>
      <c r="L22" s="4"/>
      <c r="M22" s="4">
        <f>M$19*$F22</f>
        <v>16.885196968664303</v>
      </c>
      <c r="N22" s="4">
        <f>$F22*N$21</f>
        <v>0</v>
      </c>
      <c r="O22" s="267">
        <f>$C22*M22</f>
        <v>57.409669693458632</v>
      </c>
      <c r="P22" s="299">
        <f>$D22*N22</f>
        <v>0</v>
      </c>
      <c r="Q22" s="4"/>
      <c r="R22" s="4">
        <f>R$19*$F22</f>
        <v>12.219184307771663</v>
      </c>
      <c r="S22" s="4">
        <f>$F22*S$21</f>
        <v>0</v>
      </c>
      <c r="T22" s="267">
        <f>$C22*R22</f>
        <v>41.54522664642365</v>
      </c>
      <c r="U22" s="299">
        <f>$D22*S22</f>
        <v>0</v>
      </c>
      <c r="V22" s="4"/>
      <c r="W22" s="4">
        <f>W$19*$F22</f>
        <v>-0.42720754764198443</v>
      </c>
      <c r="X22" s="4">
        <f>$F22*X$19</f>
        <v>18.908390520865975</v>
      </c>
      <c r="Y22" s="267">
        <f>$C22*W22</f>
        <v>-1.452505661982747</v>
      </c>
      <c r="Z22" s="299">
        <f>$D22*X22</f>
        <v>59.788330826978211</v>
      </c>
      <c r="AA22" s="4"/>
      <c r="AB22" s="4">
        <f>AB$19*$F22</f>
        <v>7.4336119893263275</v>
      </c>
      <c r="AC22" s="4">
        <f>$F22*AC$19</f>
        <v>11.911381428226788</v>
      </c>
      <c r="AD22" s="267">
        <f>$C22*AB22</f>
        <v>25.274280763709513</v>
      </c>
      <c r="AE22" s="299">
        <f>$D22*AC22</f>
        <v>37.663788076053102</v>
      </c>
      <c r="AF22" s="4"/>
      <c r="AG22" s="4">
        <f>AG$19*$F22</f>
        <v>7.7389433804768428</v>
      </c>
      <c r="AH22" s="4">
        <f>$F22*AH$19</f>
        <v>12.516650451507907</v>
      </c>
      <c r="AI22" s="267">
        <f>$C22*AG22</f>
        <v>26.312407493621265</v>
      </c>
      <c r="AJ22" s="299">
        <f>$D22*AH22</f>
        <v>39.577648727667999</v>
      </c>
      <c r="AK22" s="4"/>
      <c r="AL22" s="4">
        <f>AL$19*$F22</f>
        <v>3.1216409090771449</v>
      </c>
      <c r="AM22" s="4">
        <f>$F22*AM$19</f>
        <v>18.093662699109679</v>
      </c>
      <c r="AN22" s="267">
        <f>$C22*AL22</f>
        <v>10.613579090862292</v>
      </c>
      <c r="AO22" s="299">
        <f>$D22*AM22</f>
        <v>57.212161454584802</v>
      </c>
      <c r="AP22" s="4"/>
      <c r="AQ22" s="4">
        <f>AQ$19*$F22</f>
        <v>0</v>
      </c>
      <c r="AR22" s="4">
        <f>$F22*AR$19</f>
        <v>22.226557110709201</v>
      </c>
      <c r="AS22" s="267">
        <f>$C22*AQ22</f>
        <v>0</v>
      </c>
      <c r="AT22" s="299">
        <f>$D22*AR22</f>
        <v>70.280373584062488</v>
      </c>
    </row>
    <row r="23" spans="1:46" x14ac:dyDescent="0.4">
      <c r="A23" s="6">
        <f>A22/$E$51</f>
        <v>0.16732723132171323</v>
      </c>
      <c r="B23">
        <v>3</v>
      </c>
      <c r="C23" s="1">
        <v>3.2</v>
      </c>
      <c r="D23" s="1">
        <f t="shared" si="0"/>
        <v>2.9760000000000004</v>
      </c>
      <c r="E23" s="4">
        <v>4964</v>
      </c>
      <c r="F23" s="6">
        <f>E23/$A$22</f>
        <v>4.6400762752264423E-2</v>
      </c>
      <c r="H23" s="4">
        <f>H$19*$F23</f>
        <v>4.6958695266457298</v>
      </c>
      <c r="I23" s="4">
        <f>$F23*I$21</f>
        <v>0</v>
      </c>
      <c r="J23" s="267">
        <f t="shared" si="51"/>
        <v>15.026782485266336</v>
      </c>
      <c r="K23" s="267">
        <f t="shared" si="51"/>
        <v>0</v>
      </c>
      <c r="L23" s="4"/>
      <c r="M23" s="4">
        <f>M$19*$F23</f>
        <v>4.9099711646915596</v>
      </c>
      <c r="N23" s="4">
        <f>$F23*N$21</f>
        <v>0</v>
      </c>
      <c r="O23" s="267">
        <f>$C23*M23</f>
        <v>15.711907727012992</v>
      </c>
      <c r="P23" s="299">
        <f>$D23*N23</f>
        <v>0</v>
      </c>
      <c r="Q23" s="4"/>
      <c r="R23" s="4">
        <f>R$19*$F23</f>
        <v>3.5531621406934883</v>
      </c>
      <c r="S23" s="4">
        <f>$F23*S$21</f>
        <v>0</v>
      </c>
      <c r="T23" s="267">
        <f>$C23*R23</f>
        <v>11.370118850219164</v>
      </c>
      <c r="U23" s="299">
        <f>$D23*S23</f>
        <v>0</v>
      </c>
      <c r="V23" s="4"/>
      <c r="W23" s="4">
        <f>W$19*$F23</f>
        <v>-0.12422577860083246</v>
      </c>
      <c r="X23" s="4">
        <f>$F23*X$19</f>
        <v>5.4982865998230164</v>
      </c>
      <c r="Y23" s="267">
        <f>$C23*W23</f>
        <v>-0.39752249152266389</v>
      </c>
      <c r="Z23" s="299">
        <f>$D23*X23</f>
        <v>16.362900921073297</v>
      </c>
      <c r="AA23" s="4"/>
      <c r="AB23" s="4">
        <f>AB$19*$F23</f>
        <v>2.161586896784951</v>
      </c>
      <c r="AC23" s="4">
        <f>$F23*AC$19</f>
        <v>3.4636575133101624</v>
      </c>
      <c r="AD23" s="267">
        <f>$C23*AB23</f>
        <v>6.9170780697118435</v>
      </c>
      <c r="AE23" s="299">
        <f>$D23*AC23</f>
        <v>10.307844759611045</v>
      </c>
      <c r="AF23" s="4"/>
      <c r="AG23" s="4">
        <f>AG$19*$F23</f>
        <v>2.2503728510741641</v>
      </c>
      <c r="AH23" s="4">
        <f>$F23*AH$19</f>
        <v>3.6396609947446112</v>
      </c>
      <c r="AI23" s="267">
        <f>$C23*AG23</f>
        <v>7.2011931234373252</v>
      </c>
      <c r="AJ23" s="299">
        <f>$D23*AH23</f>
        <v>10.831631120359965</v>
      </c>
      <c r="AK23" s="4"/>
      <c r="AL23" s="4">
        <f>AL$19*$F23</f>
        <v>0.90772804596443957</v>
      </c>
      <c r="AM23" s="4">
        <f>$F23*AM$19</f>
        <v>5.2613755279936996</v>
      </c>
      <c r="AN23" s="267">
        <f>$C23*AL23</f>
        <v>2.9047297470862068</v>
      </c>
      <c r="AO23" s="299">
        <f>$D23*AM23</f>
        <v>15.657853571309252</v>
      </c>
      <c r="AP23" s="4"/>
      <c r="AQ23" s="4">
        <f>AQ$19*$F23</f>
        <v>0</v>
      </c>
      <c r="AR23" s="4">
        <f>$F23*AR$19</f>
        <v>6.4631614725300501</v>
      </c>
      <c r="AS23" s="267">
        <f>$C23*AQ23</f>
        <v>0</v>
      </c>
      <c r="AT23" s="299">
        <f>$D23*AR23</f>
        <v>19.234368542249431</v>
      </c>
    </row>
    <row r="24" spans="1:46" x14ac:dyDescent="0.4">
      <c r="A24" s="6"/>
      <c r="D24" s="1">
        <f t="shared" si="0"/>
        <v>0</v>
      </c>
      <c r="F24" s="6"/>
      <c r="H24" s="4">
        <f>機器台数case３!D65</f>
        <v>77.476171279670695</v>
      </c>
      <c r="I24" s="4">
        <f>機器台数case３!D72</f>
        <v>0</v>
      </c>
      <c r="J24" s="4">
        <f>SUM(J25:J31)</f>
        <v>325.58618382058722</v>
      </c>
      <c r="K24" s="4">
        <f>SUM(K25:K31)</f>
        <v>0</v>
      </c>
      <c r="L24" s="4"/>
      <c r="M24" s="4">
        <f>機器台数case３!F65</f>
        <v>81.008589522207643</v>
      </c>
      <c r="N24" s="4">
        <v>0</v>
      </c>
      <c r="O24" s="4">
        <f>SUM(O25:O31)</f>
        <v>340.43083290752026</v>
      </c>
      <c r="P24" s="297">
        <f>SUM(P25:P31)</f>
        <v>0</v>
      </c>
      <c r="Q24" s="4"/>
      <c r="R24" s="4">
        <f>機器台数case３!H65</f>
        <v>58.622880604914741</v>
      </c>
      <c r="S24" s="4">
        <f>機器台数case３!H72</f>
        <v>26.112279728211497</v>
      </c>
      <c r="T24" s="4">
        <f>SUM(T25:T31)</f>
        <v>246.35703682136361</v>
      </c>
      <c r="U24" s="297">
        <f>SUM(U25:U31)</f>
        <v>102.05294804119009</v>
      </c>
      <c r="V24" s="4"/>
      <c r="W24" s="4">
        <f>機器台数case３!J65</f>
        <v>-2.0495751948848064</v>
      </c>
      <c r="X24" s="4">
        <f>機器台数case３!J72</f>
        <v>90.715083103445835</v>
      </c>
      <c r="Y24" s="4">
        <f>SUM(Y25:Y31)</f>
        <v>-8.6131433075988824</v>
      </c>
      <c r="Z24" s="297">
        <f>SUM(Z25:Z31)</f>
        <v>354.53594090087086</v>
      </c>
      <c r="AA24" s="4"/>
      <c r="AB24" s="4">
        <f>機器台数case３!L65</f>
        <v>35.663571081121567</v>
      </c>
      <c r="AC24" s="4">
        <f>機器台数case３!L72</f>
        <v>57.146162437570972</v>
      </c>
      <c r="AD24" s="4">
        <f>SUM(AD25:AD31)</f>
        <v>149.87273916520232</v>
      </c>
      <c r="AE24" s="297">
        <f>SUM(AE25:AE31)</f>
        <v>223.34068134595174</v>
      </c>
      <c r="AF24" s="4"/>
      <c r="AG24" s="4">
        <f>機器台数case３!N65</f>
        <v>37.128432011074544</v>
      </c>
      <c r="AH24" s="4">
        <f>機器台数case３!N72</f>
        <v>60.050007145363352</v>
      </c>
      <c r="AI24" s="4">
        <f>SUM(AI25:AI31)</f>
        <v>156.02867681846644</v>
      </c>
      <c r="AJ24" s="297">
        <f>SUM(AJ25:AJ31)</f>
        <v>234.68959136715722</v>
      </c>
      <c r="AK24" s="4"/>
      <c r="AL24" s="4">
        <f>機器台数case３!P65</f>
        <v>14.976415585110315</v>
      </c>
      <c r="AM24" s="4">
        <f>機器台数case３!P72</f>
        <v>86.806336773304594</v>
      </c>
      <c r="AN24" s="4">
        <f>SUM(AN25:AN31)</f>
        <v>62.936951028021426</v>
      </c>
      <c r="AO24" s="297">
        <f>SUM(AO25:AO31)</f>
        <v>339.25963832261954</v>
      </c>
      <c r="AP24" s="4"/>
      <c r="AQ24" s="4">
        <f>機器台数case３!R65</f>
        <v>0</v>
      </c>
      <c r="AR24" s="4">
        <f>機器台数case３!R72</f>
        <v>106.6343522562875</v>
      </c>
      <c r="AS24" s="4">
        <f>SUM(AS25:AS31)</f>
        <v>0</v>
      </c>
      <c r="AT24" s="297">
        <f>SUM(AT25:AT31)</f>
        <v>416.75219948182718</v>
      </c>
    </row>
    <row r="25" spans="1:46" s="291" customFormat="1" x14ac:dyDescent="0.4">
      <c r="A25" s="291" t="s">
        <v>6</v>
      </c>
      <c r="B25" s="291">
        <v>1.5</v>
      </c>
      <c r="C25" s="292">
        <v>3</v>
      </c>
      <c r="D25" s="292">
        <f t="shared" si="0"/>
        <v>2.79</v>
      </c>
      <c r="E25" s="293">
        <v>10837</v>
      </c>
      <c r="F25" s="294">
        <f t="shared" ref="F25:F31" si="52">E25/$A$27</f>
        <v>0.13231990231990232</v>
      </c>
      <c r="G25" s="114">
        <f>SUM(H25:H31)</f>
        <v>77.476171279670709</v>
      </c>
      <c r="H25" s="293">
        <f t="shared" ref="H25:H31" si="53">F25*H$24</f>
        <v>10.251639415846048</v>
      </c>
      <c r="I25" s="293">
        <f t="shared" ref="I25:I31" si="54">$F25*I$24</f>
        <v>0</v>
      </c>
      <c r="J25" s="295">
        <f t="shared" ref="J25:K31" si="55">C25*H25</f>
        <v>30.754918247538143</v>
      </c>
      <c r="K25" s="295">
        <f t="shared" si="55"/>
        <v>0</v>
      </c>
      <c r="L25" s="293"/>
      <c r="M25" s="293">
        <f t="shared" ref="M25:M31" si="56">M$24*$F25</f>
        <v>10.719048652651578</v>
      </c>
      <c r="N25" s="293">
        <f t="shared" ref="N25:N31" si="57">$F25*N$24</f>
        <v>0</v>
      </c>
      <c r="O25" s="295">
        <f t="shared" ref="O25:O31" si="58">$C25*M25</f>
        <v>32.157145957954732</v>
      </c>
      <c r="P25" s="301">
        <f t="shared" ref="P25:P31" si="59">$D25*N25</f>
        <v>0</v>
      </c>
      <c r="Q25" s="293"/>
      <c r="R25" s="293">
        <f t="shared" ref="R25:R31" si="60">R$24*$F25</f>
        <v>7.7569738353536142</v>
      </c>
      <c r="S25" s="293">
        <f t="shared" ref="S25:S31" si="61">$F25*S$24</f>
        <v>3.4551743029869106</v>
      </c>
      <c r="T25" s="295">
        <f t="shared" ref="T25:T31" si="62">$C25*R25</f>
        <v>23.270921506060844</v>
      </c>
      <c r="U25" s="301">
        <f t="shared" ref="U25:U31" si="63">$D25*S25</f>
        <v>9.6399363053334817</v>
      </c>
      <c r="V25" s="293"/>
      <c r="W25" s="293">
        <f t="shared" ref="W25:W31" si="64">W$24*$F25</f>
        <v>-0.27119958958445234</v>
      </c>
      <c r="X25" s="293">
        <f t="shared" ref="X25:X31" si="65">$F25*X$24</f>
        <v>12.003410935189773</v>
      </c>
      <c r="Y25" s="295">
        <f t="shared" ref="Y25:Y31" si="66">$C25*W25</f>
        <v>-0.81359876875335702</v>
      </c>
      <c r="Z25" s="301">
        <f t="shared" ref="Z25:Z31" si="67">$D25*X25</f>
        <v>33.489516509179467</v>
      </c>
      <c r="AA25" s="293"/>
      <c r="AB25" s="293">
        <f t="shared" ref="AB25:AB31" si="68">AB$24*$F25</f>
        <v>4.7190002418328989</v>
      </c>
      <c r="AC25" s="293">
        <f t="shared" ref="AC25:AC31" si="69">$F25*AC$24</f>
        <v>7.5615746316966614</v>
      </c>
      <c r="AD25" s="295">
        <f t="shared" ref="AD25:AD31" si="70">$C25*AB25</f>
        <v>14.157000725498698</v>
      </c>
      <c r="AE25" s="301">
        <f t="shared" ref="AE25:AE31" si="71">$D25*AC25</f>
        <v>21.096793222433686</v>
      </c>
      <c r="AF25" s="114">
        <f>SUM(AG25:AG31)</f>
        <v>37.128432011074544</v>
      </c>
      <c r="AG25" s="293">
        <f t="shared" ref="AG25:AG31" si="72">AG$24*$F25</f>
        <v>4.9128304969965182</v>
      </c>
      <c r="AH25" s="293">
        <f t="shared" ref="AH25:AH31" si="73">$F25*AH$24</f>
        <v>7.9458110797839145</v>
      </c>
      <c r="AI25" s="295">
        <f t="shared" ref="AI25:AI31" si="74">$C25*AG25</f>
        <v>14.738491490989555</v>
      </c>
      <c r="AJ25" s="301">
        <f t="shared" ref="AJ25:AJ31" si="75">$D25*AH25</f>
        <v>22.168812912597122</v>
      </c>
      <c r="AK25" s="114">
        <f>SUM(AL25:AL31)</f>
        <v>14.976415585110315</v>
      </c>
      <c r="AL25" s="293">
        <f t="shared" ref="AL25:AL31" si="76">AL$24*$F25</f>
        <v>1.9816778473240595</v>
      </c>
      <c r="AM25" s="293">
        <f t="shared" ref="AM25:AM31" si="77">$F25*AM$24</f>
        <v>11.486206002592208</v>
      </c>
      <c r="AN25" s="295">
        <f t="shared" ref="AN25:AN31" si="78">$C25*AL25</f>
        <v>5.9450335419721787</v>
      </c>
      <c r="AO25" s="301">
        <f t="shared" ref="AO25:AO31" si="79">$D25*AM25</f>
        <v>32.046514747232258</v>
      </c>
      <c r="AP25" s="293"/>
      <c r="AQ25" s="293">
        <f t="shared" ref="AQ25:AQ31" si="80">AQ$24*$F25</f>
        <v>0</v>
      </c>
      <c r="AR25" s="293">
        <f t="shared" ref="AR25:AR31" si="81">$F25*AR$24</f>
        <v>14.109847074498017</v>
      </c>
      <c r="AS25" s="295">
        <f t="shared" ref="AS25:AS31" si="82">$C25*AQ25</f>
        <v>0</v>
      </c>
      <c r="AT25" s="301">
        <f t="shared" ref="AT25:AT31" si="83">$D25*AR25</f>
        <v>39.36647333784947</v>
      </c>
    </row>
    <row r="26" spans="1:46" x14ac:dyDescent="0.4">
      <c r="A26" t="s">
        <v>11</v>
      </c>
      <c r="B26">
        <v>2</v>
      </c>
      <c r="C26" s="1">
        <v>3.3</v>
      </c>
      <c r="D26" s="1">
        <f t="shared" si="0"/>
        <v>3.069</v>
      </c>
      <c r="E26" s="4">
        <v>14510</v>
      </c>
      <c r="F26" s="6">
        <f t="shared" si="52"/>
        <v>0.17716727716727718</v>
      </c>
      <c r="H26" s="4">
        <f t="shared" si="53"/>
        <v>13.726242310964858</v>
      </c>
      <c r="I26" s="4">
        <f t="shared" si="54"/>
        <v>0</v>
      </c>
      <c r="J26" s="267">
        <f t="shared" si="55"/>
        <v>45.296599626184033</v>
      </c>
      <c r="K26" s="267">
        <f t="shared" si="55"/>
        <v>0</v>
      </c>
      <c r="L26" s="4"/>
      <c r="M26" s="4">
        <f t="shared" si="56"/>
        <v>14.352071232811147</v>
      </c>
      <c r="N26" s="4">
        <f t="shared" si="57"/>
        <v>0</v>
      </c>
      <c r="O26" s="267">
        <f t="shared" si="58"/>
        <v>47.361835068276783</v>
      </c>
      <c r="P26" s="299">
        <f t="shared" si="59"/>
        <v>0</v>
      </c>
      <c r="Q26" s="4"/>
      <c r="R26" s="4">
        <f t="shared" si="60"/>
        <v>10.386056136475128</v>
      </c>
      <c r="S26" s="4">
        <f t="shared" si="61"/>
        <v>4.6262415000775192</v>
      </c>
      <c r="T26" s="267">
        <f t="shared" si="62"/>
        <v>34.273985250367922</v>
      </c>
      <c r="U26" s="299">
        <f t="shared" si="63"/>
        <v>14.197935163737906</v>
      </c>
      <c r="V26" s="4"/>
      <c r="W26" s="4">
        <f t="shared" si="64"/>
        <v>-0.36311765662733264</v>
      </c>
      <c r="X26" s="4">
        <f t="shared" si="65"/>
        <v>16.071744271440771</v>
      </c>
      <c r="Y26" s="267">
        <f t="shared" si="66"/>
        <v>-1.1982882668701977</v>
      </c>
      <c r="Z26" s="299">
        <f t="shared" si="67"/>
        <v>49.324183169051729</v>
      </c>
      <c r="AA26" s="4"/>
      <c r="AB26" s="4">
        <f t="shared" si="68"/>
        <v>6.318417782503956</v>
      </c>
      <c r="AC26" s="4">
        <f t="shared" si="69"/>
        <v>10.124429999623381</v>
      </c>
      <c r="AD26" s="267">
        <f t="shared" si="70"/>
        <v>20.850778682263055</v>
      </c>
      <c r="AE26" s="299">
        <f t="shared" si="71"/>
        <v>31.071875668844154</v>
      </c>
      <c r="AF26" s="4"/>
      <c r="AG26" s="4">
        <f t="shared" si="72"/>
        <v>6.57794320489245</v>
      </c>
      <c r="AH26" s="4">
        <f t="shared" si="73"/>
        <v>10.638896259819564</v>
      </c>
      <c r="AI26" s="267">
        <f t="shared" si="74"/>
        <v>21.707212576145082</v>
      </c>
      <c r="AJ26" s="299">
        <f t="shared" si="75"/>
        <v>32.650772621386238</v>
      </c>
      <c r="AK26" s="4"/>
      <c r="AL26" s="4">
        <f t="shared" si="76"/>
        <v>2.6533307709395686</v>
      </c>
      <c r="AM26" s="4">
        <f t="shared" si="77"/>
        <v>15.37924232699206</v>
      </c>
      <c r="AN26" s="267">
        <f t="shared" si="78"/>
        <v>8.755991544100576</v>
      </c>
      <c r="AO26" s="299">
        <f t="shared" si="79"/>
        <v>47.198894701538627</v>
      </c>
      <c r="AP26" s="4"/>
      <c r="AQ26" s="4">
        <f t="shared" si="80"/>
        <v>0</v>
      </c>
      <c r="AR26" s="4">
        <f t="shared" si="81"/>
        <v>18.892117841742756</v>
      </c>
      <c r="AS26" s="267">
        <f t="shared" si="82"/>
        <v>0</v>
      </c>
      <c r="AT26" s="299">
        <f t="shared" si="83"/>
        <v>57.979909656308514</v>
      </c>
    </row>
    <row r="27" spans="1:46" x14ac:dyDescent="0.4">
      <c r="A27" s="5">
        <f>SUM(E25:E31)</f>
        <v>81900</v>
      </c>
      <c r="B27">
        <v>2.5</v>
      </c>
      <c r="C27" s="1">
        <v>3.4</v>
      </c>
      <c r="D27" s="1">
        <f t="shared" si="0"/>
        <v>3.1619999999999999</v>
      </c>
      <c r="E27" s="4">
        <v>12890</v>
      </c>
      <c r="F27" s="6">
        <f t="shared" si="52"/>
        <v>0.15738705738705738</v>
      </c>
      <c r="H27" s="4">
        <f t="shared" si="53"/>
        <v>12.193746615323018</v>
      </c>
      <c r="I27" s="4">
        <f t="shared" si="54"/>
        <v>0</v>
      </c>
      <c r="J27" s="267">
        <f t="shared" si="55"/>
        <v>41.458738492098263</v>
      </c>
      <c r="K27" s="267">
        <f t="shared" si="55"/>
        <v>0</v>
      </c>
      <c r="L27" s="4"/>
      <c r="M27" s="4">
        <f t="shared" si="56"/>
        <v>12.749703527976269</v>
      </c>
      <c r="N27" s="4">
        <f t="shared" si="57"/>
        <v>0</v>
      </c>
      <c r="O27" s="267">
        <f t="shared" si="58"/>
        <v>43.348991995119313</v>
      </c>
      <c r="P27" s="299">
        <f t="shared" si="59"/>
        <v>0</v>
      </c>
      <c r="Q27" s="4"/>
      <c r="R27" s="4">
        <f t="shared" si="60"/>
        <v>9.2264826739603301</v>
      </c>
      <c r="S27" s="4">
        <f t="shared" si="61"/>
        <v>4.1097348680909178</v>
      </c>
      <c r="T27" s="267">
        <f t="shared" si="62"/>
        <v>31.370041091465122</v>
      </c>
      <c r="U27" s="299">
        <f t="shared" si="63"/>
        <v>12.994981652903482</v>
      </c>
      <c r="V27" s="4"/>
      <c r="W27" s="4">
        <f t="shared" si="64"/>
        <v>-0.32257660881642436</v>
      </c>
      <c r="X27" s="4">
        <f t="shared" si="65"/>
        <v>14.27737999027371</v>
      </c>
      <c r="Y27" s="267">
        <f t="shared" si="66"/>
        <v>-1.0967604699758429</v>
      </c>
      <c r="Z27" s="299">
        <f t="shared" si="67"/>
        <v>45.145075529245467</v>
      </c>
      <c r="AA27" s="4"/>
      <c r="AB27" s="4">
        <f t="shared" si="68"/>
        <v>5.6129845083718806</v>
      </c>
      <c r="AC27" s="4">
        <f t="shared" si="69"/>
        <v>8.994066347012085</v>
      </c>
      <c r="AD27" s="267">
        <f t="shared" si="70"/>
        <v>19.084147328464393</v>
      </c>
      <c r="AE27" s="299">
        <f t="shared" si="71"/>
        <v>28.439237789252211</v>
      </c>
      <c r="AF27" s="4"/>
      <c r="AG27" s="4">
        <f t="shared" si="72"/>
        <v>5.8435346596184479</v>
      </c>
      <c r="AH27" s="4">
        <f t="shared" si="73"/>
        <v>9.451093920680508</v>
      </c>
      <c r="AI27" s="267">
        <f t="shared" si="74"/>
        <v>19.868017842702724</v>
      </c>
      <c r="AJ27" s="299">
        <f t="shared" si="75"/>
        <v>29.884358977191766</v>
      </c>
      <c r="AK27" s="4"/>
      <c r="AL27" s="4">
        <f t="shared" si="76"/>
        <v>2.3570939791461778</v>
      </c>
      <c r="AM27" s="4">
        <f t="shared" si="77"/>
        <v>13.66219390730032</v>
      </c>
      <c r="AN27" s="267">
        <f t="shared" si="78"/>
        <v>8.0141195290970035</v>
      </c>
      <c r="AO27" s="299">
        <f t="shared" si="79"/>
        <v>43.199857134883615</v>
      </c>
      <c r="AP27" s="4"/>
      <c r="AQ27" s="4">
        <f t="shared" si="80"/>
        <v>0</v>
      </c>
      <c r="AR27" s="4">
        <f t="shared" si="81"/>
        <v>16.782866917992013</v>
      </c>
      <c r="AS27" s="267">
        <f t="shared" si="82"/>
        <v>0</v>
      </c>
      <c r="AT27" s="299">
        <f t="shared" si="83"/>
        <v>53.067425194690742</v>
      </c>
    </row>
    <row r="28" spans="1:46" x14ac:dyDescent="0.4">
      <c r="A28" s="6">
        <f>A27/$E$51</f>
        <v>0.12809844968030132</v>
      </c>
      <c r="B28">
        <v>3</v>
      </c>
      <c r="C28" s="1">
        <v>3.2</v>
      </c>
      <c r="D28" s="1">
        <f t="shared" si="0"/>
        <v>2.9760000000000004</v>
      </c>
      <c r="E28" s="4">
        <v>16504</v>
      </c>
      <c r="F28" s="6">
        <f t="shared" si="52"/>
        <v>0.20151404151404151</v>
      </c>
      <c r="H28" s="4">
        <f t="shared" si="53"/>
        <v>15.61253639560055</v>
      </c>
      <c r="I28" s="4">
        <f t="shared" si="54"/>
        <v>0</v>
      </c>
      <c r="J28" s="267">
        <f t="shared" si="55"/>
        <v>49.960116465921764</v>
      </c>
      <c r="K28" s="267">
        <f t="shared" si="55"/>
        <v>0</v>
      </c>
      <c r="L28" s="4"/>
      <c r="M28" s="4">
        <f t="shared" si="56"/>
        <v>16.324368271972098</v>
      </c>
      <c r="N28" s="4">
        <f t="shared" si="57"/>
        <v>0</v>
      </c>
      <c r="O28" s="267">
        <f t="shared" si="58"/>
        <v>52.237978470310715</v>
      </c>
      <c r="P28" s="299">
        <f t="shared" si="59"/>
        <v>0</v>
      </c>
      <c r="Q28" s="4"/>
      <c r="R28" s="4">
        <f t="shared" si="60"/>
        <v>11.813333595891487</v>
      </c>
      <c r="S28" s="4">
        <f t="shared" si="61"/>
        <v>5.2619910211770762</v>
      </c>
      <c r="T28" s="267">
        <f t="shared" si="62"/>
        <v>37.802667506852764</v>
      </c>
      <c r="U28" s="299">
        <f t="shared" si="63"/>
        <v>15.65968527902298</v>
      </c>
      <c r="V28" s="4"/>
      <c r="W28" s="4">
        <f t="shared" si="64"/>
        <v>-0.41301818090816661</v>
      </c>
      <c r="X28" s="4">
        <f t="shared" si="65"/>
        <v>18.280363022457511</v>
      </c>
      <c r="Y28" s="267">
        <f t="shared" si="66"/>
        <v>-1.3216581789061332</v>
      </c>
      <c r="Z28" s="299">
        <f t="shared" si="67"/>
        <v>54.402360354833561</v>
      </c>
      <c r="AA28" s="4"/>
      <c r="AB28" s="4">
        <f t="shared" si="68"/>
        <v>7.1867103433801018</v>
      </c>
      <c r="AC28" s="4">
        <f t="shared" si="69"/>
        <v>11.515754149812837</v>
      </c>
      <c r="AD28" s="267">
        <f t="shared" si="70"/>
        <v>22.997473098816329</v>
      </c>
      <c r="AE28" s="299">
        <f t="shared" si="71"/>
        <v>34.270884349843008</v>
      </c>
      <c r="AF28" s="4"/>
      <c r="AG28" s="4">
        <f t="shared" si="72"/>
        <v>7.4819003896309431</v>
      </c>
      <c r="AH28" s="4">
        <f t="shared" si="73"/>
        <v>12.100919632809239</v>
      </c>
      <c r="AI28" s="267">
        <f t="shared" si="74"/>
        <v>23.942081246819019</v>
      </c>
      <c r="AJ28" s="299">
        <f t="shared" si="75"/>
        <v>36.012336827240297</v>
      </c>
      <c r="AK28" s="4"/>
      <c r="AL28" s="4">
        <f t="shared" si="76"/>
        <v>3.0179580319494583</v>
      </c>
      <c r="AM28" s="4">
        <f t="shared" si="77"/>
        <v>17.492695752217571</v>
      </c>
      <c r="AN28" s="267">
        <f t="shared" si="78"/>
        <v>9.6574657022382677</v>
      </c>
      <c r="AO28" s="299">
        <f t="shared" si="79"/>
        <v>52.058262558599502</v>
      </c>
      <c r="AP28" s="4"/>
      <c r="AQ28" s="4">
        <f t="shared" si="80"/>
        <v>0</v>
      </c>
      <c r="AR28" s="4">
        <f t="shared" si="81"/>
        <v>21.488319287396443</v>
      </c>
      <c r="AS28" s="267">
        <f t="shared" si="82"/>
        <v>0</v>
      </c>
      <c r="AT28" s="299">
        <f t="shared" si="83"/>
        <v>63.949238199291827</v>
      </c>
    </row>
    <row r="29" spans="1:46" x14ac:dyDescent="0.4">
      <c r="B29">
        <v>3.5</v>
      </c>
      <c r="C29" s="1">
        <v>4.7</v>
      </c>
      <c r="D29" s="1">
        <f t="shared" si="0"/>
        <v>4.3710000000000004</v>
      </c>
      <c r="E29" s="4">
        <v>9281</v>
      </c>
      <c r="F29" s="6">
        <f t="shared" si="52"/>
        <v>0.11332112332112332</v>
      </c>
      <c r="H29" s="4">
        <f t="shared" si="53"/>
        <v>8.7796867600320354</v>
      </c>
      <c r="I29" s="4">
        <f t="shared" si="54"/>
        <v>0</v>
      </c>
      <c r="J29" s="267">
        <f t="shared" si="55"/>
        <v>41.264527772150565</v>
      </c>
      <c r="K29" s="267">
        <f t="shared" si="55"/>
        <v>0</v>
      </c>
      <c r="L29" s="4"/>
      <c r="M29" s="4">
        <f t="shared" si="56"/>
        <v>9.1799843633163505</v>
      </c>
      <c r="N29" s="4">
        <f t="shared" si="57"/>
        <v>0</v>
      </c>
      <c r="O29" s="267">
        <f t="shared" si="58"/>
        <v>43.14592650758685</v>
      </c>
      <c r="P29" s="299">
        <f t="shared" si="59"/>
        <v>0</v>
      </c>
      <c r="Q29" s="4"/>
      <c r="R29" s="4">
        <f t="shared" si="60"/>
        <v>6.6432106824690313</v>
      </c>
      <c r="S29" s="4">
        <f t="shared" si="61"/>
        <v>2.9590728712763235</v>
      </c>
      <c r="T29" s="267">
        <f t="shared" si="62"/>
        <v>31.22309020760445</v>
      </c>
      <c r="U29" s="299">
        <f t="shared" si="63"/>
        <v>12.93410752034881</v>
      </c>
      <c r="V29" s="4"/>
      <c r="W29" s="4">
        <f t="shared" si="64"/>
        <v>-0.23226016341545652</v>
      </c>
      <c r="X29" s="4">
        <f t="shared" si="65"/>
        <v>10.279935119451535</v>
      </c>
      <c r="Y29" s="267">
        <f t="shared" si="66"/>
        <v>-1.0916227680526458</v>
      </c>
      <c r="Z29" s="299">
        <f t="shared" si="67"/>
        <v>44.933596407122664</v>
      </c>
      <c r="AA29" s="4"/>
      <c r="AB29" s="4">
        <f t="shared" si="68"/>
        <v>4.0414359365554242</v>
      </c>
      <c r="AC29" s="4">
        <f t="shared" si="69"/>
        <v>6.4758673209169251</v>
      </c>
      <c r="AD29" s="267">
        <f t="shared" si="70"/>
        <v>18.994748901810496</v>
      </c>
      <c r="AE29" s="299">
        <f t="shared" si="71"/>
        <v>28.306016059727881</v>
      </c>
      <c r="AF29" s="4"/>
      <c r="AG29" s="4">
        <f t="shared" si="72"/>
        <v>4.2074356226469209</v>
      </c>
      <c r="AH29" s="4">
        <f t="shared" si="73"/>
        <v>6.8049342651540572</v>
      </c>
      <c r="AI29" s="267">
        <f t="shared" si="74"/>
        <v>19.77494742644053</v>
      </c>
      <c r="AJ29" s="299">
        <f t="shared" si="75"/>
        <v>29.744367672988385</v>
      </c>
      <c r="AK29" s="4"/>
      <c r="AL29" s="4">
        <f t="shared" si="76"/>
        <v>1.6971442374286791</v>
      </c>
      <c r="AM29" s="4">
        <f t="shared" si="77"/>
        <v>9.8369915945426118</v>
      </c>
      <c r="AN29" s="267">
        <f t="shared" si="78"/>
        <v>7.9765779159147927</v>
      </c>
      <c r="AO29" s="299">
        <f t="shared" si="79"/>
        <v>42.99749025974576</v>
      </c>
      <c r="AP29" s="4"/>
      <c r="AQ29" s="4">
        <f t="shared" si="80"/>
        <v>0</v>
      </c>
      <c r="AR29" s="4">
        <f t="shared" si="81"/>
        <v>12.08392458230286</v>
      </c>
      <c r="AS29" s="267">
        <f t="shared" si="82"/>
        <v>0</v>
      </c>
      <c r="AT29" s="299">
        <f t="shared" si="83"/>
        <v>52.818834349245805</v>
      </c>
    </row>
    <row r="30" spans="1:46" x14ac:dyDescent="0.4">
      <c r="B30">
        <v>4</v>
      </c>
      <c r="C30" s="1">
        <v>6.3</v>
      </c>
      <c r="D30" s="1">
        <f t="shared" si="0"/>
        <v>5.859</v>
      </c>
      <c r="E30" s="4">
        <v>10098</v>
      </c>
      <c r="F30" s="6">
        <f t="shared" si="52"/>
        <v>0.12329670329670329</v>
      </c>
      <c r="H30" s="4">
        <f t="shared" si="53"/>
        <v>9.5525565028341219</v>
      </c>
      <c r="I30" s="4">
        <f t="shared" si="54"/>
        <v>0</v>
      </c>
      <c r="J30" s="4">
        <f t="shared" si="55"/>
        <v>60.181105967854968</v>
      </c>
      <c r="K30" s="267">
        <f t="shared" si="55"/>
        <v>0</v>
      </c>
      <c r="L30" s="4"/>
      <c r="M30" s="4">
        <f t="shared" si="56"/>
        <v>9.9880920268040629</v>
      </c>
      <c r="N30" s="4">
        <f t="shared" si="57"/>
        <v>0</v>
      </c>
      <c r="O30" s="4">
        <f t="shared" si="58"/>
        <v>62.924979768865597</v>
      </c>
      <c r="P30" s="299">
        <f t="shared" si="59"/>
        <v>0</v>
      </c>
      <c r="Q30" s="4"/>
      <c r="R30" s="4">
        <f t="shared" si="60"/>
        <v>7.2280079163422348</v>
      </c>
      <c r="S30" s="4">
        <f t="shared" si="61"/>
        <v>3.2195580060498132</v>
      </c>
      <c r="T30" s="4">
        <f t="shared" si="62"/>
        <v>45.536449872956076</v>
      </c>
      <c r="U30" s="299">
        <f t="shared" si="63"/>
        <v>18.863390357445855</v>
      </c>
      <c r="V30" s="4"/>
      <c r="W30" s="4">
        <f t="shared" si="64"/>
        <v>-0.25270586468799483</v>
      </c>
      <c r="X30" s="4">
        <f t="shared" si="65"/>
        <v>11.184870685941343</v>
      </c>
      <c r="Y30" s="4">
        <f t="shared" si="66"/>
        <v>-1.5920469475343675</v>
      </c>
      <c r="Z30" s="299">
        <f t="shared" si="67"/>
        <v>65.532157348930326</v>
      </c>
      <c r="AA30" s="4"/>
      <c r="AB30" s="4">
        <f t="shared" si="68"/>
        <v>4.3972007420899342</v>
      </c>
      <c r="AC30" s="4">
        <f t="shared" si="69"/>
        <v>7.045933434610399</v>
      </c>
      <c r="AD30" s="4">
        <f t="shared" si="70"/>
        <v>27.702364675166585</v>
      </c>
      <c r="AE30" s="299">
        <f t="shared" si="71"/>
        <v>41.282123993382328</v>
      </c>
      <c r="AF30" s="4"/>
      <c r="AG30" s="4">
        <f t="shared" si="72"/>
        <v>4.5778132655412787</v>
      </c>
      <c r="AH30" s="4">
        <f t="shared" si="73"/>
        <v>7.4039679139667784</v>
      </c>
      <c r="AI30" s="4">
        <f t="shared" si="74"/>
        <v>28.840223572910055</v>
      </c>
      <c r="AJ30" s="299">
        <f t="shared" si="75"/>
        <v>43.379848007931358</v>
      </c>
      <c r="AK30" s="4"/>
      <c r="AL30" s="4">
        <f t="shared" si="76"/>
        <v>1.8465426688454696</v>
      </c>
      <c r="AM30" s="4">
        <f t="shared" si="77"/>
        <v>10.702935149411841</v>
      </c>
      <c r="AN30" s="4">
        <f t="shared" si="78"/>
        <v>11.633218813726458</v>
      </c>
      <c r="AO30" s="299">
        <f t="shared" si="79"/>
        <v>62.708497040403977</v>
      </c>
      <c r="AP30" s="4"/>
      <c r="AQ30" s="4">
        <f t="shared" si="80"/>
        <v>0</v>
      </c>
      <c r="AR30" s="4">
        <f t="shared" si="81"/>
        <v>13.147664091379623</v>
      </c>
      <c r="AS30" s="4">
        <f t="shared" si="82"/>
        <v>0</v>
      </c>
      <c r="AT30" s="299">
        <f t="shared" si="83"/>
        <v>77.032163911393212</v>
      </c>
    </row>
    <row r="31" spans="1:46" x14ac:dyDescent="0.4">
      <c r="B31">
        <v>5</v>
      </c>
      <c r="C31" s="1">
        <v>7.7</v>
      </c>
      <c r="D31" s="1">
        <f t="shared" si="0"/>
        <v>7.1610000000000005</v>
      </c>
      <c r="E31" s="4">
        <v>7780</v>
      </c>
      <c r="F31" s="6">
        <f t="shared" si="52"/>
        <v>9.4993894993894989E-2</v>
      </c>
      <c r="H31" s="4">
        <f t="shared" si="53"/>
        <v>7.3597632790700604</v>
      </c>
      <c r="I31" s="4">
        <f t="shared" si="54"/>
        <v>0</v>
      </c>
      <c r="J31" s="267">
        <f t="shared" si="55"/>
        <v>56.670177248839465</v>
      </c>
      <c r="K31" s="267">
        <f t="shared" si="55"/>
        <v>0</v>
      </c>
      <c r="L31" s="4"/>
      <c r="M31" s="4">
        <f t="shared" si="56"/>
        <v>7.695321446676135</v>
      </c>
      <c r="N31" s="4">
        <f t="shared" si="57"/>
        <v>0</v>
      </c>
      <c r="O31" s="267">
        <f t="shared" si="58"/>
        <v>59.253975139406243</v>
      </c>
      <c r="P31" s="299">
        <f t="shared" si="59"/>
        <v>0</v>
      </c>
      <c r="Q31" s="4"/>
      <c r="R31" s="4">
        <f t="shared" si="60"/>
        <v>5.5688157644229141</v>
      </c>
      <c r="S31" s="4">
        <f t="shared" si="61"/>
        <v>2.4805071585529359</v>
      </c>
      <c r="T31" s="267">
        <f t="shared" si="62"/>
        <v>42.879881386056439</v>
      </c>
      <c r="U31" s="299">
        <f t="shared" si="63"/>
        <v>17.762911762397575</v>
      </c>
      <c r="V31" s="4"/>
      <c r="W31" s="4">
        <f t="shared" si="64"/>
        <v>-0.19469713084497917</v>
      </c>
      <c r="X31" s="4">
        <f t="shared" si="65"/>
        <v>8.6173790786911919</v>
      </c>
      <c r="Y31" s="267">
        <f t="shared" si="66"/>
        <v>-1.4991679075063395</v>
      </c>
      <c r="Z31" s="299">
        <f t="shared" si="67"/>
        <v>61.709051582507627</v>
      </c>
      <c r="AA31" s="4"/>
      <c r="AB31" s="4">
        <f t="shared" si="68"/>
        <v>3.3878215263873721</v>
      </c>
      <c r="AC31" s="4">
        <f t="shared" si="69"/>
        <v>5.4285365538986827</v>
      </c>
      <c r="AD31" s="267">
        <f t="shared" si="70"/>
        <v>26.086225753182767</v>
      </c>
      <c r="AE31" s="299">
        <f t="shared" si="71"/>
        <v>38.873750262468469</v>
      </c>
      <c r="AF31" s="4"/>
      <c r="AG31" s="4">
        <f t="shared" si="72"/>
        <v>3.5269743717479844</v>
      </c>
      <c r="AH31" s="4">
        <f t="shared" si="73"/>
        <v>5.7043840731492903</v>
      </c>
      <c r="AI31" s="267">
        <f t="shared" si="74"/>
        <v>27.157702662459482</v>
      </c>
      <c r="AJ31" s="299">
        <f t="shared" si="75"/>
        <v>40.849094347822067</v>
      </c>
      <c r="AK31" s="4"/>
      <c r="AL31" s="4">
        <f t="shared" si="76"/>
        <v>1.4226680494769017</v>
      </c>
      <c r="AM31" s="4">
        <f t="shared" si="77"/>
        <v>8.2460720402479826</v>
      </c>
      <c r="AN31" s="267">
        <f t="shared" si="78"/>
        <v>10.954543980972144</v>
      </c>
      <c r="AO31" s="299">
        <f t="shared" si="79"/>
        <v>59.050121880215805</v>
      </c>
      <c r="AP31" s="4"/>
      <c r="AQ31" s="4">
        <f t="shared" si="80"/>
        <v>0</v>
      </c>
      <c r="AR31" s="4">
        <f t="shared" si="81"/>
        <v>10.129612460975784</v>
      </c>
      <c r="AS31" s="267">
        <f t="shared" si="82"/>
        <v>0</v>
      </c>
      <c r="AT31" s="299">
        <f t="shared" si="83"/>
        <v>72.538154833047585</v>
      </c>
    </row>
    <row r="32" spans="1:46" s="274" customFormat="1" x14ac:dyDescent="0.4">
      <c r="C32" s="275"/>
      <c r="D32" s="275">
        <f t="shared" si="0"/>
        <v>0</v>
      </c>
      <c r="E32" s="276"/>
      <c r="F32" s="277"/>
      <c r="G32" s="276"/>
      <c r="H32" s="276">
        <f>機器台数case３!D56</f>
        <v>12</v>
      </c>
      <c r="I32" s="276">
        <f>機器台数case３!D57</f>
        <v>0</v>
      </c>
      <c r="J32" s="4">
        <f>SUM(J33:J39)</f>
        <v>33.905999999999999</v>
      </c>
      <c r="K32" s="278"/>
      <c r="L32" s="276"/>
      <c r="M32" s="276">
        <f>機器台数case３!F56</f>
        <v>15</v>
      </c>
      <c r="N32" s="276">
        <v>0</v>
      </c>
      <c r="O32" s="4">
        <f>SUM(O33:O39)</f>
        <v>42.3825</v>
      </c>
      <c r="P32" s="297">
        <f>SUM(P33:P39)</f>
        <v>0</v>
      </c>
      <c r="Q32" s="276"/>
      <c r="R32" s="276">
        <f>機器台数case３!H56</f>
        <v>15.5</v>
      </c>
      <c r="S32" s="276">
        <f>機器台数case３!H57</f>
        <v>2.5</v>
      </c>
      <c r="T32" s="4">
        <f>SUM(T33:T39)</f>
        <v>43.795250000000003</v>
      </c>
      <c r="U32" s="297">
        <f>SUM(U33:U39)</f>
        <v>6.5692874999999997</v>
      </c>
      <c r="V32" s="276"/>
      <c r="W32" s="276">
        <f>機器台数case３!J56</f>
        <v>19.500000000000004</v>
      </c>
      <c r="X32" s="276">
        <f>機器台数case３!J57</f>
        <v>1.5000000000000002</v>
      </c>
      <c r="Y32" s="4">
        <f>SUM(Y33:Y39)</f>
        <v>55.09725000000001</v>
      </c>
      <c r="Z32" s="297">
        <f>SUM(Z33:Z39)</f>
        <v>3.9415725000000008</v>
      </c>
      <c r="AA32" s="276"/>
      <c r="AB32" s="276">
        <f>機器台数case３!L56</f>
        <v>21.000000000000004</v>
      </c>
      <c r="AC32" s="276">
        <f>機器台数case３!L57</f>
        <v>3</v>
      </c>
      <c r="AD32" s="4">
        <f>SUM(AD33:AD39)</f>
        <v>59.33550000000001</v>
      </c>
      <c r="AE32" s="297">
        <f>SUM(AE33:AE39)</f>
        <v>7.8831450000000007</v>
      </c>
      <c r="AF32" s="276"/>
      <c r="AG32" s="276">
        <f>機器台数case３!N56</f>
        <v>0</v>
      </c>
      <c r="AH32" s="276">
        <f>機器台数case３!N57</f>
        <v>4.5</v>
      </c>
      <c r="AI32" s="4">
        <f>SUM(AI33:AI39)</f>
        <v>0</v>
      </c>
      <c r="AJ32" s="297">
        <f>SUM(AJ33:AJ39)</f>
        <v>11.824717500000002</v>
      </c>
      <c r="AK32" s="276"/>
      <c r="AL32" s="276">
        <f>機器台数case３!P56</f>
        <v>0</v>
      </c>
      <c r="AM32" s="276">
        <f>機器台数case３!P57</f>
        <v>6</v>
      </c>
      <c r="AN32" s="4">
        <f>SUM(AN33:AN39)</f>
        <v>0</v>
      </c>
      <c r="AO32" s="297">
        <f>SUM(AO33:AO39)</f>
        <v>15.766290000000001</v>
      </c>
      <c r="AP32" s="276"/>
      <c r="AQ32" s="276">
        <f>機器台数case３!R56</f>
        <v>0</v>
      </c>
      <c r="AR32" s="276">
        <f>機器台数case３!R57</f>
        <v>33</v>
      </c>
      <c r="AS32" s="4">
        <f>SUM(AS33:AS39)</f>
        <v>0</v>
      </c>
      <c r="AT32" s="297">
        <f>SUM(AT33:AT39)</f>
        <v>86.714595000000017</v>
      </c>
    </row>
    <row r="33" spans="1:46" x14ac:dyDescent="0.4">
      <c r="A33" t="s">
        <v>12</v>
      </c>
      <c r="B33">
        <v>1.5</v>
      </c>
      <c r="C33" s="1">
        <v>2.2999999999999998</v>
      </c>
      <c r="D33" s="1">
        <f t="shared" si="0"/>
        <v>2.1389999999999998</v>
      </c>
      <c r="E33" s="4">
        <f t="shared" ref="E33:E39" si="84">$A$35*F33</f>
        <v>3000</v>
      </c>
      <c r="F33" s="6">
        <v>0.03</v>
      </c>
      <c r="G33" s="114">
        <f>SUM(H33:H39)</f>
        <v>11.999999999999998</v>
      </c>
      <c r="H33" s="4">
        <f t="shared" ref="H33:H39" si="85">F33*H$32</f>
        <v>0.36</v>
      </c>
      <c r="I33" s="4">
        <f t="shared" ref="I33:I39" si="86">$F33*I$32</f>
        <v>0</v>
      </c>
      <c r="J33" s="267">
        <f t="shared" ref="J33:K39" si="87">C33*H33</f>
        <v>0.82799999999999996</v>
      </c>
      <c r="K33" s="267">
        <f t="shared" si="87"/>
        <v>0</v>
      </c>
      <c r="L33" s="4"/>
      <c r="M33" s="4">
        <f t="shared" ref="M33:M39" si="88">M$32*$F33</f>
        <v>0.44999999999999996</v>
      </c>
      <c r="N33" s="4">
        <f t="shared" ref="N33:N39" si="89">$F33*N$32</f>
        <v>0</v>
      </c>
      <c r="O33" s="267">
        <f t="shared" ref="O33:O39" si="90">$C33*M33</f>
        <v>1.0349999999999999</v>
      </c>
      <c r="P33" s="299">
        <f t="shared" ref="P33:P39" si="91">$D33*N33</f>
        <v>0</v>
      </c>
      <c r="Q33" s="4"/>
      <c r="R33" s="4">
        <f t="shared" ref="R33:R39" si="92">R$32*$F33</f>
        <v>0.46499999999999997</v>
      </c>
      <c r="S33" s="4">
        <f t="shared" ref="S33:S39" si="93">$F33*S$32</f>
        <v>7.4999999999999997E-2</v>
      </c>
      <c r="T33" s="267">
        <f t="shared" ref="T33:T39" si="94">$C33*R33</f>
        <v>1.0694999999999999</v>
      </c>
      <c r="U33" s="299">
        <f t="shared" ref="U33:U39" si="95">$D33*S33</f>
        <v>0.16042499999999998</v>
      </c>
      <c r="V33" s="4"/>
      <c r="W33" s="4">
        <f t="shared" ref="W33:W39" si="96">W$32*$F33</f>
        <v>0.58500000000000008</v>
      </c>
      <c r="X33" s="4">
        <f t="shared" ref="X33:X39" si="97">$F33*X$32</f>
        <v>4.5000000000000005E-2</v>
      </c>
      <c r="Y33" s="267">
        <f t="shared" ref="Y33:Y39" si="98">$C33*W33</f>
        <v>1.3455000000000001</v>
      </c>
      <c r="Z33" s="299">
        <f t="shared" ref="Z33:Z39" si="99">$D33*X33</f>
        <v>9.6255000000000007E-2</v>
      </c>
      <c r="AA33" s="4"/>
      <c r="AB33" s="4">
        <f t="shared" ref="AB33:AB39" si="100">AB$32*$F33</f>
        <v>0.63000000000000012</v>
      </c>
      <c r="AC33" s="4">
        <f t="shared" ref="AC33:AC39" si="101">$F33*AC$32</f>
        <v>0.09</v>
      </c>
      <c r="AD33" s="267">
        <f t="shared" ref="AD33:AD39" si="102">$C33*AB33</f>
        <v>1.4490000000000001</v>
      </c>
      <c r="AE33" s="299">
        <f t="shared" ref="AE33:AE39" si="103">$D33*AC33</f>
        <v>0.19250999999999999</v>
      </c>
      <c r="AF33" s="114">
        <f>SUM(AG33:AG39)</f>
        <v>0</v>
      </c>
      <c r="AG33" s="4">
        <f t="shared" ref="AG33:AG39" si="104">AG$32*$F33</f>
        <v>0</v>
      </c>
      <c r="AH33" s="4">
        <f t="shared" ref="AH33:AH39" si="105">$F33*AH$32</f>
        <v>0.13500000000000001</v>
      </c>
      <c r="AI33" s="267">
        <f t="shared" ref="AI33:AI39" si="106">$C33*AG33</f>
        <v>0</v>
      </c>
      <c r="AJ33" s="299">
        <f t="shared" ref="AJ33:AJ39" si="107">$D33*AH33</f>
        <v>0.28876499999999999</v>
      </c>
      <c r="AK33" s="114">
        <f>SUM(AL33:AL39)</f>
        <v>0</v>
      </c>
      <c r="AL33" s="4">
        <f t="shared" ref="AL33:AL39" si="108">AL$32*$F33</f>
        <v>0</v>
      </c>
      <c r="AM33" s="4">
        <f t="shared" ref="AM33:AM39" si="109">$F33*AM$32</f>
        <v>0.18</v>
      </c>
      <c r="AN33" s="267">
        <f t="shared" ref="AN33:AN39" si="110">$C33*AL33</f>
        <v>0</v>
      </c>
      <c r="AO33" s="299">
        <f t="shared" ref="AO33:AO39" si="111">$D33*AM33</f>
        <v>0.38501999999999997</v>
      </c>
      <c r="AP33" s="4"/>
      <c r="AQ33" s="4">
        <f t="shared" ref="AQ33:AQ39" si="112">AQ$32*$F33</f>
        <v>0</v>
      </c>
      <c r="AR33" s="4">
        <f t="shared" ref="AR33:AR39" si="113">$F33*AR$32</f>
        <v>0.99</v>
      </c>
      <c r="AS33" s="267">
        <f t="shared" ref="AS33:AS39" si="114">$C33*AQ33</f>
        <v>0</v>
      </c>
      <c r="AT33" s="299">
        <f t="shared" ref="AT33:AT39" si="115">$D33*AR33</f>
        <v>2.11761</v>
      </c>
    </row>
    <row r="34" spans="1:46" x14ac:dyDescent="0.4">
      <c r="A34" t="s">
        <v>13</v>
      </c>
      <c r="B34">
        <v>2</v>
      </c>
      <c r="C34" s="1">
        <v>2.2999999999999998</v>
      </c>
      <c r="D34" s="1">
        <f t="shared" si="0"/>
        <v>2.1389999999999998</v>
      </c>
      <c r="E34" s="4">
        <f t="shared" si="84"/>
        <v>15000</v>
      </c>
      <c r="F34" s="6">
        <v>0.15</v>
      </c>
      <c r="H34" s="4">
        <f t="shared" si="85"/>
        <v>1.7999999999999998</v>
      </c>
      <c r="I34" s="4">
        <f t="shared" si="86"/>
        <v>0</v>
      </c>
      <c r="J34" s="267">
        <f t="shared" si="87"/>
        <v>4.1399999999999997</v>
      </c>
      <c r="K34" s="267">
        <f t="shared" si="87"/>
        <v>0</v>
      </c>
      <c r="L34" s="4"/>
      <c r="M34" s="4">
        <f t="shared" si="88"/>
        <v>2.25</v>
      </c>
      <c r="N34" s="4">
        <f t="shared" si="89"/>
        <v>0</v>
      </c>
      <c r="O34" s="267">
        <f t="shared" si="90"/>
        <v>5.1749999999999998</v>
      </c>
      <c r="P34" s="299">
        <f t="shared" si="91"/>
        <v>0</v>
      </c>
      <c r="Q34" s="4"/>
      <c r="R34" s="4">
        <f t="shared" si="92"/>
        <v>2.3249999999999997</v>
      </c>
      <c r="S34" s="4">
        <f t="shared" si="93"/>
        <v>0.375</v>
      </c>
      <c r="T34" s="267">
        <f t="shared" si="94"/>
        <v>5.3474999999999993</v>
      </c>
      <c r="U34" s="299">
        <f t="shared" si="95"/>
        <v>0.80212499999999998</v>
      </c>
      <c r="V34" s="4"/>
      <c r="W34" s="4">
        <f t="shared" si="96"/>
        <v>2.9250000000000003</v>
      </c>
      <c r="X34" s="4">
        <f t="shared" si="97"/>
        <v>0.22500000000000003</v>
      </c>
      <c r="Y34" s="267">
        <f t="shared" si="98"/>
        <v>6.7275</v>
      </c>
      <c r="Z34" s="299">
        <f t="shared" si="99"/>
        <v>0.48127500000000001</v>
      </c>
      <c r="AA34" s="4"/>
      <c r="AB34" s="4">
        <f t="shared" si="100"/>
        <v>3.1500000000000004</v>
      </c>
      <c r="AC34" s="4">
        <f t="shared" si="101"/>
        <v>0.44999999999999996</v>
      </c>
      <c r="AD34" s="267">
        <f t="shared" si="102"/>
        <v>7.2450000000000001</v>
      </c>
      <c r="AE34" s="299">
        <f t="shared" si="103"/>
        <v>0.96254999999999979</v>
      </c>
      <c r="AF34" s="4"/>
      <c r="AG34" s="4">
        <f t="shared" si="104"/>
        <v>0</v>
      </c>
      <c r="AH34" s="4">
        <f t="shared" si="105"/>
        <v>0.67499999999999993</v>
      </c>
      <c r="AI34" s="267">
        <f t="shared" si="106"/>
        <v>0</v>
      </c>
      <c r="AJ34" s="299">
        <f t="shared" si="107"/>
        <v>1.4438249999999997</v>
      </c>
      <c r="AK34" s="4"/>
      <c r="AL34" s="4">
        <f t="shared" si="108"/>
        <v>0</v>
      </c>
      <c r="AM34" s="4">
        <f t="shared" si="109"/>
        <v>0.89999999999999991</v>
      </c>
      <c r="AN34" s="267">
        <f t="shared" si="110"/>
        <v>0</v>
      </c>
      <c r="AO34" s="299">
        <f t="shared" si="111"/>
        <v>1.9250999999999996</v>
      </c>
      <c r="AP34" s="4"/>
      <c r="AQ34" s="4">
        <f t="shared" si="112"/>
        <v>0</v>
      </c>
      <c r="AR34" s="4">
        <f t="shared" si="113"/>
        <v>4.95</v>
      </c>
      <c r="AS34" s="267">
        <f t="shared" si="114"/>
        <v>0</v>
      </c>
      <c r="AT34" s="299">
        <f t="shared" si="115"/>
        <v>10.588049999999999</v>
      </c>
    </row>
    <row r="35" spans="1:46" x14ac:dyDescent="0.4">
      <c r="A35" s="7">
        <v>100000</v>
      </c>
      <c r="B35">
        <v>2.5</v>
      </c>
      <c r="C35" s="1">
        <v>2.5</v>
      </c>
      <c r="D35" s="1">
        <f t="shared" si="0"/>
        <v>2.3250000000000002</v>
      </c>
      <c r="E35" s="4">
        <f t="shared" si="84"/>
        <v>17000</v>
      </c>
      <c r="F35" s="6">
        <v>0.17</v>
      </c>
      <c r="H35" s="4">
        <f t="shared" si="85"/>
        <v>2.04</v>
      </c>
      <c r="I35" s="4">
        <f t="shared" si="86"/>
        <v>0</v>
      </c>
      <c r="J35" s="267">
        <f t="shared" si="87"/>
        <v>5.0999999999999996</v>
      </c>
      <c r="K35" s="267">
        <f t="shared" si="87"/>
        <v>0</v>
      </c>
      <c r="L35" s="4"/>
      <c r="M35" s="4">
        <f t="shared" si="88"/>
        <v>2.5500000000000003</v>
      </c>
      <c r="N35" s="4">
        <f t="shared" si="89"/>
        <v>0</v>
      </c>
      <c r="O35" s="267">
        <f t="shared" si="90"/>
        <v>6.3750000000000009</v>
      </c>
      <c r="P35" s="299">
        <f t="shared" si="91"/>
        <v>0</v>
      </c>
      <c r="Q35" s="4"/>
      <c r="R35" s="4">
        <f t="shared" si="92"/>
        <v>2.6350000000000002</v>
      </c>
      <c r="S35" s="4">
        <f t="shared" si="93"/>
        <v>0.42500000000000004</v>
      </c>
      <c r="T35" s="267">
        <f t="shared" si="94"/>
        <v>6.5875000000000004</v>
      </c>
      <c r="U35" s="299">
        <f t="shared" si="95"/>
        <v>0.98812500000000014</v>
      </c>
      <c r="V35" s="4"/>
      <c r="W35" s="4">
        <f t="shared" si="96"/>
        <v>3.3150000000000008</v>
      </c>
      <c r="X35" s="4">
        <f t="shared" si="97"/>
        <v>0.25500000000000006</v>
      </c>
      <c r="Y35" s="267">
        <f t="shared" si="98"/>
        <v>8.2875000000000014</v>
      </c>
      <c r="Z35" s="299">
        <f t="shared" si="99"/>
        <v>0.59287500000000015</v>
      </c>
      <c r="AA35" s="4"/>
      <c r="AB35" s="4">
        <f t="shared" si="100"/>
        <v>3.5700000000000007</v>
      </c>
      <c r="AC35" s="4">
        <f t="shared" si="101"/>
        <v>0.51</v>
      </c>
      <c r="AD35" s="267">
        <f t="shared" si="102"/>
        <v>8.9250000000000025</v>
      </c>
      <c r="AE35" s="299">
        <f t="shared" si="103"/>
        <v>1.1857500000000001</v>
      </c>
      <c r="AF35" s="4"/>
      <c r="AG35" s="4">
        <f t="shared" si="104"/>
        <v>0</v>
      </c>
      <c r="AH35" s="4">
        <f t="shared" si="105"/>
        <v>0.76500000000000001</v>
      </c>
      <c r="AI35" s="267">
        <f t="shared" si="106"/>
        <v>0</v>
      </c>
      <c r="AJ35" s="299">
        <f t="shared" si="107"/>
        <v>1.7786250000000001</v>
      </c>
      <c r="AK35" s="4"/>
      <c r="AL35" s="4">
        <f t="shared" si="108"/>
        <v>0</v>
      </c>
      <c r="AM35" s="4">
        <f t="shared" si="109"/>
        <v>1.02</v>
      </c>
      <c r="AN35" s="267">
        <f t="shared" si="110"/>
        <v>0</v>
      </c>
      <c r="AO35" s="299">
        <f t="shared" si="111"/>
        <v>2.3715000000000002</v>
      </c>
      <c r="AP35" s="4"/>
      <c r="AQ35" s="4">
        <f t="shared" si="112"/>
        <v>0</v>
      </c>
      <c r="AR35" s="4">
        <f t="shared" si="113"/>
        <v>5.61</v>
      </c>
      <c r="AS35" s="267">
        <f t="shared" si="114"/>
        <v>0</v>
      </c>
      <c r="AT35" s="299">
        <f t="shared" si="115"/>
        <v>13.043250000000002</v>
      </c>
    </row>
    <row r="36" spans="1:46" x14ac:dyDescent="0.4">
      <c r="B36">
        <v>3</v>
      </c>
      <c r="C36" s="1">
        <v>2.5</v>
      </c>
      <c r="D36" s="1">
        <f t="shared" si="0"/>
        <v>2.3250000000000002</v>
      </c>
      <c r="E36" s="4">
        <f t="shared" si="84"/>
        <v>26000</v>
      </c>
      <c r="F36" s="6">
        <v>0.26</v>
      </c>
      <c r="H36" s="4">
        <f t="shared" si="85"/>
        <v>3.12</v>
      </c>
      <c r="I36" s="4">
        <f t="shared" si="86"/>
        <v>0</v>
      </c>
      <c r="J36" s="267">
        <f t="shared" si="87"/>
        <v>7.8000000000000007</v>
      </c>
      <c r="K36" s="267">
        <f t="shared" si="87"/>
        <v>0</v>
      </c>
      <c r="L36" s="4"/>
      <c r="M36" s="4">
        <f t="shared" si="88"/>
        <v>3.9000000000000004</v>
      </c>
      <c r="N36" s="4">
        <f t="shared" si="89"/>
        <v>0</v>
      </c>
      <c r="O36" s="267">
        <f t="shared" si="90"/>
        <v>9.75</v>
      </c>
      <c r="P36" s="299">
        <f t="shared" si="91"/>
        <v>0</v>
      </c>
      <c r="Q36" s="4"/>
      <c r="R36" s="4">
        <f t="shared" si="92"/>
        <v>4.03</v>
      </c>
      <c r="S36" s="4">
        <f t="shared" si="93"/>
        <v>0.65</v>
      </c>
      <c r="T36" s="267">
        <f t="shared" si="94"/>
        <v>10.075000000000001</v>
      </c>
      <c r="U36" s="299">
        <f t="shared" si="95"/>
        <v>1.5112500000000002</v>
      </c>
      <c r="V36" s="4"/>
      <c r="W36" s="4">
        <f t="shared" si="96"/>
        <v>5.0700000000000012</v>
      </c>
      <c r="X36" s="4">
        <f t="shared" si="97"/>
        <v>0.39000000000000007</v>
      </c>
      <c r="Y36" s="267">
        <f t="shared" si="98"/>
        <v>12.675000000000002</v>
      </c>
      <c r="Z36" s="299">
        <f t="shared" si="99"/>
        <v>0.90675000000000028</v>
      </c>
      <c r="AA36" s="4"/>
      <c r="AB36" s="4">
        <f t="shared" si="100"/>
        <v>5.4600000000000009</v>
      </c>
      <c r="AC36" s="4">
        <f t="shared" si="101"/>
        <v>0.78</v>
      </c>
      <c r="AD36" s="267">
        <f t="shared" si="102"/>
        <v>13.650000000000002</v>
      </c>
      <c r="AE36" s="299">
        <f t="shared" si="103"/>
        <v>1.8135000000000001</v>
      </c>
      <c r="AF36" s="4"/>
      <c r="AG36" s="4">
        <f t="shared" si="104"/>
        <v>0</v>
      </c>
      <c r="AH36" s="4">
        <f t="shared" si="105"/>
        <v>1.17</v>
      </c>
      <c r="AI36" s="267">
        <f t="shared" si="106"/>
        <v>0</v>
      </c>
      <c r="AJ36" s="299">
        <f t="shared" si="107"/>
        <v>2.7202500000000001</v>
      </c>
      <c r="AK36" s="4"/>
      <c r="AL36" s="4">
        <f t="shared" si="108"/>
        <v>0</v>
      </c>
      <c r="AM36" s="4">
        <f t="shared" si="109"/>
        <v>1.56</v>
      </c>
      <c r="AN36" s="267">
        <f t="shared" si="110"/>
        <v>0</v>
      </c>
      <c r="AO36" s="299">
        <f t="shared" si="111"/>
        <v>3.6270000000000002</v>
      </c>
      <c r="AP36" s="4"/>
      <c r="AQ36" s="4">
        <f t="shared" si="112"/>
        <v>0</v>
      </c>
      <c r="AR36" s="4">
        <f t="shared" si="113"/>
        <v>8.58</v>
      </c>
      <c r="AS36" s="267">
        <f t="shared" si="114"/>
        <v>0</v>
      </c>
      <c r="AT36" s="299">
        <f t="shared" si="115"/>
        <v>19.948500000000003</v>
      </c>
    </row>
    <row r="37" spans="1:46" x14ac:dyDescent="0.4">
      <c r="B37">
        <v>3.5</v>
      </c>
      <c r="C37" s="1">
        <v>3.35</v>
      </c>
      <c r="D37" s="1">
        <f t="shared" si="0"/>
        <v>3.1155000000000004</v>
      </c>
      <c r="E37" s="4">
        <f t="shared" si="84"/>
        <v>10000</v>
      </c>
      <c r="F37" s="6">
        <v>0.1</v>
      </c>
      <c r="H37" s="4">
        <f t="shared" si="85"/>
        <v>1.2000000000000002</v>
      </c>
      <c r="I37" s="4">
        <f t="shared" si="86"/>
        <v>0</v>
      </c>
      <c r="J37" s="267">
        <f t="shared" si="87"/>
        <v>4.0200000000000005</v>
      </c>
      <c r="K37" s="267">
        <f t="shared" si="87"/>
        <v>0</v>
      </c>
      <c r="L37" s="4"/>
      <c r="M37" s="4">
        <f t="shared" si="88"/>
        <v>1.5</v>
      </c>
      <c r="N37" s="4">
        <f t="shared" si="89"/>
        <v>0</v>
      </c>
      <c r="O37" s="267">
        <f t="shared" si="90"/>
        <v>5.0250000000000004</v>
      </c>
      <c r="P37" s="299">
        <f t="shared" si="91"/>
        <v>0</v>
      </c>
      <c r="Q37" s="4"/>
      <c r="R37" s="4">
        <f t="shared" si="92"/>
        <v>1.55</v>
      </c>
      <c r="S37" s="4">
        <f t="shared" si="93"/>
        <v>0.25</v>
      </c>
      <c r="T37" s="267">
        <f t="shared" si="94"/>
        <v>5.1924999999999999</v>
      </c>
      <c r="U37" s="299">
        <f t="shared" si="95"/>
        <v>0.7788750000000001</v>
      </c>
      <c r="V37" s="4"/>
      <c r="W37" s="4">
        <f t="shared" si="96"/>
        <v>1.9500000000000004</v>
      </c>
      <c r="X37" s="4">
        <f t="shared" si="97"/>
        <v>0.15000000000000002</v>
      </c>
      <c r="Y37" s="267">
        <f t="shared" si="98"/>
        <v>6.5325000000000015</v>
      </c>
      <c r="Z37" s="299">
        <f t="shared" si="99"/>
        <v>0.4673250000000001</v>
      </c>
      <c r="AA37" s="4"/>
      <c r="AB37" s="4">
        <f t="shared" si="100"/>
        <v>2.1000000000000005</v>
      </c>
      <c r="AC37" s="4">
        <f t="shared" si="101"/>
        <v>0.30000000000000004</v>
      </c>
      <c r="AD37" s="267">
        <f t="shared" si="102"/>
        <v>7.0350000000000019</v>
      </c>
      <c r="AE37" s="299">
        <f t="shared" si="103"/>
        <v>0.9346500000000002</v>
      </c>
      <c r="AF37" s="4"/>
      <c r="AG37" s="4">
        <f t="shared" si="104"/>
        <v>0</v>
      </c>
      <c r="AH37" s="4">
        <f t="shared" si="105"/>
        <v>0.45</v>
      </c>
      <c r="AI37" s="267">
        <f t="shared" si="106"/>
        <v>0</v>
      </c>
      <c r="AJ37" s="299">
        <f t="shared" si="107"/>
        <v>1.4019750000000002</v>
      </c>
      <c r="AK37" s="4"/>
      <c r="AL37" s="4">
        <f t="shared" si="108"/>
        <v>0</v>
      </c>
      <c r="AM37" s="4">
        <f t="shared" si="109"/>
        <v>0.60000000000000009</v>
      </c>
      <c r="AN37" s="267">
        <f t="shared" si="110"/>
        <v>0</v>
      </c>
      <c r="AO37" s="299">
        <f t="shared" si="111"/>
        <v>1.8693000000000004</v>
      </c>
      <c r="AP37" s="4"/>
      <c r="AQ37" s="4">
        <f t="shared" si="112"/>
        <v>0</v>
      </c>
      <c r="AR37" s="4">
        <f t="shared" si="113"/>
        <v>3.3000000000000003</v>
      </c>
      <c r="AS37" s="267">
        <f t="shared" si="114"/>
        <v>0</v>
      </c>
      <c r="AT37" s="299">
        <f t="shared" si="115"/>
        <v>10.281150000000002</v>
      </c>
    </row>
    <row r="38" spans="1:46" x14ac:dyDescent="0.4">
      <c r="B38">
        <v>4</v>
      </c>
      <c r="C38" s="1">
        <v>3.35</v>
      </c>
      <c r="D38" s="1">
        <f t="shared" si="0"/>
        <v>3.1155000000000004</v>
      </c>
      <c r="E38" s="4">
        <f t="shared" si="84"/>
        <v>17000</v>
      </c>
      <c r="F38" s="6">
        <v>0.17</v>
      </c>
      <c r="H38" s="4">
        <f t="shared" si="85"/>
        <v>2.04</v>
      </c>
      <c r="I38" s="4">
        <f t="shared" si="86"/>
        <v>0</v>
      </c>
      <c r="J38" s="267">
        <f t="shared" si="87"/>
        <v>6.8340000000000005</v>
      </c>
      <c r="K38" s="267">
        <f t="shared" si="87"/>
        <v>0</v>
      </c>
      <c r="L38" s="4"/>
      <c r="M38" s="4">
        <f t="shared" si="88"/>
        <v>2.5500000000000003</v>
      </c>
      <c r="N38" s="4">
        <f t="shared" si="89"/>
        <v>0</v>
      </c>
      <c r="O38" s="267">
        <f t="shared" si="90"/>
        <v>8.5425000000000004</v>
      </c>
      <c r="P38" s="299">
        <f t="shared" si="91"/>
        <v>0</v>
      </c>
      <c r="Q38" s="4"/>
      <c r="R38" s="4">
        <f t="shared" si="92"/>
        <v>2.6350000000000002</v>
      </c>
      <c r="S38" s="4">
        <f t="shared" si="93"/>
        <v>0.42500000000000004</v>
      </c>
      <c r="T38" s="267">
        <f t="shared" si="94"/>
        <v>8.8272500000000012</v>
      </c>
      <c r="U38" s="299">
        <f t="shared" si="95"/>
        <v>1.3240875000000003</v>
      </c>
      <c r="V38" s="4"/>
      <c r="W38" s="4">
        <f t="shared" si="96"/>
        <v>3.3150000000000008</v>
      </c>
      <c r="X38" s="4">
        <f t="shared" si="97"/>
        <v>0.25500000000000006</v>
      </c>
      <c r="Y38" s="267">
        <f t="shared" si="98"/>
        <v>11.105250000000003</v>
      </c>
      <c r="Z38" s="299">
        <f t="shared" si="99"/>
        <v>0.79445250000000034</v>
      </c>
      <c r="AA38" s="4"/>
      <c r="AB38" s="4">
        <f t="shared" si="100"/>
        <v>3.5700000000000007</v>
      </c>
      <c r="AC38" s="4">
        <f t="shared" si="101"/>
        <v>0.51</v>
      </c>
      <c r="AD38" s="267">
        <f t="shared" si="102"/>
        <v>11.959500000000002</v>
      </c>
      <c r="AE38" s="299">
        <f t="shared" si="103"/>
        <v>1.5889050000000002</v>
      </c>
      <c r="AF38" s="4"/>
      <c r="AG38" s="4">
        <f t="shared" si="104"/>
        <v>0</v>
      </c>
      <c r="AH38" s="4">
        <f t="shared" si="105"/>
        <v>0.76500000000000001</v>
      </c>
      <c r="AI38" s="267">
        <f t="shared" si="106"/>
        <v>0</v>
      </c>
      <c r="AJ38" s="299">
        <f t="shared" si="107"/>
        <v>2.3833575000000002</v>
      </c>
      <c r="AK38" s="4"/>
      <c r="AL38" s="4">
        <f t="shared" si="108"/>
        <v>0</v>
      </c>
      <c r="AM38" s="4">
        <f t="shared" si="109"/>
        <v>1.02</v>
      </c>
      <c r="AN38" s="267">
        <f t="shared" si="110"/>
        <v>0</v>
      </c>
      <c r="AO38" s="299">
        <f t="shared" si="111"/>
        <v>3.1778100000000005</v>
      </c>
      <c r="AP38" s="4"/>
      <c r="AQ38" s="4">
        <f t="shared" si="112"/>
        <v>0</v>
      </c>
      <c r="AR38" s="4">
        <f t="shared" si="113"/>
        <v>5.61</v>
      </c>
      <c r="AS38" s="267">
        <f t="shared" si="114"/>
        <v>0</v>
      </c>
      <c r="AT38" s="299">
        <f t="shared" si="115"/>
        <v>17.477955000000001</v>
      </c>
    </row>
    <row r="39" spans="1:46" x14ac:dyDescent="0.4">
      <c r="B39">
        <v>5</v>
      </c>
      <c r="C39" s="1">
        <v>3.6</v>
      </c>
      <c r="D39" s="1">
        <f t="shared" si="0"/>
        <v>3.3480000000000003</v>
      </c>
      <c r="E39" s="4">
        <f t="shared" si="84"/>
        <v>12000</v>
      </c>
      <c r="F39" s="6">
        <v>0.12</v>
      </c>
      <c r="H39" s="4">
        <f t="shared" si="85"/>
        <v>1.44</v>
      </c>
      <c r="I39" s="4">
        <f t="shared" si="86"/>
        <v>0</v>
      </c>
      <c r="J39" s="4">
        <f t="shared" si="87"/>
        <v>5.1840000000000002</v>
      </c>
      <c r="K39" s="267">
        <f t="shared" si="87"/>
        <v>0</v>
      </c>
      <c r="L39" s="4"/>
      <c r="M39" s="4">
        <f t="shared" si="88"/>
        <v>1.7999999999999998</v>
      </c>
      <c r="N39" s="4">
        <f t="shared" si="89"/>
        <v>0</v>
      </c>
      <c r="O39" s="267">
        <f t="shared" si="90"/>
        <v>6.4799999999999995</v>
      </c>
      <c r="P39" s="299">
        <f t="shared" si="91"/>
        <v>0</v>
      </c>
      <c r="Q39" s="4"/>
      <c r="R39" s="4">
        <f t="shared" si="92"/>
        <v>1.8599999999999999</v>
      </c>
      <c r="S39" s="4">
        <f t="shared" si="93"/>
        <v>0.3</v>
      </c>
      <c r="T39" s="267">
        <f t="shared" si="94"/>
        <v>6.6959999999999997</v>
      </c>
      <c r="U39" s="299">
        <f t="shared" si="95"/>
        <v>1.0044</v>
      </c>
      <c r="V39" s="4"/>
      <c r="W39" s="4">
        <f t="shared" si="96"/>
        <v>2.3400000000000003</v>
      </c>
      <c r="X39" s="4">
        <f t="shared" si="97"/>
        <v>0.18000000000000002</v>
      </c>
      <c r="Y39" s="267">
        <f t="shared" si="98"/>
        <v>8.4240000000000013</v>
      </c>
      <c r="Z39" s="299">
        <f t="shared" si="99"/>
        <v>0.60264000000000018</v>
      </c>
      <c r="AA39" s="4"/>
      <c r="AB39" s="4">
        <f t="shared" si="100"/>
        <v>2.5200000000000005</v>
      </c>
      <c r="AC39" s="4">
        <f t="shared" si="101"/>
        <v>0.36</v>
      </c>
      <c r="AD39" s="267">
        <f t="shared" si="102"/>
        <v>9.0720000000000027</v>
      </c>
      <c r="AE39" s="299">
        <f t="shared" si="103"/>
        <v>1.2052800000000001</v>
      </c>
      <c r="AF39" s="4"/>
      <c r="AG39" s="4">
        <f t="shared" si="104"/>
        <v>0</v>
      </c>
      <c r="AH39" s="4">
        <f t="shared" si="105"/>
        <v>0.54</v>
      </c>
      <c r="AI39" s="267">
        <f t="shared" si="106"/>
        <v>0</v>
      </c>
      <c r="AJ39" s="299">
        <f t="shared" si="107"/>
        <v>1.8079200000000002</v>
      </c>
      <c r="AK39" s="4"/>
      <c r="AL39" s="4">
        <f t="shared" si="108"/>
        <v>0</v>
      </c>
      <c r="AM39" s="4">
        <f t="shared" si="109"/>
        <v>0.72</v>
      </c>
      <c r="AN39" s="267">
        <f t="shared" si="110"/>
        <v>0</v>
      </c>
      <c r="AO39" s="299">
        <f t="shared" si="111"/>
        <v>2.4105600000000003</v>
      </c>
      <c r="AP39" s="4"/>
      <c r="AQ39" s="4">
        <f t="shared" si="112"/>
        <v>0</v>
      </c>
      <c r="AR39" s="4">
        <f t="shared" si="113"/>
        <v>3.96</v>
      </c>
      <c r="AS39" s="267">
        <f t="shared" si="114"/>
        <v>0</v>
      </c>
      <c r="AT39" s="299">
        <f t="shared" si="115"/>
        <v>13.258080000000001</v>
      </c>
    </row>
    <row r="40" spans="1:46" x14ac:dyDescent="0.4">
      <c r="D40" s="1">
        <f t="shared" si="0"/>
        <v>0</v>
      </c>
      <c r="F40" s="6"/>
      <c r="H40" s="4">
        <f>機器台数case３!D66</f>
        <v>32.260926363255301</v>
      </c>
      <c r="I40" s="4">
        <f>機器台数case３!D73</f>
        <v>0</v>
      </c>
      <c r="J40" s="4">
        <f>SUM(J41:J44)</f>
        <v>200.12605873437482</v>
      </c>
      <c r="K40" s="267"/>
      <c r="L40" s="4"/>
      <c r="M40" s="4">
        <f>機器台数case３!F66</f>
        <v>33.73181841850851</v>
      </c>
      <c r="N40" s="4">
        <v>0</v>
      </c>
      <c r="O40" s="4">
        <f>SUM(O41:O44)</f>
        <v>209.25052796154509</v>
      </c>
      <c r="P40" s="297">
        <f>SUM(P41:P44)</f>
        <v>0</v>
      </c>
      <c r="Q40" s="4"/>
      <c r="R40" s="4">
        <f>機器台数case３!H66</f>
        <v>24.410452958112419</v>
      </c>
      <c r="S40" s="4">
        <f>機器台数case３!H73</f>
        <v>10.873102265826576</v>
      </c>
      <c r="T40" s="4">
        <f>SUM(T41:T44)</f>
        <v>151.42676584736978</v>
      </c>
      <c r="U40" s="297">
        <f>SUM(U41:U44)</f>
        <v>62.728258410871533</v>
      </c>
      <c r="V40" s="4"/>
      <c r="W40" s="4">
        <f>機器台数case３!J66</f>
        <v>-0.85343910709592852</v>
      </c>
      <c r="X40" s="4">
        <f>機器台数case３!J73</f>
        <v>37.773583383111266</v>
      </c>
      <c r="Y40" s="4">
        <f>SUM(Y41:Y44)</f>
        <v>-5.2941878652134902</v>
      </c>
      <c r="Z40" s="297">
        <f>SUM(Z41:Z44)</f>
        <v>217.92042800953814</v>
      </c>
      <c r="AA40" s="4"/>
      <c r="AB40" s="4">
        <f>機器台数case３!L66</f>
        <v>14.850241325756883</v>
      </c>
      <c r="AC40" s="4">
        <f>機器台数case３!L73</f>
        <v>23.79555039814997</v>
      </c>
      <c r="AD40" s="4">
        <f>SUM(AD41:AD44)</f>
        <v>92.121355546784102</v>
      </c>
      <c r="AE40" s="297">
        <f>SUM(AE41:AE44)</f>
        <v>137.27944407323167</v>
      </c>
      <c r="AF40" s="4"/>
      <c r="AG40" s="4">
        <f>機器台数case３!N66</f>
        <v>15.460206555234128</v>
      </c>
      <c r="AH40" s="4">
        <f>機器台数case３!N73</f>
        <v>25.004705661518024</v>
      </c>
      <c r="AI40" s="4">
        <f>SUM(AI41:AI44)</f>
        <v>95.90518791308979</v>
      </c>
      <c r="AJ40" s="297">
        <f>SUM(AJ41:AJ44)</f>
        <v>144.2552088517717</v>
      </c>
      <c r="AK40" s="4"/>
      <c r="AL40" s="4">
        <f>機器台数case３!P66</f>
        <v>6.2361501916851898</v>
      </c>
      <c r="AM40" s="4">
        <f>機器台数case３!P73</f>
        <v>36.145989047374925</v>
      </c>
      <c r="AN40" s="4">
        <f>SUM(AN41:AN44)</f>
        <v>38.685068912312587</v>
      </c>
      <c r="AO40" s="297">
        <f>SUM(AO41:AO44)</f>
        <v>208.53063698356559</v>
      </c>
      <c r="AP40" s="4"/>
      <c r="AQ40" s="4">
        <f>機器台数case３!R66</f>
        <v>0</v>
      </c>
      <c r="AR40" s="4">
        <f>機器台数case３!R73</f>
        <v>44.402335958439217</v>
      </c>
      <c r="AS40" s="4">
        <f>SUM(AS41:AS44)</f>
        <v>0</v>
      </c>
      <c r="AT40" s="297">
        <f>SUM(AT41:AT44)</f>
        <v>256.16251332439481</v>
      </c>
    </row>
    <row r="41" spans="1:46" s="291" customFormat="1" x14ac:dyDescent="0.4">
      <c r="A41" s="291" t="s">
        <v>14</v>
      </c>
      <c r="B41" s="291">
        <v>2</v>
      </c>
      <c r="C41" s="292">
        <v>3.2</v>
      </c>
      <c r="D41" s="292">
        <f t="shared" si="0"/>
        <v>2.9760000000000004</v>
      </c>
      <c r="E41" s="293">
        <v>5785</v>
      </c>
      <c r="F41" s="294">
        <f>E41/$A$43</f>
        <v>0.16963317010233703</v>
      </c>
      <c r="G41" s="114">
        <f>SUM(H41:H44)</f>
        <v>32.260926363255301</v>
      </c>
      <c r="H41" s="293">
        <f>F41*H$40</f>
        <v>5.4725232094370559</v>
      </c>
      <c r="I41" s="293">
        <f>$F41*I$40</f>
        <v>0</v>
      </c>
      <c r="J41" s="295">
        <f t="shared" ref="J41:K43" si="116">C41*H41</f>
        <v>17.512074270198578</v>
      </c>
      <c r="K41" s="295">
        <f t="shared" si="116"/>
        <v>0</v>
      </c>
      <c r="L41" s="293"/>
      <c r="M41" s="293">
        <f>M$40*$F41</f>
        <v>5.7220352916479991</v>
      </c>
      <c r="N41" s="293">
        <f>$F41*N$40</f>
        <v>0</v>
      </c>
      <c r="O41" s="295">
        <f>$C41*M41</f>
        <v>18.310512933273596</v>
      </c>
      <c r="P41" s="301">
        <f>$D41*N41</f>
        <v>0</v>
      </c>
      <c r="Q41" s="293"/>
      <c r="R41" s="293">
        <f>R$40*$F41</f>
        <v>4.1408225189185801</v>
      </c>
      <c r="S41" s="293">
        <f>$F41*S$40</f>
        <v>1.8444388061990658</v>
      </c>
      <c r="T41" s="295">
        <f>$C41*R41</f>
        <v>13.250632060539457</v>
      </c>
      <c r="U41" s="301">
        <f>$D41*S41</f>
        <v>5.4890498872484201</v>
      </c>
      <c r="V41" s="293"/>
      <c r="W41" s="293">
        <f>W$40*$F41</f>
        <v>-0.14477158122599026</v>
      </c>
      <c r="X41" s="293">
        <f>$F41*X$40</f>
        <v>6.4076526954021249</v>
      </c>
      <c r="Y41" s="295">
        <f>$C41*W41</f>
        <v>-0.46326905992316886</v>
      </c>
      <c r="Z41" s="301">
        <f>$D41*X41</f>
        <v>19.069174421516728</v>
      </c>
      <c r="AA41" s="293"/>
      <c r="AB41" s="293">
        <f>AB$40*$F41</f>
        <v>2.5190935128728724</v>
      </c>
      <c r="AC41" s="293">
        <f>$F41*AC$40</f>
        <v>4.0365146483681071</v>
      </c>
      <c r="AD41" s="295">
        <f>$C41*AB41</f>
        <v>8.0610992411931921</v>
      </c>
      <c r="AE41" s="301">
        <f>$D41*AC41</f>
        <v>12.012667593543489</v>
      </c>
      <c r="AF41" s="114">
        <f>SUM(AG41:AG44)</f>
        <v>15.460206555234128</v>
      </c>
      <c r="AG41" s="293">
        <f>AG$40*$F41</f>
        <v>2.6225638484012967</v>
      </c>
      <c r="AH41" s="293">
        <f>$F41*AH$40</f>
        <v>4.241627488839157</v>
      </c>
      <c r="AI41" s="295">
        <f>$C41*AG41</f>
        <v>8.3922043148841503</v>
      </c>
      <c r="AJ41" s="301">
        <f>$D41*AH41</f>
        <v>12.623083406785334</v>
      </c>
      <c r="AK41" s="114">
        <f>SUM(AL41:AL44)</f>
        <v>6.2361501916851898</v>
      </c>
      <c r="AL41" s="293">
        <f>AL$40*$F41</f>
        <v>1.0578579262498555</v>
      </c>
      <c r="AM41" s="293">
        <f>$F41*AM$40</f>
        <v>6.1315587085905623</v>
      </c>
      <c r="AN41" s="295">
        <f>$C41*AL41</f>
        <v>3.3851453639995377</v>
      </c>
      <c r="AO41" s="301">
        <f>$D41*AM41</f>
        <v>18.247518716765516</v>
      </c>
      <c r="AP41" s="293"/>
      <c r="AQ41" s="293">
        <f>AQ$40*$F41</f>
        <v>0</v>
      </c>
      <c r="AR41" s="293">
        <f>$F41*AR$40</f>
        <v>7.5321090085790354</v>
      </c>
      <c r="AS41" s="295">
        <f>$C41*AQ41</f>
        <v>0</v>
      </c>
      <c r="AT41" s="301">
        <f>$D41*AR41</f>
        <v>22.415556409531213</v>
      </c>
    </row>
    <row r="42" spans="1:46" x14ac:dyDescent="0.4">
      <c r="A42" t="s">
        <v>15</v>
      </c>
      <c r="B42">
        <v>3</v>
      </c>
      <c r="C42" s="1">
        <v>4.7</v>
      </c>
      <c r="D42" s="1">
        <f t="shared" si="0"/>
        <v>4.3710000000000004</v>
      </c>
      <c r="E42" s="4">
        <v>12483</v>
      </c>
      <c r="F42" s="6">
        <f>E42/$A$43</f>
        <v>0.36603817845937309</v>
      </c>
      <c r="H42" s="4">
        <f>F42*H$40</f>
        <v>11.808730721417938</v>
      </c>
      <c r="I42" s="4">
        <f>$F42*I$40</f>
        <v>0</v>
      </c>
      <c r="J42" s="267">
        <f t="shared" si="116"/>
        <v>55.501034390664309</v>
      </c>
      <c r="K42" s="267">
        <f t="shared" si="116"/>
        <v>0</v>
      </c>
      <c r="L42" s="4"/>
      <c r="M42" s="4">
        <f>M$40*$F42</f>
        <v>12.347133370033186</v>
      </c>
      <c r="N42" s="4">
        <f>$F42*N$40</f>
        <v>0</v>
      </c>
      <c r="O42" s="267">
        <f>$C42*M42</f>
        <v>58.031526839155973</v>
      </c>
      <c r="P42" s="299">
        <f>$D42*N42</f>
        <v>0</v>
      </c>
      <c r="Q42" s="4"/>
      <c r="R42" s="4">
        <f>R$40*$F42</f>
        <v>8.935157736155686</v>
      </c>
      <c r="S42" s="4">
        <f>$F42*S$40</f>
        <v>3.9799705475856419</v>
      </c>
      <c r="T42" s="267">
        <f>$C42*R42</f>
        <v>41.995241359931725</v>
      </c>
      <c r="U42" s="299">
        <f>$D42*S42</f>
        <v>17.396451263496843</v>
      </c>
      <c r="V42" s="4"/>
      <c r="W42" s="4">
        <f>W$40*$F42</f>
        <v>-0.31239129618738748</v>
      </c>
      <c r="X42" s="4">
        <f>$F42*X$40</f>
        <v>13.826573655437292</v>
      </c>
      <c r="Y42" s="267">
        <f>$C42*W42</f>
        <v>-1.4682390920807211</v>
      </c>
      <c r="Z42" s="299">
        <f>$D42*X42</f>
        <v>60.435953447916411</v>
      </c>
      <c r="AA42" s="4"/>
      <c r="AB42" s="4">
        <f>AB$40*$F42</f>
        <v>5.4357552845621555</v>
      </c>
      <c r="AC42" s="4">
        <f>$F42*AC$40</f>
        <v>8.710079923177025</v>
      </c>
      <c r="AD42" s="267">
        <f>$C42*AB42</f>
        <v>25.548049837442132</v>
      </c>
      <c r="AE42" s="299">
        <f>$D42*AC42</f>
        <v>38.071759344206782</v>
      </c>
      <c r="AF42" s="4"/>
      <c r="AG42" s="4">
        <f>AG$40*$F42</f>
        <v>5.6590258460835594</v>
      </c>
      <c r="AH42" s="4">
        <f>$F42*AH$40</f>
        <v>9.1526769132548313</v>
      </c>
      <c r="AI42" s="267">
        <f>$C42*AG42</f>
        <v>26.597421476592729</v>
      </c>
      <c r="AJ42" s="299">
        <f>$D42*AH42</f>
        <v>40.006350787836872</v>
      </c>
      <c r="AK42" s="4"/>
      <c r="AL42" s="4">
        <f>AL$40*$F42</f>
        <v>2.2826690567635173</v>
      </c>
      <c r="AM42" s="4">
        <f>$F42*AM$40</f>
        <v>13.230811989513567</v>
      </c>
      <c r="AN42" s="267">
        <f>$C42*AL42</f>
        <v>10.728544566788532</v>
      </c>
      <c r="AO42" s="299">
        <f>$D42*AM42</f>
        <v>57.831879206163805</v>
      </c>
      <c r="AP42" s="4"/>
      <c r="AQ42" s="4">
        <f>AQ$40*$F42</f>
        <v>0</v>
      </c>
      <c r="AR42" s="4">
        <f>$F42*AR$40</f>
        <v>16.252950173568212</v>
      </c>
      <c r="AS42" s="267">
        <f>$C42*AQ42</f>
        <v>0</v>
      </c>
      <c r="AT42" s="299">
        <f>$D42*AR42</f>
        <v>71.041645208666665</v>
      </c>
    </row>
    <row r="43" spans="1:46" x14ac:dyDescent="0.4">
      <c r="A43" s="5">
        <f>SUM(E41:E44)</f>
        <v>34103</v>
      </c>
      <c r="B43">
        <v>4</v>
      </c>
      <c r="C43" s="1">
        <v>8.6999999999999993</v>
      </c>
      <c r="D43" s="1">
        <f t="shared" si="0"/>
        <v>8.0909999999999993</v>
      </c>
      <c r="E43" s="4">
        <v>9048</v>
      </c>
      <c r="F43" s="6">
        <f>E43/$A$43</f>
        <v>0.26531390200275634</v>
      </c>
      <c r="H43" s="4">
        <f>F43*H$40</f>
        <v>8.5592722556588559</v>
      </c>
      <c r="I43" s="4">
        <f>$F43*I$40</f>
        <v>0</v>
      </c>
      <c r="J43" s="267">
        <f t="shared" si="116"/>
        <v>74.465668624232038</v>
      </c>
      <c r="K43" s="267">
        <f t="shared" si="116"/>
        <v>0</v>
      </c>
      <c r="L43" s="4"/>
      <c r="M43" s="4">
        <f>M$40*$F43</f>
        <v>8.9495203662629379</v>
      </c>
      <c r="N43" s="4">
        <f>$F43*N$40</f>
        <v>0</v>
      </c>
      <c r="O43" s="267">
        <f>$C43*M43</f>
        <v>77.860827186487555</v>
      </c>
      <c r="P43" s="299">
        <f>$D43*N43</f>
        <v>0</v>
      </c>
      <c r="Q43" s="4"/>
      <c r="R43" s="4">
        <f>R$40*$F43</f>
        <v>6.4764325239715319</v>
      </c>
      <c r="S43" s="4">
        <f>$F43*S$40</f>
        <v>2.8847851890214602</v>
      </c>
      <c r="T43" s="267">
        <f>$C43*R43</f>
        <v>56.344962958552323</v>
      </c>
      <c r="U43" s="299">
        <f>$D43*S43</f>
        <v>23.340796964372633</v>
      </c>
      <c r="V43" s="4"/>
      <c r="W43" s="4">
        <f>W$40*$F43</f>
        <v>-0.22642925962536906</v>
      </c>
      <c r="X43" s="4">
        <f>$F43*X$40</f>
        <v>10.021856799999728</v>
      </c>
      <c r="Y43" s="267">
        <f>$C43*W43</f>
        <v>-1.9699345587407107</v>
      </c>
      <c r="Z43" s="299">
        <f>$D43*X43</f>
        <v>81.086843368797801</v>
      </c>
      <c r="AA43" s="4"/>
      <c r="AB43" s="4">
        <f>AB$40*$F43</f>
        <v>3.9399754718191442</v>
      </c>
      <c r="AC43" s="4">
        <f>$F43*AC$40</f>
        <v>6.3132903264364106</v>
      </c>
      <c r="AD43" s="267">
        <f>$C43*AB43</f>
        <v>34.277786604826552</v>
      </c>
      <c r="AE43" s="299">
        <f>$D43*AC43</f>
        <v>51.080832031196991</v>
      </c>
      <c r="AF43" s="4"/>
      <c r="AG43" s="4">
        <f>AG$40*$F43</f>
        <v>4.1018077269377589</v>
      </c>
      <c r="AH43" s="4">
        <f>$F43*AH$40</f>
        <v>6.6340960274877601</v>
      </c>
      <c r="AI43" s="267">
        <f>$C43*AG43</f>
        <v>35.685727224358502</v>
      </c>
      <c r="AJ43" s="299">
        <f>$D43*AH43</f>
        <v>53.676470958403463</v>
      </c>
      <c r="AK43" s="4"/>
      <c r="AL43" s="4">
        <f>AL$40*$F43</f>
        <v>1.6545373408312347</v>
      </c>
      <c r="AM43" s="4">
        <f>$F43*AM$40</f>
        <v>9.5900333959079358</v>
      </c>
      <c r="AN43" s="267">
        <f>$C43*AL43</f>
        <v>14.394474865231741</v>
      </c>
      <c r="AO43" s="299">
        <f>$D43*AM43</f>
        <v>77.592960206291096</v>
      </c>
      <c r="AP43" s="4"/>
      <c r="AQ43" s="4">
        <f>AQ$40*$F43</f>
        <v>0</v>
      </c>
      <c r="AR43" s="4">
        <f>$F43*AR$40</f>
        <v>11.780557011170806</v>
      </c>
      <c r="AS43" s="267">
        <f>$C43*AQ43</f>
        <v>0</v>
      </c>
      <c r="AT43" s="299">
        <f>$D43*AR43</f>
        <v>95.316486777382991</v>
      </c>
    </row>
    <row r="44" spans="1:46" x14ac:dyDescent="0.4">
      <c r="A44" s="6">
        <f>A43/$E$51</f>
        <v>5.3339944193495914E-2</v>
      </c>
      <c r="B44">
        <v>5</v>
      </c>
      <c r="C44" s="1">
        <v>8.1999999999999993</v>
      </c>
      <c r="D44" s="1">
        <f t="shared" si="0"/>
        <v>7.6259999999999994</v>
      </c>
      <c r="E44" s="4">
        <v>6787</v>
      </c>
      <c r="F44" s="6">
        <f>E44/$A$43</f>
        <v>0.19901474943553354</v>
      </c>
      <c r="H44" s="4">
        <f>F44*H$40</f>
        <v>6.4204001767414525</v>
      </c>
      <c r="I44" s="4">
        <f>$F44*I$40</f>
        <v>0</v>
      </c>
      <c r="J44" s="267">
        <f>$C44*H44</f>
        <v>52.647281449279909</v>
      </c>
      <c r="K44" s="267">
        <f>D44*I44</f>
        <v>0</v>
      </c>
      <c r="L44" s="4"/>
      <c r="M44" s="4">
        <f>M$40*$F44</f>
        <v>6.7131293905643865</v>
      </c>
      <c r="N44" s="4">
        <f>$F44*N$40</f>
        <v>0</v>
      </c>
      <c r="O44" s="267">
        <f>$C44*M44</f>
        <v>55.047661002627962</v>
      </c>
      <c r="P44" s="299">
        <f>$D44*N44</f>
        <v>0</v>
      </c>
      <c r="Q44" s="4"/>
      <c r="R44" s="4">
        <f>R$40*$F44</f>
        <v>4.8580401790666219</v>
      </c>
      <c r="S44" s="4">
        <f>$F44*S$40</f>
        <v>2.163907723020408</v>
      </c>
      <c r="T44" s="267">
        <f>$C44*R44</f>
        <v>39.835929468346293</v>
      </c>
      <c r="U44" s="299">
        <f>$D44*S44</f>
        <v>16.50196029575363</v>
      </c>
      <c r="V44" s="4"/>
      <c r="W44" s="4">
        <f>W$40*$F44</f>
        <v>-0.16984697005718169</v>
      </c>
      <c r="X44" s="4">
        <f>$F44*X$40</f>
        <v>7.5175002322721216</v>
      </c>
      <c r="Y44" s="267">
        <f>$C44*W44</f>
        <v>-1.3927451544688898</v>
      </c>
      <c r="Z44" s="299">
        <f>$D44*X44</f>
        <v>57.328456771307195</v>
      </c>
      <c r="AA44" s="4"/>
      <c r="AB44" s="4">
        <f>AB$40*$F44</f>
        <v>2.9554170565027116</v>
      </c>
      <c r="AC44" s="4">
        <f>$F44*AC$40</f>
        <v>4.7356655001684267</v>
      </c>
      <c r="AD44" s="267">
        <f>$C44*AB44</f>
        <v>24.234419863322234</v>
      </c>
      <c r="AE44" s="299">
        <f>$D44*AC44</f>
        <v>36.114185104284417</v>
      </c>
      <c r="AF44" s="4"/>
      <c r="AG44" s="4">
        <f>AG$40*$F44</f>
        <v>3.0768091338115133</v>
      </c>
      <c r="AH44" s="4">
        <f>$F44*AH$40</f>
        <v>4.9763052319362764</v>
      </c>
      <c r="AI44" s="267">
        <f>$C44*AG44</f>
        <v>25.229834897254406</v>
      </c>
      <c r="AJ44" s="299">
        <f>$D44*AH44</f>
        <v>37.949303698746043</v>
      </c>
      <c r="AK44" s="4"/>
      <c r="AL44" s="4">
        <f>AL$40*$F44</f>
        <v>1.2410858678405825</v>
      </c>
      <c r="AM44" s="4">
        <f>$F44*AM$40</f>
        <v>7.1935849533628602</v>
      </c>
      <c r="AN44" s="267">
        <f>$C44*AL44</f>
        <v>10.176904116292775</v>
      </c>
      <c r="AO44" s="299">
        <f>$D44*AM44</f>
        <v>54.858278854345166</v>
      </c>
      <c r="AP44" s="4"/>
      <c r="AQ44" s="4">
        <f>AQ$40*$F44</f>
        <v>0</v>
      </c>
      <c r="AR44" s="4">
        <f>$F44*AR$40</f>
        <v>8.8367197651211615</v>
      </c>
      <c r="AS44" s="267">
        <f>$C44*AQ44</f>
        <v>0</v>
      </c>
      <c r="AT44" s="299">
        <f>$D44*AR44</f>
        <v>67.388824928813975</v>
      </c>
    </row>
    <row r="45" spans="1:46" x14ac:dyDescent="0.4">
      <c r="A45" s="6"/>
      <c r="D45" s="1">
        <f t="shared" si="0"/>
        <v>0</v>
      </c>
      <c r="F45" s="6"/>
      <c r="H45" s="4">
        <f>機器台数case３!D67</f>
        <v>7.9358681424317137</v>
      </c>
      <c r="I45" s="4">
        <f>機器台数case３!D74</f>
        <v>0</v>
      </c>
      <c r="J45" s="4">
        <f>SUM(J46:J49)</f>
        <v>55.614741787340947</v>
      </c>
      <c r="K45" s="267"/>
      <c r="L45" s="4"/>
      <c r="M45" s="4">
        <f>機器台数case３!F67</f>
        <v>8.2976930097899864</v>
      </c>
      <c r="N45" s="4">
        <v>0</v>
      </c>
      <c r="O45" s="4">
        <f>SUM(O46:O49)</f>
        <v>58.150418566391252</v>
      </c>
      <c r="P45" s="297">
        <f>SUM(P46:P49)</f>
        <v>0</v>
      </c>
      <c r="Q45" s="4"/>
      <c r="R45" s="4">
        <f>機器台数case３!H67</f>
        <v>6.0047294919979208</v>
      </c>
      <c r="S45" s="4">
        <f>機器台数case３!H74</f>
        <v>2.6746753924293802</v>
      </c>
      <c r="T45" s="4">
        <f>SUM(T46:T49)</f>
        <v>42.081278847705974</v>
      </c>
      <c r="U45" s="297">
        <f>SUM(U46:U49)</f>
        <v>17.432092134091448</v>
      </c>
      <c r="V45" s="4"/>
      <c r="W45" s="4">
        <f>機器台数case３!J67</f>
        <v>-0.20993756178130207</v>
      </c>
      <c r="X45" s="4">
        <f>機器台数case３!J74</f>
        <v>9.2919271325373263</v>
      </c>
      <c r="Y45" s="4">
        <f>SUM(Y46:Y49)</f>
        <v>-1.471247137726938</v>
      </c>
      <c r="Z45" s="297">
        <f>SUM(Z46:Z49)</f>
        <v>60.559771229110567</v>
      </c>
      <c r="AA45" s="4"/>
      <c r="AB45" s="4">
        <f>機器台数case３!L67</f>
        <v>3.6530121831444302</v>
      </c>
      <c r="AC45" s="4">
        <f>機器台数case３!L74</f>
        <v>5.8534695566395953</v>
      </c>
      <c r="AD45" s="4">
        <f>SUM(AD46:AD49)</f>
        <v>25.60039124457218</v>
      </c>
      <c r="AE45" s="297">
        <f>SUM(AE46:AE49)</f>
        <v>38.149758622769014</v>
      </c>
      <c r="AF45" s="114"/>
      <c r="AG45" s="4">
        <f>機器台数case３!N67</f>
        <v>3.8030575841380263</v>
      </c>
      <c r="AH45" s="4">
        <f>機器台数case３!N74</f>
        <v>6.1509097673071196</v>
      </c>
      <c r="AI45" s="4">
        <f>SUM(AI46:AI49)</f>
        <v>26.651912777297632</v>
      </c>
      <c r="AJ45" s="297">
        <f>SUM(AJ46:AJ49)</f>
        <v>40.088313548505383</v>
      </c>
      <c r="AK45" s="114"/>
      <c r="AL45" s="4">
        <f>機器台数case３!P67</f>
        <v>1.5340311397251578</v>
      </c>
      <c r="AM45" s="4">
        <f>機器台数case３!P74</f>
        <v>8.8915550572802466</v>
      </c>
      <c r="AN45" s="4">
        <f>SUM(AN46:AN49)</f>
        <v>10.750524605290732</v>
      </c>
      <c r="AO45" s="297">
        <f>SUM(AO46:AO49)</f>
        <v>57.950361906561135</v>
      </c>
      <c r="AP45" s="4"/>
      <c r="AQ45" s="4">
        <f>機器台数case３!R67</f>
        <v>0</v>
      </c>
      <c r="AR45" s="4">
        <f>機器台数case３!R74</f>
        <v>10.922534567496895</v>
      </c>
      <c r="AS45" s="4">
        <f>SUM(AS46:AS49)</f>
        <v>0</v>
      </c>
      <c r="AT45" s="297">
        <f>SUM(AT46:AT49)</f>
        <v>71.187191334445927</v>
      </c>
    </row>
    <row r="46" spans="1:46" x14ac:dyDescent="0.4">
      <c r="A46" t="s">
        <v>16</v>
      </c>
      <c r="B46">
        <v>2</v>
      </c>
      <c r="C46" s="1">
        <v>4.7</v>
      </c>
      <c r="D46" s="1">
        <f t="shared" si="0"/>
        <v>4.3710000000000004</v>
      </c>
      <c r="E46" s="4">
        <v>1935</v>
      </c>
      <c r="F46" s="6">
        <f>E46/$A$47</f>
        <v>0.2306591965669329</v>
      </c>
      <c r="G46" s="114">
        <f>SUM(H46:H49)</f>
        <v>7.9358681424317137</v>
      </c>
      <c r="H46" s="4">
        <f>F46*H$45</f>
        <v>1.8304809697944173</v>
      </c>
      <c r="I46" s="4">
        <f>$F46*I$45</f>
        <v>0</v>
      </c>
      <c r="J46" s="267">
        <f t="shared" ref="J46:K49" si="117">C46*H46</f>
        <v>8.603260558033762</v>
      </c>
      <c r="K46" s="267">
        <f t="shared" si="117"/>
        <v>0</v>
      </c>
      <c r="L46" s="4"/>
      <c r="M46" s="4">
        <f>M$45*$F46</f>
        <v>1.9139392029972135</v>
      </c>
      <c r="N46" s="4">
        <f>$F46*N$45</f>
        <v>0</v>
      </c>
      <c r="O46" s="267">
        <f>$C46*M46</f>
        <v>8.9955142540869044</v>
      </c>
      <c r="P46" s="299">
        <f>$D46*N46</f>
        <v>0</v>
      </c>
      <c r="Q46" s="4"/>
      <c r="R46" s="4">
        <f>R$45*$F46</f>
        <v>1.3850460802260076</v>
      </c>
      <c r="S46" s="4">
        <f>$F46*S$45</f>
        <v>0.61693847709510685</v>
      </c>
      <c r="T46" s="267">
        <f>$C46*R46</f>
        <v>6.5097165770622363</v>
      </c>
      <c r="U46" s="299">
        <f>$D46*S46</f>
        <v>2.6966380833827124</v>
      </c>
      <c r="V46" s="4"/>
      <c r="W46" s="4">
        <f>W$45*$F46</f>
        <v>-4.8424029329695972E-2</v>
      </c>
      <c r="X46" s="4">
        <f>$F46*X$45</f>
        <v>2.1432684469495444</v>
      </c>
      <c r="Y46" s="267">
        <f>$C46*W46</f>
        <v>-0.22759293784957108</v>
      </c>
      <c r="Z46" s="299">
        <f>$D46*X46</f>
        <v>9.3682263816164593</v>
      </c>
      <c r="AA46" s="4"/>
      <c r="AB46" s="4">
        <f>AB$45*$F46</f>
        <v>0.84260085521331185</v>
      </c>
      <c r="AC46" s="4">
        <f>$F46*AC$45</f>
        <v>1.35015658506349</v>
      </c>
      <c r="AD46" s="267">
        <f>$C46*AB46</f>
        <v>3.960224019502566</v>
      </c>
      <c r="AE46" s="299">
        <f>$D46*AC46</f>
        <v>5.9015344333125155</v>
      </c>
      <c r="AF46" s="114">
        <f>SUM(AG46:AG49)</f>
        <v>3.8030575841380259</v>
      </c>
      <c r="AG46" s="4">
        <f>AG$45*$F46</f>
        <v>0.87721020685505802</v>
      </c>
      <c r="AH46" s="4">
        <f>$F46*AH$45</f>
        <v>1.4187639050827603</v>
      </c>
      <c r="AI46" s="267">
        <f>$C46*AG46</f>
        <v>4.1228879722187726</v>
      </c>
      <c r="AJ46" s="299">
        <f>$D46*AH46</f>
        <v>6.2014170291167456</v>
      </c>
      <c r="AK46" s="114">
        <f>SUM(AL46:AL49)</f>
        <v>1.5340311397251578</v>
      </c>
      <c r="AL46" s="4">
        <f>AL$45*$F46</f>
        <v>0.35383839019766128</v>
      </c>
      <c r="AM46" s="4">
        <f>$F46*AM$45</f>
        <v>2.0509189457429109</v>
      </c>
      <c r="AN46" s="267">
        <f>$C46*AL46</f>
        <v>1.6630404339290081</v>
      </c>
      <c r="AO46" s="299">
        <f>$D46*AM46</f>
        <v>8.9645667118422647</v>
      </c>
      <c r="AP46" s="4"/>
      <c r="AQ46" s="4">
        <f>AQ$45*$F46</f>
        <v>0</v>
      </c>
      <c r="AR46" s="4">
        <f>$F46*AR$45</f>
        <v>2.5193830478133856</v>
      </c>
      <c r="AS46" s="267">
        <f>$C46*AQ46</f>
        <v>0</v>
      </c>
      <c r="AT46" s="299">
        <f>$D46*AR46</f>
        <v>11.012223301992309</v>
      </c>
    </row>
    <row r="47" spans="1:46" x14ac:dyDescent="0.4">
      <c r="A47" s="5">
        <f>SUM(E46:E49)</f>
        <v>8389</v>
      </c>
      <c r="B47">
        <v>3</v>
      </c>
      <c r="C47" s="1">
        <v>7.7</v>
      </c>
      <c r="D47" s="1">
        <f t="shared" si="0"/>
        <v>7.1610000000000005</v>
      </c>
      <c r="E47" s="4">
        <v>2780</v>
      </c>
      <c r="F47" s="6">
        <f>E47/$A$47</f>
        <v>0.33138633925378475</v>
      </c>
      <c r="H47" s="4">
        <f>F47*H$45</f>
        <v>2.6298382925211783</v>
      </c>
      <c r="I47" s="4">
        <f>$F47*I$45</f>
        <v>0</v>
      </c>
      <c r="J47" s="267">
        <f t="shared" si="117"/>
        <v>20.249754852413073</v>
      </c>
      <c r="K47" s="267">
        <f t="shared" si="117"/>
        <v>0</v>
      </c>
      <c r="L47" s="4"/>
      <c r="M47" s="4">
        <f>M$45*$F47</f>
        <v>2.7497421107660225</v>
      </c>
      <c r="N47" s="4">
        <f>$F47*N$45</f>
        <v>0</v>
      </c>
      <c r="O47" s="267">
        <f>$C47*M47</f>
        <v>21.173014252898373</v>
      </c>
      <c r="P47" s="299">
        <f>$D47*N47</f>
        <v>0</v>
      </c>
      <c r="Q47" s="4"/>
      <c r="R47" s="4">
        <f>R$45*$F47</f>
        <v>1.9898853245624295</v>
      </c>
      <c r="S47" s="4">
        <f>$F47*S$45</f>
        <v>0.88635088698935249</v>
      </c>
      <c r="T47" s="267">
        <f>$C47*R47</f>
        <v>15.322116999130708</v>
      </c>
      <c r="U47" s="299">
        <f>$D47*S47</f>
        <v>6.3471587017307538</v>
      </c>
      <c r="V47" s="4"/>
      <c r="W47" s="4">
        <f>W$45*$F47</f>
        <v>-6.9570440070570963E-2</v>
      </c>
      <c r="X47" s="4">
        <f>$F47*X$45</f>
        <v>3.0792177170644619</v>
      </c>
      <c r="Y47" s="267">
        <f>$C47*W47</f>
        <v>-0.5356923885433964</v>
      </c>
      <c r="Z47" s="299">
        <f>$D47*X47</f>
        <v>22.050278071898614</v>
      </c>
      <c r="AA47" s="4"/>
      <c r="AB47" s="4">
        <f>AB$45*$F47</f>
        <v>1.210558334621709</v>
      </c>
      <c r="AC47" s="4">
        <f>$F47*AC$45</f>
        <v>1.9397598483082699</v>
      </c>
      <c r="AD47" s="267">
        <f>$C47*AB47</f>
        <v>9.3212991765871589</v>
      </c>
      <c r="AE47" s="299">
        <f>$D47*AC47</f>
        <v>13.890620273735522</v>
      </c>
      <c r="AF47" s="4"/>
      <c r="AG47" s="4">
        <f>AG$45*$F47</f>
        <v>1.260281330778843</v>
      </c>
      <c r="AH47" s="4">
        <f>$F47*AH$45</f>
        <v>2.0383274708682553</v>
      </c>
      <c r="AI47" s="267">
        <f>$C47*AG47</f>
        <v>9.704166246997092</v>
      </c>
      <c r="AJ47" s="299">
        <f>$D47*AH47</f>
        <v>14.596463018887578</v>
      </c>
      <c r="AK47" s="4"/>
      <c r="AL47" s="4">
        <f>AL$45*$F47</f>
        <v>0.50835696369483119</v>
      </c>
      <c r="AM47" s="4">
        <f>$F47*AM$45</f>
        <v>2.9465398807055774</v>
      </c>
      <c r="AN47" s="267">
        <f>$C47*AL47</f>
        <v>3.9143486204502</v>
      </c>
      <c r="AO47" s="299">
        <f>$D47*AM47</f>
        <v>21.100172085732641</v>
      </c>
      <c r="AP47" s="4"/>
      <c r="AQ47" s="4">
        <f>AQ$45*$F47</f>
        <v>0</v>
      </c>
      <c r="AR47" s="4">
        <f>$F47*AR$45</f>
        <v>3.6195787456957169</v>
      </c>
      <c r="AS47" s="267">
        <f>$C47*AQ47</f>
        <v>0</v>
      </c>
      <c r="AT47" s="299">
        <f>$D47*AR47</f>
        <v>25.91980339792703</v>
      </c>
    </row>
    <row r="48" spans="1:46" x14ac:dyDescent="0.4">
      <c r="A48" s="6">
        <f>A47/$E$51</f>
        <v>1.3121097611331473E-2</v>
      </c>
      <c r="B48">
        <v>4</v>
      </c>
      <c r="C48" s="1">
        <v>7.7</v>
      </c>
      <c r="D48" s="1">
        <f t="shared" si="0"/>
        <v>7.1610000000000005</v>
      </c>
      <c r="E48" s="4">
        <v>2111</v>
      </c>
      <c r="F48" s="6">
        <f>E48/$A$47</f>
        <v>0.25163905113839552</v>
      </c>
      <c r="H48" s="4">
        <f>F48*H$45</f>
        <v>1.9969743293209379</v>
      </c>
      <c r="I48" s="4">
        <f>$F48*I$45</f>
        <v>0</v>
      </c>
      <c r="J48" s="267">
        <f t="shared" si="117"/>
        <v>15.376702335771222</v>
      </c>
      <c r="K48" s="267">
        <f t="shared" si="117"/>
        <v>0</v>
      </c>
      <c r="L48" s="4"/>
      <c r="M48" s="4">
        <f>M$45*$F48</f>
        <v>2.0880235956212494</v>
      </c>
      <c r="N48" s="4">
        <f>$F48*N$45</f>
        <v>0</v>
      </c>
      <c r="O48" s="267">
        <f>$C48*M48</f>
        <v>16.077781686283622</v>
      </c>
      <c r="P48" s="299">
        <f>$D48*N48</f>
        <v>0</v>
      </c>
      <c r="Q48" s="4"/>
      <c r="R48" s="4">
        <f>R$45*$F48</f>
        <v>1.5110244317090966</v>
      </c>
      <c r="S48" s="4">
        <f>$F48*S$45</f>
        <v>0.67305277785414497</v>
      </c>
      <c r="T48" s="267">
        <f>$C48*R48</f>
        <v>11.634888124160044</v>
      </c>
      <c r="U48" s="299">
        <f>$D48*S48</f>
        <v>4.8197309422135328</v>
      </c>
      <c r="V48" s="4"/>
      <c r="W48" s="4">
        <f>W$45*$F48</f>
        <v>-5.282848884495514E-2</v>
      </c>
      <c r="X48" s="4">
        <f>$F48*X$45</f>
        <v>2.338211726878805</v>
      </c>
      <c r="Y48" s="267">
        <f>$C48*W48</f>
        <v>-0.40677936410615462</v>
      </c>
      <c r="Z48" s="299">
        <f>$D48*X48</f>
        <v>16.743934176179124</v>
      </c>
      <c r="AA48" s="4"/>
      <c r="AB48" s="4">
        <f>AB$45*$F48</f>
        <v>0.91924051956346309</v>
      </c>
      <c r="AC48" s="4">
        <f>$F48*AC$45</f>
        <v>1.4729615251002726</v>
      </c>
      <c r="AD48" s="267">
        <f>$C48*AB48</f>
        <v>7.0781520006386662</v>
      </c>
      <c r="AE48" s="299">
        <f>$D48*AC48</f>
        <v>10.547877481243052</v>
      </c>
      <c r="AF48" s="4"/>
      <c r="AG48" s="4">
        <f>AG$45*$F48</f>
        <v>0.95699780189717176</v>
      </c>
      <c r="AH48" s="4">
        <f>$F48*AH$45</f>
        <v>1.5478090974830527</v>
      </c>
      <c r="AI48" s="267">
        <f>$C48*AG48</f>
        <v>7.368883074608223</v>
      </c>
      <c r="AJ48" s="299">
        <f>$D48*AH48</f>
        <v>11.083860947076142</v>
      </c>
      <c r="AK48" s="4"/>
      <c r="AL48" s="4">
        <f>AL$45*$F48</f>
        <v>0.38602214041719013</v>
      </c>
      <c r="AM48" s="4">
        <f>$F48*AM$45</f>
        <v>2.2374624777588035</v>
      </c>
      <c r="AN48" s="267">
        <f>$C48*AL48</f>
        <v>2.9723704812123639</v>
      </c>
      <c r="AO48" s="299">
        <f>$D48*AM48</f>
        <v>16.022468803230794</v>
      </c>
      <c r="AP48" s="4"/>
      <c r="AQ48" s="4">
        <f>AQ$45*$F48</f>
        <v>0</v>
      </c>
      <c r="AR48" s="4">
        <f>$F48*AR$45</f>
        <v>2.7485362345912439</v>
      </c>
      <c r="AS48" s="267">
        <f>$C48*AQ48</f>
        <v>0</v>
      </c>
      <c r="AT48" s="299">
        <f>$D48*AR48</f>
        <v>19.682267975907898</v>
      </c>
    </row>
    <row r="49" spans="1:46" x14ac:dyDescent="0.4">
      <c r="B49">
        <v>5</v>
      </c>
      <c r="C49" s="1">
        <v>7.7</v>
      </c>
      <c r="D49" s="1">
        <f t="shared" si="0"/>
        <v>7.1610000000000005</v>
      </c>
      <c r="E49" s="4">
        <v>1563</v>
      </c>
      <c r="F49" s="6">
        <f>E49/$A$47</f>
        <v>0.18631541304088686</v>
      </c>
      <c r="H49" s="4">
        <f>F49*H$45</f>
        <v>1.4785745507951804</v>
      </c>
      <c r="I49" s="4">
        <f>$F49*I$45</f>
        <v>0</v>
      </c>
      <c r="J49" s="267">
        <f t="shared" si="117"/>
        <v>11.38502404112289</v>
      </c>
      <c r="K49" s="267">
        <f t="shared" si="117"/>
        <v>0</v>
      </c>
      <c r="L49" s="4"/>
      <c r="M49" s="4">
        <f>M$45*$F49</f>
        <v>1.5459881004055009</v>
      </c>
      <c r="N49" s="4">
        <f>$F49*N$45</f>
        <v>0</v>
      </c>
      <c r="O49" s="267">
        <f>$C49*M49</f>
        <v>11.904108373122357</v>
      </c>
      <c r="P49" s="299">
        <f>$D49*N49</f>
        <v>0</v>
      </c>
      <c r="Q49" s="4"/>
      <c r="R49" s="4">
        <f>R$45*$F49</f>
        <v>1.1187736555003873</v>
      </c>
      <c r="S49" s="4">
        <f>$F49*S$45</f>
        <v>0.49833325049077615</v>
      </c>
      <c r="T49" s="267">
        <f>$C49*R49</f>
        <v>8.6145571473529827</v>
      </c>
      <c r="U49" s="299">
        <f>$D49*S49</f>
        <v>3.5685644067644482</v>
      </c>
      <c r="V49" s="4"/>
      <c r="W49" s="4">
        <f>W$45*$F49</f>
        <v>-3.9114603536079998E-2</v>
      </c>
      <c r="X49" s="4">
        <f>$F49*X$45</f>
        <v>1.7312292416445154</v>
      </c>
      <c r="Y49" s="267">
        <f>$C49*W49</f>
        <v>-0.30118244722781601</v>
      </c>
      <c r="Z49" s="299">
        <f>$D49*X49</f>
        <v>12.397332599416377</v>
      </c>
      <c r="AA49" s="4"/>
      <c r="AB49" s="4">
        <f>AB$45*$F49</f>
        <v>0.68061247374594636</v>
      </c>
      <c r="AC49" s="4">
        <f>$F49*AC$45</f>
        <v>1.0905915981675631</v>
      </c>
      <c r="AD49" s="267">
        <f>$C49*AB49</f>
        <v>5.2407160478437866</v>
      </c>
      <c r="AE49" s="299">
        <f>$D49*AC49</f>
        <v>7.8097264344779198</v>
      </c>
      <c r="AF49" s="4"/>
      <c r="AG49" s="4">
        <f>AG$45*$F49</f>
        <v>0.70856824460695367</v>
      </c>
      <c r="AH49" s="4">
        <f>$F49*AH$45</f>
        <v>1.1460092938730513</v>
      </c>
      <c r="AI49" s="267">
        <f>$C49*AG49</f>
        <v>5.4559754834735434</v>
      </c>
      <c r="AJ49" s="299">
        <f>$D49*AH49</f>
        <v>8.2065725534249214</v>
      </c>
      <c r="AK49" s="4"/>
      <c r="AL49" s="4">
        <f>AL$45*$F49</f>
        <v>0.28581364541547521</v>
      </c>
      <c r="AM49" s="4">
        <f>$F49*AM$45</f>
        <v>1.6566337530729556</v>
      </c>
      <c r="AN49" s="267">
        <f>$C49*AL49</f>
        <v>2.2007650696991594</v>
      </c>
      <c r="AO49" s="299">
        <f>$D49*AM49</f>
        <v>11.863154305755435</v>
      </c>
      <c r="AP49" s="4"/>
      <c r="AQ49" s="4">
        <f>AQ$45*$F49</f>
        <v>0</v>
      </c>
      <c r="AR49" s="4">
        <f>$F49*AR$45</f>
        <v>2.0350365393965486</v>
      </c>
      <c r="AS49" s="267">
        <f>$C49*AQ49</f>
        <v>0</v>
      </c>
      <c r="AT49" s="299">
        <f>$D49*AR49</f>
        <v>14.572896658618685</v>
      </c>
    </row>
    <row r="50" spans="1:46" s="283" customFormat="1" x14ac:dyDescent="0.4">
      <c r="A50" s="283" t="s">
        <v>20</v>
      </c>
      <c r="C50" s="284"/>
      <c r="D50" s="284">
        <f>C50*0.85</f>
        <v>0</v>
      </c>
      <c r="E50" s="285">
        <f>SUM(E4:E49)</f>
        <v>739352</v>
      </c>
      <c r="F50" s="286">
        <f>E50/$E$50</f>
        <v>1</v>
      </c>
      <c r="G50" s="285"/>
      <c r="H50" s="285">
        <f>SUM(H3,H11,H19,H24,H32,H40,H45)</f>
        <v>616.81740000000002</v>
      </c>
      <c r="I50" s="285">
        <f>SUM(I3,I11,I19,I24,I32,I40,I45)</f>
        <v>0</v>
      </c>
      <c r="J50" s="285">
        <f>SUM(J3,J11,J19,J24,J32,J40,J45)</f>
        <v>2443.2797455416426</v>
      </c>
      <c r="K50" s="285">
        <f>SUM(K3,K11,K19,K24,K32,K40,K45)</f>
        <v>0</v>
      </c>
      <c r="L50" s="285"/>
      <c r="M50" s="285">
        <f>SUM(M3,M11,M19,M24,M32,M40,M45)</f>
        <v>647.39320791456043</v>
      </c>
      <c r="N50" s="285">
        <f>SUM(N3,N11,N19,N24,N32,N40,N45)</f>
        <v>0.16732723132171323</v>
      </c>
      <c r="O50" s="285">
        <f>SUM(O3,O11,O19,O24,O32,O40,O45)</f>
        <v>2436.9500167422871</v>
      </c>
      <c r="P50" s="296">
        <f>SUM(P3,P11,P19,P24,P32,P40,P45)</f>
        <v>0</v>
      </c>
      <c r="Q50" s="285"/>
      <c r="R50" s="285">
        <f>SUM(R3,R11,R19,R24,R32,R40,R45)</f>
        <v>473.13926691713607</v>
      </c>
      <c r="S50" s="285">
        <f>SUM(S3,S11,S19,S24,S32,S40,S45)</f>
        <v>206.34540010734406</v>
      </c>
      <c r="T50" s="285">
        <f>SUM(T3,T11,T19,T24,T32,T40,T45)</f>
        <v>1776.6540303137535</v>
      </c>
      <c r="U50" s="296">
        <f>SUM(U3,U11,U19,U24,U32,U40,U45)</f>
        <v>672.01173013912853</v>
      </c>
      <c r="V50" s="285"/>
      <c r="W50" s="285">
        <f>SUM(W3,W11,W19,W24,W32,W40,W45)</f>
        <v>3.5000000000001195</v>
      </c>
      <c r="X50" s="285">
        <f>SUM(X3,X11,X19,X24,X32,X40,X45)</f>
        <v>709.66690857575452</v>
      </c>
      <c r="Y50" s="285">
        <f>SUM(Y3,Y11,Y19,Y24,Y32,Y40,Y45)</f>
        <v>-98.185403414120401</v>
      </c>
      <c r="Z50" s="296">
        <f>SUM(Z3,Z11,Z19,Z24,Z32,Z40,Z45)</f>
        <v>2627.5467200948683</v>
      </c>
      <c r="AA50" s="285"/>
      <c r="AB50" s="285">
        <f>SUM(AB3,AB11,AB19,AB24,AB32,AB40,AB45)</f>
        <v>299.40751523635208</v>
      </c>
      <c r="AC50" s="285">
        <f>SUM(AC3,AC11,AC19,AC24,AC32,AC40,AC45)</f>
        <v>449.11127285452841</v>
      </c>
      <c r="AD50" s="285">
        <f>SUM(AD3,AD11,AD19,AD24,AD32,AD40,AD45)</f>
        <v>1168.41033444086</v>
      </c>
      <c r="AE50" s="296">
        <f>SUM(AE3,AE11,AE19,AE24,AE32,AE40,AE45)</f>
        <v>1660.6288715902965</v>
      </c>
      <c r="AF50" s="285"/>
      <c r="AG50" s="285">
        <f>SUM(AG3,AG11,AG19,AG24,AG32,AG40,AG45)</f>
        <v>289.84294582594055</v>
      </c>
      <c r="AH50" s="285">
        <f>SUM(AH3,AH11,AH19,AH24,AH32,AH40,AH45)</f>
        <v>473.28012415631673</v>
      </c>
      <c r="AI50" s="285">
        <f>SUM(AI3,AI11,AI19,AI24,AI32,AI40,AI45)</f>
        <v>1154.6294534573074</v>
      </c>
      <c r="AJ50" s="296">
        <f>SUM(AJ3,AJ11,AJ19,AJ24,AJ32,AJ40,AJ45)</f>
        <v>1748.553632580489</v>
      </c>
      <c r="AK50" s="285"/>
      <c r="AL50" s="285">
        <f>SUM(AL3,AL11,AL19,AL24,AL32,AL40,AL45)</f>
        <v>116.91332426338765</v>
      </c>
      <c r="AM50" s="285">
        <f>SUM(AM3,AM11,AM19,AM24,AM32,AM40,AM45)</f>
        <v>683.65329705355111</v>
      </c>
      <c r="AN50" s="285">
        <f>SUM(AN3,AN11,AN19,AN24,AN32,AN40,AN45)</f>
        <v>465.74039368609908</v>
      </c>
      <c r="AO50" s="296">
        <f>SUM(AO3,AO11,AO19,AO24,AO32,AO40,AO45)</f>
        <v>2526.3251101092078</v>
      </c>
      <c r="AP50" s="285"/>
      <c r="AQ50" s="285">
        <f>SUM(AQ3,AQ11,AQ19,AQ24,AQ32,AQ40,AQ45)</f>
        <v>0</v>
      </c>
      <c r="AR50" s="285">
        <f>SUM(AR3,AR11,AR19,AR24,AR32,AR40,AR45)</f>
        <v>865.44061518634817</v>
      </c>
      <c r="AS50" s="285">
        <f>SUM(AS3,AS11,AS19,AS24,AS32,AS40,AS45)</f>
        <v>0</v>
      </c>
      <c r="AT50" s="296">
        <f>SUM(AT3,AT11,AT19,AT24,AT32,AT40,AT45)</f>
        <v>3170.7269325184707</v>
      </c>
    </row>
    <row r="51" spans="1:46" x14ac:dyDescent="0.4">
      <c r="A51" t="s">
        <v>74</v>
      </c>
      <c r="D51" s="1">
        <f>C51*0.85</f>
        <v>0</v>
      </c>
      <c r="E51" s="4">
        <f>E50-A35</f>
        <v>639352</v>
      </c>
      <c r="J51" s="267"/>
      <c r="K51" s="267"/>
    </row>
    <row r="52" spans="1:46" x14ac:dyDescent="0.4">
      <c r="D52" s="1">
        <f>C52*0.85</f>
        <v>0</v>
      </c>
      <c r="E52" s="4">
        <f>E51+[1]ﾕﾆﾀﾘAC!E66</f>
        <v>2151955</v>
      </c>
      <c r="J52" s="267"/>
      <c r="K52" s="267"/>
      <c r="R52" s="5">
        <f>R50+S50</f>
        <v>679.48466702448013</v>
      </c>
      <c r="W52" s="5">
        <f>W50+X50</f>
        <v>713.16690857575463</v>
      </c>
      <c r="AB52" s="5">
        <f>AB50+AC50</f>
        <v>748.51878809088043</v>
      </c>
      <c r="AG52" s="5">
        <f>AG50+AH50</f>
        <v>763.12306998225722</v>
      </c>
      <c r="AL52" s="5">
        <f>AL50+AM50</f>
        <v>800.56662131693872</v>
      </c>
      <c r="AQ52" s="5">
        <f>AQ50+AR50</f>
        <v>865.44061518634817</v>
      </c>
    </row>
    <row r="53" spans="1:46" x14ac:dyDescent="0.4">
      <c r="D53" s="1">
        <f>C53*0.85</f>
        <v>0</v>
      </c>
      <c r="E53" s="4">
        <f>E50+[1]ﾕﾆﾀﾘAC!E65</f>
        <v>2551955</v>
      </c>
      <c r="J53" s="267"/>
      <c r="K53" s="267"/>
    </row>
    <row r="54" spans="1:46" x14ac:dyDescent="0.4">
      <c r="K54" s="267"/>
    </row>
    <row r="55" spans="1:46" x14ac:dyDescent="0.4">
      <c r="J55" s="267"/>
      <c r="K55" s="267"/>
    </row>
    <row r="56" spans="1:46" x14ac:dyDescent="0.4">
      <c r="E56" s="4">
        <f>E51+[1]ﾕﾆﾀﾘAC!E66</f>
        <v>2151955</v>
      </c>
      <c r="J56" s="267"/>
      <c r="K56" s="267"/>
    </row>
    <row r="57" spans="1:46" x14ac:dyDescent="0.4">
      <c r="J57" s="267"/>
      <c r="K57" s="267"/>
    </row>
    <row r="58" spans="1:46" x14ac:dyDescent="0.4">
      <c r="J58" s="267"/>
      <c r="K58" s="267"/>
    </row>
    <row r="59" spans="1:46" x14ac:dyDescent="0.4">
      <c r="J59" s="267"/>
      <c r="K59" s="267"/>
    </row>
    <row r="60" spans="1:46" x14ac:dyDescent="0.4">
      <c r="J60" s="267"/>
      <c r="K60" s="267"/>
    </row>
    <row r="61" spans="1:46" x14ac:dyDescent="0.4">
      <c r="J61" s="267"/>
      <c r="K61" s="267"/>
    </row>
    <row r="62" spans="1:46" x14ac:dyDescent="0.4">
      <c r="G62" s="276"/>
      <c r="H62" s="276"/>
      <c r="I62" s="276"/>
      <c r="J62" s="276"/>
      <c r="K62" s="278"/>
    </row>
    <row r="63" spans="1:46" x14ac:dyDescent="0.4">
      <c r="J63" s="267"/>
      <c r="K63" s="267"/>
    </row>
    <row r="64" spans="1:46" x14ac:dyDescent="0.4">
      <c r="J64" s="267"/>
      <c r="K64" s="267"/>
    </row>
    <row r="65" spans="8:11" x14ac:dyDescent="0.4">
      <c r="J65" s="267"/>
      <c r="K65" s="267"/>
    </row>
    <row r="66" spans="8:11" x14ac:dyDescent="0.4">
      <c r="J66" s="267"/>
      <c r="K66" s="267"/>
    </row>
    <row r="67" spans="8:11" x14ac:dyDescent="0.4">
      <c r="J67" s="267"/>
      <c r="K67" s="267"/>
    </row>
    <row r="68" spans="8:11" x14ac:dyDescent="0.4">
      <c r="J68" s="267"/>
      <c r="K68" s="267"/>
    </row>
    <row r="69" spans="8:11" x14ac:dyDescent="0.4">
      <c r="J69" s="267"/>
      <c r="K69" s="267"/>
    </row>
    <row r="70" spans="8:11" x14ac:dyDescent="0.4">
      <c r="K70" s="267"/>
    </row>
    <row r="71" spans="8:11" x14ac:dyDescent="0.4">
      <c r="J71" s="267"/>
      <c r="K71" s="267"/>
    </row>
    <row r="72" spans="8:11" x14ac:dyDescent="0.4">
      <c r="J72" s="267"/>
      <c r="K72" s="267"/>
    </row>
    <row r="73" spans="8:11" x14ac:dyDescent="0.4">
      <c r="J73" s="267"/>
      <c r="K73" s="267"/>
    </row>
    <row r="74" spans="8:11" x14ac:dyDescent="0.4">
      <c r="J74" s="267"/>
      <c r="K74" s="267"/>
    </row>
    <row r="75" spans="8:11" x14ac:dyDescent="0.4">
      <c r="K75" s="267"/>
    </row>
    <row r="76" spans="8:11" x14ac:dyDescent="0.4">
      <c r="J76" s="267"/>
      <c r="K76" s="267"/>
    </row>
    <row r="77" spans="8:11" x14ac:dyDescent="0.4">
      <c r="J77" s="267"/>
      <c r="K77" s="267"/>
    </row>
    <row r="78" spans="8:11" x14ac:dyDescent="0.4">
      <c r="J78" s="267"/>
      <c r="K78" s="267"/>
    </row>
    <row r="79" spans="8:11" x14ac:dyDescent="0.4">
      <c r="J79" s="267"/>
      <c r="K79" s="267"/>
    </row>
    <row r="80" spans="8:11" x14ac:dyDescent="0.4">
      <c r="H80" s="267"/>
      <c r="I80" s="267"/>
      <c r="J80" s="267"/>
      <c r="K80" s="267"/>
    </row>
    <row r="81" spans="10:11" x14ac:dyDescent="0.4">
      <c r="J81" s="267"/>
      <c r="K81" s="267"/>
    </row>
    <row r="82" spans="10:11" x14ac:dyDescent="0.4">
      <c r="J82" s="267"/>
    </row>
  </sheetData>
  <phoneticPr fontId="2"/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D8224-9CBA-4CAF-8088-5F156BA480D1}">
  <dimension ref="A1"/>
  <sheetViews>
    <sheetView workbookViewId="0"/>
  </sheetViews>
  <sheetFormatPr defaultRowHeight="15" x14ac:dyDescent="0.4"/>
  <sheetData/>
  <phoneticPr fontId="2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43FB3-CDEC-4BC2-81F9-16ACB56D5D7A}">
  <dimension ref="A1:S25"/>
  <sheetViews>
    <sheetView workbookViewId="0">
      <selection activeCell="L15" sqref="L15"/>
    </sheetView>
  </sheetViews>
  <sheetFormatPr defaultRowHeight="15" x14ac:dyDescent="0.4"/>
  <cols>
    <col min="1" max="1" width="12.25" customWidth="1"/>
    <col min="2" max="6" width="10.5" bestFit="1" customWidth="1"/>
    <col min="7" max="7" width="9.5" bestFit="1" customWidth="1"/>
    <col min="8" max="8" width="9.375" bestFit="1" customWidth="1"/>
    <col min="9" max="9" width="9.625" bestFit="1" customWidth="1"/>
    <col min="10" max="10" width="9.375" bestFit="1" customWidth="1"/>
    <col min="15" max="15" width="5" bestFit="1" customWidth="1"/>
    <col min="16" max="16" width="9.25" customWidth="1"/>
    <col min="17" max="17" width="11.625" customWidth="1"/>
    <col min="18" max="18" width="5.75" bestFit="1" customWidth="1"/>
  </cols>
  <sheetData>
    <row r="1" spans="1:19" ht="15.6" thickBot="1" x14ac:dyDescent="0.45"/>
    <row r="2" spans="1:19" x14ac:dyDescent="0.4">
      <c r="O2" s="174"/>
      <c r="P2" s="200"/>
      <c r="Q2" s="200"/>
      <c r="R2" s="200"/>
      <c r="S2" s="313" t="s">
        <v>185</v>
      </c>
    </row>
    <row r="3" spans="1:19" x14ac:dyDescent="0.4">
      <c r="A3" t="s">
        <v>176</v>
      </c>
      <c r="B3">
        <v>2022</v>
      </c>
      <c r="C3">
        <v>2023</v>
      </c>
      <c r="D3">
        <v>2024</v>
      </c>
      <c r="E3">
        <v>2025</v>
      </c>
      <c r="F3">
        <v>2026</v>
      </c>
      <c r="G3">
        <v>2027</v>
      </c>
      <c r="H3">
        <v>2028</v>
      </c>
      <c r="I3">
        <v>2029</v>
      </c>
      <c r="O3" s="450" t="s">
        <v>183</v>
      </c>
      <c r="P3" s="451"/>
      <c r="Q3" s="452"/>
      <c r="R3" s="306">
        <f>1-R8</f>
        <v>0.93500000000000005</v>
      </c>
      <c r="S3" s="314">
        <f>R3*S9</f>
        <v>8107.3836902638413</v>
      </c>
    </row>
    <row r="4" spans="1:19" x14ac:dyDescent="0.4">
      <c r="A4" t="s">
        <v>3</v>
      </c>
      <c r="B4" s="4">
        <f>ﾕﾆﾀﾘAC４!J74</f>
        <v>4115.246467847187</v>
      </c>
      <c r="C4" s="4">
        <f>ﾕﾆﾀﾘAC４!O74</f>
        <v>4115.246467847187</v>
      </c>
      <c r="D4" s="4">
        <f>ﾕﾆﾀﾘAC４!U74</f>
        <v>3739.8971387388078</v>
      </c>
      <c r="E4" s="4">
        <f>ﾕﾆﾀﾘAC４!Z74</f>
        <v>3488.0962526665558</v>
      </c>
      <c r="F4" s="4">
        <f>ﾕﾆﾀﾘAC４!AE74</f>
        <v>3322.6097490817856</v>
      </c>
      <c r="G4" s="4">
        <f>ﾕﾆﾀﾘAC４!AJ74</f>
        <v>1616.0536071246611</v>
      </c>
      <c r="H4" s="4">
        <f>ﾕﾆﾀﾘAC４!AO74</f>
        <v>1194.8174636709075</v>
      </c>
      <c r="I4" s="4">
        <f>ﾕﾆﾀﾘAC４!AT74</f>
        <v>0</v>
      </c>
      <c r="O4" s="304"/>
      <c r="P4" s="453" t="s">
        <v>181</v>
      </c>
      <c r="Q4" s="454"/>
      <c r="R4" s="310">
        <f>R3-R7</f>
        <v>0.86020000000000008</v>
      </c>
      <c r="S4" s="315">
        <f>R4*S9</f>
        <v>7458.7929950427342</v>
      </c>
    </row>
    <row r="5" spans="1:19" x14ac:dyDescent="0.4">
      <c r="A5" t="s">
        <v>57</v>
      </c>
      <c r="B5" s="4">
        <f>ﾕﾆﾀﾘAC４!K74</f>
        <v>0</v>
      </c>
      <c r="C5" s="4">
        <f>ﾕﾆﾀﾘAC４!P74</f>
        <v>0</v>
      </c>
      <c r="D5" s="4">
        <f>ﾕﾆﾀﾘAC４!V74</f>
        <v>349.07487607079236</v>
      </c>
      <c r="E5" s="4">
        <f>ﾕﾆﾀﾘAC４!AA74</f>
        <v>583.24970011798735</v>
      </c>
      <c r="F5" s="4">
        <f>ﾕﾆﾀﾘAC４!AF74</f>
        <v>1166.4994002359747</v>
      </c>
      <c r="G5" s="4">
        <f>ﾕﾆﾀﾘAC４!AK74</f>
        <v>2324.2493604719493</v>
      </c>
      <c r="H5" s="4">
        <f>ﾕﾆﾀﾘAC４!AP74</f>
        <v>2715.9989738839399</v>
      </c>
      <c r="I5" s="4">
        <f>ﾕﾆﾀﾘAC４!AU74</f>
        <v>3827.1792150978836</v>
      </c>
      <c r="O5" s="304"/>
      <c r="P5" s="25"/>
      <c r="Q5" s="309" t="s">
        <v>122</v>
      </c>
      <c r="R5" s="310">
        <f>R4*0.88</f>
        <v>0.75697600000000009</v>
      </c>
      <c r="S5" s="316">
        <f>B13</f>
        <v>6563.7378356376066</v>
      </c>
    </row>
    <row r="6" spans="1:19" x14ac:dyDescent="0.4">
      <c r="O6" s="304"/>
      <c r="P6" s="25"/>
      <c r="Q6" s="311" t="s">
        <v>31</v>
      </c>
      <c r="R6" s="18">
        <f>R4*0.12</f>
        <v>0.10322400000000001</v>
      </c>
      <c r="S6" s="317">
        <f>R6*S9</f>
        <v>895.05515940512817</v>
      </c>
    </row>
    <row r="7" spans="1:19" x14ac:dyDescent="0.4">
      <c r="A7" t="s">
        <v>177</v>
      </c>
      <c r="B7">
        <v>2022</v>
      </c>
      <c r="C7">
        <v>2023</v>
      </c>
      <c r="D7">
        <v>2024</v>
      </c>
      <c r="E7">
        <v>2025</v>
      </c>
      <c r="F7">
        <v>2026</v>
      </c>
      <c r="G7">
        <v>2027</v>
      </c>
      <c r="H7">
        <v>2028</v>
      </c>
      <c r="I7">
        <v>2029</v>
      </c>
      <c r="O7" s="304"/>
      <c r="P7" s="455" t="s">
        <v>182</v>
      </c>
      <c r="Q7" s="456"/>
      <c r="R7" s="312">
        <f>R3*8%</f>
        <v>7.4800000000000005E-2</v>
      </c>
      <c r="S7" s="318">
        <f>R7*S9</f>
        <v>648.59069522110735</v>
      </c>
    </row>
    <row r="8" spans="1:19" ht="15.6" thickBot="1" x14ac:dyDescent="0.45">
      <c r="A8" t="s">
        <v>3</v>
      </c>
      <c r="B8" s="4">
        <f>ﾕﾆﾀﾘHP４!J50</f>
        <v>2448.4913677904196</v>
      </c>
      <c r="C8" s="4">
        <f>ﾕﾆﾀﾘHP４!O50</f>
        <v>2328.3818320073142</v>
      </c>
      <c r="D8" s="4">
        <f>ﾕﾆﾀﾘHP４!T50</f>
        <v>2116.0596557751614</v>
      </c>
      <c r="E8" s="4">
        <f>ﾕﾆﾀﾘHP４!Y50</f>
        <v>2789.2010548570042</v>
      </c>
      <c r="F8" s="4">
        <f>ﾕﾆﾀﾘHP４!AD50</f>
        <v>1715.5763963289053</v>
      </c>
      <c r="G8" s="4">
        <f>ﾕﾆﾀﾘHP４!AI50</f>
        <v>961.47017486739117</v>
      </c>
      <c r="H8" s="4">
        <f>ﾕﾆﾀﾘHP４!AN50</f>
        <v>711.51418438021972</v>
      </c>
      <c r="I8" s="4">
        <f>ﾕﾆﾀﾘHP４!AS50</f>
        <v>0</v>
      </c>
      <c r="O8" s="443" t="s">
        <v>184</v>
      </c>
      <c r="P8" s="444"/>
      <c r="Q8" s="445"/>
      <c r="R8" s="308">
        <v>6.5000000000000002E-2</v>
      </c>
      <c r="S8" s="319">
        <f>R8*S9</f>
        <v>563.6149089488232</v>
      </c>
    </row>
    <row r="9" spans="1:19" ht="16.2" thickTop="1" thickBot="1" x14ac:dyDescent="0.45">
      <c r="A9" t="s">
        <v>57</v>
      </c>
      <c r="B9" s="4"/>
      <c r="C9" s="4"/>
      <c r="D9" s="4">
        <f>ﾕﾆﾀﾘHP４!U50</f>
        <v>183.19186329758347</v>
      </c>
      <c r="E9" s="4">
        <f>ﾕﾆﾀﾘHP４!Z50</f>
        <v>346.7178204796042</v>
      </c>
      <c r="F9" s="4">
        <f>ﾕﾆﾀﾘHP４!AE50</f>
        <v>693.4356409592084</v>
      </c>
      <c r="G9" s="4">
        <f>ﾕﾆﾀﾘHP４!AJ50</f>
        <v>1382.9297094184167</v>
      </c>
      <c r="H9" s="4">
        <f>ﾕﾆﾀﾘHP４!AO50</f>
        <v>1615.388780571486</v>
      </c>
      <c r="I9" s="4">
        <f>ﾕﾆﾀﾘHP４!AT50</f>
        <v>2277.0969720450898</v>
      </c>
      <c r="O9" s="178" t="s">
        <v>20</v>
      </c>
      <c r="P9" s="207"/>
      <c r="Q9" s="307"/>
      <c r="R9" s="305">
        <v>1</v>
      </c>
      <c r="S9" s="320">
        <f>S5/R5</f>
        <v>8670.998599212664</v>
      </c>
    </row>
    <row r="12" spans="1:19" x14ac:dyDescent="0.4">
      <c r="A12" t="s">
        <v>178</v>
      </c>
      <c r="B12">
        <v>2022</v>
      </c>
      <c r="C12">
        <v>2023</v>
      </c>
      <c r="D12">
        <v>2024</v>
      </c>
      <c r="E12">
        <v>2025</v>
      </c>
      <c r="F12">
        <v>2026</v>
      </c>
      <c r="G12">
        <v>2027</v>
      </c>
      <c r="H12">
        <v>2028</v>
      </c>
      <c r="I12">
        <v>2029</v>
      </c>
    </row>
    <row r="13" spans="1:19" x14ac:dyDescent="0.4">
      <c r="A13" t="s">
        <v>3</v>
      </c>
      <c r="B13" s="5">
        <f t="shared" ref="B13:I14" si="0">B4+B8</f>
        <v>6563.7378356376066</v>
      </c>
      <c r="C13" s="5">
        <f t="shared" si="0"/>
        <v>6443.6282998545012</v>
      </c>
      <c r="D13" s="5">
        <f t="shared" si="0"/>
        <v>5855.9567945139697</v>
      </c>
      <c r="E13" s="5">
        <f t="shared" si="0"/>
        <v>6277.2973075235604</v>
      </c>
      <c r="F13" s="5">
        <f t="shared" si="0"/>
        <v>5038.1861454106911</v>
      </c>
      <c r="G13" s="5">
        <f t="shared" si="0"/>
        <v>2577.5237819920521</v>
      </c>
      <c r="H13" s="5">
        <f t="shared" si="0"/>
        <v>1906.3316480511271</v>
      </c>
      <c r="I13" s="5">
        <f t="shared" si="0"/>
        <v>0</v>
      </c>
    </row>
    <row r="14" spans="1:19" x14ac:dyDescent="0.4">
      <c r="A14" t="s">
        <v>36</v>
      </c>
      <c r="B14" s="5">
        <f t="shared" si="0"/>
        <v>0</v>
      </c>
      <c r="C14" s="5">
        <f t="shared" si="0"/>
        <v>0</v>
      </c>
      <c r="D14" s="5">
        <f t="shared" si="0"/>
        <v>532.26673936837585</v>
      </c>
      <c r="E14" s="5">
        <f t="shared" si="0"/>
        <v>929.9675205975916</v>
      </c>
      <c r="F14" s="5">
        <f t="shared" si="0"/>
        <v>1859.9350411951832</v>
      </c>
      <c r="G14" s="5">
        <f t="shared" si="0"/>
        <v>3707.179069890366</v>
      </c>
      <c r="H14" s="5">
        <f t="shared" si="0"/>
        <v>4331.3877544554261</v>
      </c>
      <c r="I14" s="5">
        <f t="shared" si="0"/>
        <v>6104.2761871429739</v>
      </c>
    </row>
    <row r="16" spans="1:19" x14ac:dyDescent="0.4">
      <c r="A16" t="s">
        <v>121</v>
      </c>
      <c r="B16">
        <v>2022</v>
      </c>
      <c r="C16">
        <v>2023</v>
      </c>
      <c r="D16">
        <v>2024</v>
      </c>
      <c r="E16">
        <v>2025</v>
      </c>
      <c r="F16">
        <v>2026</v>
      </c>
      <c r="G16">
        <v>2027</v>
      </c>
      <c r="H16">
        <v>2028</v>
      </c>
      <c r="I16">
        <v>2029</v>
      </c>
    </row>
    <row r="17" spans="1:10" x14ac:dyDescent="0.4">
      <c r="A17" t="s">
        <v>3</v>
      </c>
      <c r="B17" s="4">
        <f t="shared" ref="B17:I17" si="1">B13*2090</f>
        <v>13718212.076482598</v>
      </c>
      <c r="C17" s="4">
        <f t="shared" si="1"/>
        <v>13467183.146695908</v>
      </c>
      <c r="D17" s="4">
        <f t="shared" si="1"/>
        <v>12238949.700534197</v>
      </c>
      <c r="E17" s="4">
        <f t="shared" si="1"/>
        <v>13119551.372724241</v>
      </c>
      <c r="F17" s="4">
        <f t="shared" si="1"/>
        <v>10529809.043908345</v>
      </c>
      <c r="G17" s="4">
        <f t="shared" si="1"/>
        <v>5387024.7043633889</v>
      </c>
      <c r="H17" s="4">
        <f t="shared" si="1"/>
        <v>3984233.1444268557</v>
      </c>
      <c r="I17" s="4">
        <f t="shared" si="1"/>
        <v>0</v>
      </c>
    </row>
    <row r="18" spans="1:10" x14ac:dyDescent="0.4">
      <c r="A18" t="s">
        <v>36</v>
      </c>
      <c r="B18" s="4">
        <f>B14*675</f>
        <v>0</v>
      </c>
      <c r="C18" s="4">
        <f>C14*675</f>
        <v>0</v>
      </c>
      <c r="D18" s="4">
        <f t="shared" ref="D18:I18" si="2">D14*465</f>
        <v>247504.03380629478</v>
      </c>
      <c r="E18" s="4">
        <f t="shared" si="2"/>
        <v>432434.8970778801</v>
      </c>
      <c r="F18" s="4">
        <f t="shared" si="2"/>
        <v>864869.7941557602</v>
      </c>
      <c r="G18" s="4">
        <f t="shared" si="2"/>
        <v>1723838.2674990201</v>
      </c>
      <c r="H18" s="4">
        <f t="shared" si="2"/>
        <v>2014095.3058217731</v>
      </c>
      <c r="I18" s="4">
        <f t="shared" si="2"/>
        <v>2838488.427021483</v>
      </c>
    </row>
    <row r="19" spans="1:10" x14ac:dyDescent="0.4">
      <c r="A19" t="s">
        <v>179</v>
      </c>
      <c r="B19" s="5">
        <f t="shared" ref="B19:I19" si="3">B17+B18</f>
        <v>13718212.076482598</v>
      </c>
      <c r="C19" s="5">
        <f t="shared" si="3"/>
        <v>13467183.146695908</v>
      </c>
      <c r="D19" s="5">
        <f t="shared" si="3"/>
        <v>12486453.734340491</v>
      </c>
      <c r="E19" s="5">
        <f t="shared" si="3"/>
        <v>13551986.269802121</v>
      </c>
      <c r="F19" s="5">
        <f t="shared" si="3"/>
        <v>11394678.838064104</v>
      </c>
      <c r="G19" s="5">
        <f t="shared" si="3"/>
        <v>7110862.9718624093</v>
      </c>
      <c r="H19" s="5">
        <f t="shared" si="3"/>
        <v>5998328.4502486289</v>
      </c>
      <c r="I19" s="5">
        <f t="shared" si="3"/>
        <v>2838488.427021483</v>
      </c>
    </row>
    <row r="20" spans="1:10" x14ac:dyDescent="0.4">
      <c r="B20" s="18">
        <v>0.9</v>
      </c>
      <c r="C20" s="6">
        <f t="shared" ref="C20:I20" si="4">C19/$B$22</f>
        <v>0.8835309415287923</v>
      </c>
      <c r="D20" s="6">
        <f t="shared" si="4"/>
        <v>0.81918899476496942</v>
      </c>
      <c r="E20" s="6">
        <f t="shared" si="4"/>
        <v>0.88909455363582723</v>
      </c>
      <c r="F20" s="6">
        <f t="shared" si="4"/>
        <v>0.74756177387273415</v>
      </c>
      <c r="G20" s="6">
        <f t="shared" si="4"/>
        <v>0.46651682004883366</v>
      </c>
      <c r="H20" s="6">
        <f t="shared" si="4"/>
        <v>0.39352763866936524</v>
      </c>
      <c r="I20" s="6">
        <f t="shared" si="4"/>
        <v>0.18622248803827751</v>
      </c>
      <c r="J20" s="18"/>
    </row>
    <row r="22" spans="1:10" x14ac:dyDescent="0.4">
      <c r="A22" t="s">
        <v>180</v>
      </c>
      <c r="B22" s="4">
        <f>B19/B20</f>
        <v>15242457.862758441</v>
      </c>
      <c r="I22" s="18">
        <v>0.3</v>
      </c>
      <c r="J22" s="18"/>
    </row>
    <row r="23" spans="1:10" x14ac:dyDescent="0.4">
      <c r="I23" s="18">
        <f>I20-I22</f>
        <v>-0.11377751196172248</v>
      </c>
      <c r="J23" s="18"/>
    </row>
    <row r="24" spans="1:10" x14ac:dyDescent="0.4">
      <c r="I24" s="4">
        <f>B22*I23</f>
        <v>-1734248.9318060493</v>
      </c>
      <c r="J24" s="4"/>
    </row>
    <row r="25" spans="1:10" x14ac:dyDescent="0.4">
      <c r="I25" s="4">
        <f>I24/675</f>
        <v>-2569.2576767497026</v>
      </c>
      <c r="J25" s="4"/>
    </row>
  </sheetData>
  <mergeCells count="4">
    <mergeCell ref="O3:Q3"/>
    <mergeCell ref="O8:Q8"/>
    <mergeCell ref="P7:Q7"/>
    <mergeCell ref="P4:Q4"/>
  </mergeCells>
  <phoneticPr fontId="2"/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F24B6-1856-4648-835C-9E55D216B62B}">
  <dimension ref="A1:T74"/>
  <sheetViews>
    <sheetView topLeftCell="A13" workbookViewId="0">
      <selection activeCell="L15" sqref="L15:L16"/>
    </sheetView>
  </sheetViews>
  <sheetFormatPr defaultRowHeight="15" outlineLevelRow="1" x14ac:dyDescent="0.4"/>
  <cols>
    <col min="1" max="1" width="21.25" bestFit="1" customWidth="1"/>
    <col min="2" max="2" width="12.625" customWidth="1"/>
    <col min="3" max="3" width="6.75" bestFit="1" customWidth="1"/>
    <col min="4" max="4" width="8.875" style="1" bestFit="1" customWidth="1"/>
    <col min="5" max="5" width="7.25" style="1" bestFit="1" customWidth="1"/>
    <col min="6" max="6" width="7.25" style="4" bestFit="1" customWidth="1"/>
    <col min="7" max="7" width="6.75" style="4" bestFit="1" customWidth="1"/>
    <col min="8" max="8" width="9.375" style="4" customWidth="1"/>
    <col min="9" max="9" width="6.75" style="4" bestFit="1" customWidth="1"/>
    <col min="10" max="10" width="8.375" style="4" bestFit="1" customWidth="1"/>
    <col min="11" max="11" width="6.75" style="4" bestFit="1" customWidth="1"/>
    <col min="12" max="12" width="7.625" style="4" bestFit="1" customWidth="1"/>
    <col min="13" max="13" width="6.75" style="4" bestFit="1" customWidth="1"/>
    <col min="14" max="14" width="7.25" style="4" bestFit="1" customWidth="1"/>
    <col min="15" max="15" width="7.75" style="4" bestFit="1" customWidth="1"/>
    <col min="16" max="16" width="7.25" bestFit="1" customWidth="1"/>
    <col min="17" max="17" width="7.875" bestFit="1" customWidth="1"/>
    <col min="18" max="18" width="7.25" bestFit="1" customWidth="1"/>
    <col min="19" max="19" width="7.875" bestFit="1" customWidth="1"/>
  </cols>
  <sheetData>
    <row r="1" spans="2:20" ht="15.6" thickBot="1" x14ac:dyDescent="0.45">
      <c r="B1" t="s">
        <v>167</v>
      </c>
    </row>
    <row r="2" spans="2:20" x14ac:dyDescent="0.4">
      <c r="B2" s="470" t="s">
        <v>153</v>
      </c>
      <c r="C2" s="471"/>
      <c r="D2" s="466">
        <v>22</v>
      </c>
      <c r="E2" s="192"/>
      <c r="F2" s="466">
        <v>23</v>
      </c>
      <c r="G2" s="192"/>
      <c r="H2" s="466">
        <v>24</v>
      </c>
      <c r="I2" s="199"/>
      <c r="J2" s="466">
        <v>25</v>
      </c>
      <c r="K2" s="199"/>
      <c r="L2" s="466">
        <v>26</v>
      </c>
      <c r="M2" s="199"/>
      <c r="N2" s="468">
        <v>27</v>
      </c>
      <c r="O2" s="199"/>
      <c r="P2" s="468">
        <v>28</v>
      </c>
      <c r="Q2" s="199"/>
      <c r="R2" s="466">
        <v>29</v>
      </c>
      <c r="S2" s="201"/>
    </row>
    <row r="3" spans="2:20" ht="15.6" thickBot="1" x14ac:dyDescent="0.45">
      <c r="B3" s="472"/>
      <c r="C3" s="473"/>
      <c r="D3" s="467"/>
      <c r="E3" s="193" t="s">
        <v>149</v>
      </c>
      <c r="F3" s="467"/>
      <c r="G3" s="193" t="s">
        <v>149</v>
      </c>
      <c r="H3" s="467"/>
      <c r="I3" s="193" t="s">
        <v>149</v>
      </c>
      <c r="J3" s="467"/>
      <c r="K3" s="193" t="s">
        <v>149</v>
      </c>
      <c r="L3" s="467"/>
      <c r="M3" s="193" t="s">
        <v>149</v>
      </c>
      <c r="N3" s="469"/>
      <c r="O3" s="193" t="s">
        <v>149</v>
      </c>
      <c r="P3" s="469"/>
      <c r="Q3" s="193" t="s">
        <v>149</v>
      </c>
      <c r="R3" s="467"/>
      <c r="S3" s="202" t="s">
        <v>149</v>
      </c>
    </row>
    <row r="4" spans="2:20" x14ac:dyDescent="0.4">
      <c r="B4" s="216" t="s">
        <v>144</v>
      </c>
      <c r="C4" s="220"/>
      <c r="D4" s="208">
        <f>D10-D7</f>
        <v>2031.058</v>
      </c>
      <c r="E4" s="209">
        <f>D4/$D$10</f>
        <v>0.98784080993824108</v>
      </c>
      <c r="F4" s="208">
        <f>D4</f>
        <v>2031.058</v>
      </c>
      <c r="G4" s="209">
        <f>F4/$F$10</f>
        <v>0.98784080993824108</v>
      </c>
      <c r="H4" s="208">
        <f>F4</f>
        <v>2031.058</v>
      </c>
      <c r="I4" s="209">
        <f>H4/$H$10</f>
        <v>0.98784080993824108</v>
      </c>
      <c r="J4" s="208">
        <f>H4</f>
        <v>2031.058</v>
      </c>
      <c r="K4" s="209">
        <f>J4/J$10</f>
        <v>0.98784080993824108</v>
      </c>
      <c r="L4" s="208">
        <f>J4</f>
        <v>2031.058</v>
      </c>
      <c r="M4" s="209">
        <f>L4/L10</f>
        <v>0.98784080993824108</v>
      </c>
      <c r="N4" s="208">
        <f>L4</f>
        <v>2031.058</v>
      </c>
      <c r="O4" s="209">
        <f>N4/N10</f>
        <v>0.98784080993824108</v>
      </c>
      <c r="P4" s="208">
        <f>N4</f>
        <v>2031.058</v>
      </c>
      <c r="Q4" s="209">
        <f>P4/P10</f>
        <v>0.98784080993824108</v>
      </c>
      <c r="R4" s="208">
        <f>P4</f>
        <v>2031.058</v>
      </c>
      <c r="S4" s="212">
        <f>R4/R10</f>
        <v>0.98784080993824108</v>
      </c>
    </row>
    <row r="5" spans="2:20" x14ac:dyDescent="0.4">
      <c r="B5" s="217"/>
      <c r="C5" s="219" t="s">
        <v>3</v>
      </c>
      <c r="D5" s="213">
        <f>D4</f>
        <v>2031.058</v>
      </c>
      <c r="E5" s="214">
        <f>D5/$D$10</f>
        <v>0.98784080993824108</v>
      </c>
      <c r="F5" s="213">
        <f>F4</f>
        <v>2031.058</v>
      </c>
      <c r="G5" s="214">
        <f>F5/$F$10</f>
        <v>0.98784080993824108</v>
      </c>
      <c r="H5" s="213">
        <f>H4-H6</f>
        <v>1846.01278</v>
      </c>
      <c r="I5" s="214">
        <f>H5/H10</f>
        <v>0.897840809938241</v>
      </c>
      <c r="J5" s="213">
        <f>J4-J6</f>
        <v>1722.6493</v>
      </c>
      <c r="K5" s="214">
        <f>J5/J10</f>
        <v>0.83784080993824106</v>
      </c>
      <c r="L5" s="213">
        <f>L4-L6</f>
        <v>1414.2406000000001</v>
      </c>
      <c r="M5" s="214">
        <f>L5/L10</f>
        <v>0.68784080993824104</v>
      </c>
      <c r="N5" s="215">
        <f>N4-N6</f>
        <v>797.42319999999995</v>
      </c>
      <c r="O5" s="214">
        <f>N5/N10</f>
        <v>0.38784080993824099</v>
      </c>
      <c r="P5" s="215">
        <f>P4-P6</f>
        <v>591.81740000000013</v>
      </c>
      <c r="Q5" s="214">
        <f>P5/P10</f>
        <v>0.28784080993824113</v>
      </c>
      <c r="R5" s="373"/>
      <c r="S5" s="374">
        <f>S4-S6</f>
        <v>0</v>
      </c>
    </row>
    <row r="6" spans="2:20" x14ac:dyDescent="0.4">
      <c r="B6" s="217"/>
      <c r="C6" s="222" t="s">
        <v>57</v>
      </c>
      <c r="D6" s="331"/>
      <c r="E6" s="332"/>
      <c r="F6" s="331"/>
      <c r="G6" s="332"/>
      <c r="H6" s="188">
        <f>H10*I6</f>
        <v>185.04522</v>
      </c>
      <c r="I6" s="198">
        <v>0.09</v>
      </c>
      <c r="J6" s="188">
        <f>J10*K6</f>
        <v>308.40870000000001</v>
      </c>
      <c r="K6" s="198">
        <v>0.15</v>
      </c>
      <c r="L6" s="188">
        <f>L10*M6</f>
        <v>616.81740000000002</v>
      </c>
      <c r="M6" s="198">
        <v>0.3</v>
      </c>
      <c r="N6" s="186">
        <f>N10*O6</f>
        <v>1233.6348</v>
      </c>
      <c r="O6" s="198">
        <v>0.6</v>
      </c>
      <c r="P6" s="186">
        <f>P10*Q6</f>
        <v>1439.2405999999999</v>
      </c>
      <c r="Q6" s="198">
        <v>0.7</v>
      </c>
      <c r="R6" s="187">
        <f>R4</f>
        <v>2031.058</v>
      </c>
      <c r="S6" s="204">
        <f>R6/R10</f>
        <v>0.98784080993824108</v>
      </c>
    </row>
    <row r="7" spans="2:20" x14ac:dyDescent="0.4">
      <c r="B7" s="224" t="s">
        <v>150</v>
      </c>
      <c r="C7" s="225"/>
      <c r="D7" s="189">
        <v>25</v>
      </c>
      <c r="E7" s="195">
        <f>D7/$D$10</f>
        <v>1.2159190061758958E-2</v>
      </c>
      <c r="F7" s="189">
        <f>D7</f>
        <v>25</v>
      </c>
      <c r="G7" s="195">
        <f>F7/$F$10</f>
        <v>1.2159190061758958E-2</v>
      </c>
      <c r="H7" s="189">
        <f>F7</f>
        <v>25</v>
      </c>
      <c r="I7" s="194">
        <f>H7/$H$10</f>
        <v>1.2159190061758958E-2</v>
      </c>
      <c r="J7" s="189">
        <f>H7</f>
        <v>25</v>
      </c>
      <c r="K7" s="194">
        <f>J7/J10</f>
        <v>1.2159190061758958E-2</v>
      </c>
      <c r="L7" s="189">
        <f>J7</f>
        <v>25</v>
      </c>
      <c r="M7" s="194">
        <f>L7/L10</f>
        <v>1.2159190061758958E-2</v>
      </c>
      <c r="N7" s="180">
        <f>L7</f>
        <v>25</v>
      </c>
      <c r="O7" s="194">
        <f>N7/N10</f>
        <v>1.2159190061758958E-2</v>
      </c>
      <c r="P7" s="180">
        <f>N7</f>
        <v>25</v>
      </c>
      <c r="Q7" s="194">
        <f>P7/P10</f>
        <v>1.2159190061758958E-2</v>
      </c>
      <c r="R7" s="189">
        <f>P7</f>
        <v>25</v>
      </c>
      <c r="S7" s="203">
        <f>R7/R10</f>
        <v>1.2159190061758958E-2</v>
      </c>
    </row>
    <row r="8" spans="2:20" x14ac:dyDescent="0.4">
      <c r="B8" s="217"/>
      <c r="C8" s="219" t="s">
        <v>3</v>
      </c>
      <c r="D8" s="213">
        <f>D7</f>
        <v>25</v>
      </c>
      <c r="E8" s="214">
        <f>D8/$D$10</f>
        <v>1.2159190061758958E-2</v>
      </c>
      <c r="F8" s="213">
        <f>F7</f>
        <v>25</v>
      </c>
      <c r="G8" s="214">
        <f>F8/$F$10</f>
        <v>1.2159190061758958E-2</v>
      </c>
      <c r="H8" s="213">
        <f>H7-H9</f>
        <v>22.5</v>
      </c>
      <c r="I8" s="214">
        <f>H8/H10</f>
        <v>1.0943271055583062E-2</v>
      </c>
      <c r="J8" s="213">
        <f>J7-J9</f>
        <v>20</v>
      </c>
      <c r="K8" s="214">
        <f>J8/J10</f>
        <v>9.7273520494071657E-3</v>
      </c>
      <c r="L8" s="213">
        <f>L7-L9</f>
        <v>15</v>
      </c>
      <c r="M8" s="214">
        <f>L8/L10</f>
        <v>7.2955140370553747E-3</v>
      </c>
      <c r="N8" s="215">
        <f>N7-N9</f>
        <v>10</v>
      </c>
      <c r="O8" s="214">
        <f>N8/N10</f>
        <v>4.8636760247035829E-3</v>
      </c>
      <c r="P8" s="215">
        <f>P7-P9</f>
        <v>5</v>
      </c>
      <c r="Q8" s="375">
        <f>P8/P10</f>
        <v>2.4318380123517914E-3</v>
      </c>
      <c r="R8" s="373"/>
      <c r="S8" s="374">
        <f>R8/R10</f>
        <v>0</v>
      </c>
    </row>
    <row r="9" spans="2:20" ht="15.6" thickBot="1" x14ac:dyDescent="0.45">
      <c r="B9" s="226"/>
      <c r="C9" s="227" t="s">
        <v>57</v>
      </c>
      <c r="D9" s="331"/>
      <c r="E9" s="332"/>
      <c r="F9" s="331"/>
      <c r="G9" s="332"/>
      <c r="H9" s="188">
        <v>2.5</v>
      </c>
      <c r="I9" s="194">
        <f>H9/H10</f>
        <v>1.2159190061758957E-3</v>
      </c>
      <c r="J9" s="188">
        <v>5</v>
      </c>
      <c r="K9" s="194">
        <f>J9/J10</f>
        <v>2.4318380123517914E-3</v>
      </c>
      <c r="L9" s="188">
        <v>10</v>
      </c>
      <c r="M9" s="194">
        <f>L9/L10</f>
        <v>4.8636760247035829E-3</v>
      </c>
      <c r="N9" s="186">
        <v>15</v>
      </c>
      <c r="O9" s="194">
        <f>N9/N10</f>
        <v>7.2955140370553747E-3</v>
      </c>
      <c r="P9" s="186">
        <v>20</v>
      </c>
      <c r="Q9" s="194">
        <f>P9/P10</f>
        <v>9.7273520494071657E-3</v>
      </c>
      <c r="R9" s="187">
        <f>R7</f>
        <v>25</v>
      </c>
      <c r="S9" s="203">
        <f>R9/R10</f>
        <v>1.2159190061758958E-2</v>
      </c>
    </row>
    <row r="10" spans="2:20" ht="15.6" thickTop="1" x14ac:dyDescent="0.4">
      <c r="B10" s="217" t="s">
        <v>20</v>
      </c>
      <c r="C10" s="221"/>
      <c r="D10" s="190">
        <v>2056.058</v>
      </c>
      <c r="E10" s="196">
        <f>D10/$D$10</f>
        <v>1</v>
      </c>
      <c r="F10" s="190">
        <f>D10</f>
        <v>2056.058</v>
      </c>
      <c r="G10" s="196">
        <f>F10/$F$10</f>
        <v>1</v>
      </c>
      <c r="H10" s="190">
        <f>F10</f>
        <v>2056.058</v>
      </c>
      <c r="I10" s="196">
        <f>H10/H10</f>
        <v>1</v>
      </c>
      <c r="J10" s="190">
        <f>H10</f>
        <v>2056.058</v>
      </c>
      <c r="K10" s="196">
        <f>J10/J10</f>
        <v>1</v>
      </c>
      <c r="L10" s="190">
        <f>J10</f>
        <v>2056.058</v>
      </c>
      <c r="M10" s="196">
        <f>L10/L10</f>
        <v>1</v>
      </c>
      <c r="N10" s="182">
        <f>L10</f>
        <v>2056.058</v>
      </c>
      <c r="O10" s="196">
        <f>N10/N10</f>
        <v>1</v>
      </c>
      <c r="P10" s="182">
        <f>N10</f>
        <v>2056.058</v>
      </c>
      <c r="Q10" s="196">
        <f>P10/P10</f>
        <v>1</v>
      </c>
      <c r="R10" s="183">
        <f>R4+R7</f>
        <v>2056.058</v>
      </c>
      <c r="S10" s="205">
        <f>R10/R10</f>
        <v>1</v>
      </c>
    </row>
    <row r="11" spans="2:20" ht="15.6" thickBot="1" x14ac:dyDescent="0.45">
      <c r="B11" s="218" t="s">
        <v>203</v>
      </c>
      <c r="C11" s="223"/>
      <c r="D11" s="376">
        <v>1.2</v>
      </c>
      <c r="E11" s="197"/>
      <c r="F11" s="191">
        <v>1.2543827475311427</v>
      </c>
      <c r="G11" s="197"/>
      <c r="H11" s="191">
        <v>1.3165628448173907</v>
      </c>
      <c r="I11" s="197"/>
      <c r="J11" s="191">
        <v>1.3818252266026383</v>
      </c>
      <c r="K11" s="197"/>
      <c r="L11" s="191">
        <v>1.4503226825759881</v>
      </c>
      <c r="M11" s="197"/>
      <c r="N11" s="184">
        <v>1.5222155762533929</v>
      </c>
      <c r="O11" s="197"/>
      <c r="P11" s="184">
        <v>1.5976722204143319</v>
      </c>
      <c r="Q11" s="197"/>
      <c r="R11" s="185">
        <v>1.6768692711489865</v>
      </c>
      <c r="S11" s="206"/>
    </row>
    <row r="12" spans="2:20" x14ac:dyDescent="0.4">
      <c r="B12" s="217" t="s">
        <v>186</v>
      </c>
      <c r="D12" s="6">
        <f>D10/$D$10</f>
        <v>1</v>
      </c>
      <c r="F12" s="6">
        <f>F10/$D$10</f>
        <v>1</v>
      </c>
      <c r="H12" s="6">
        <f>H10/$D$10</f>
        <v>1</v>
      </c>
      <c r="J12" s="6">
        <f>J10/$D$10</f>
        <v>1</v>
      </c>
      <c r="L12" s="6">
        <f>L10/$D$10</f>
        <v>1</v>
      </c>
      <c r="N12" s="6">
        <f>N10/$D$10</f>
        <v>1</v>
      </c>
      <c r="P12" s="6">
        <f>P10/$D$10</f>
        <v>1</v>
      </c>
      <c r="R12" s="6">
        <f>R10/$D$10</f>
        <v>1</v>
      </c>
    </row>
    <row r="13" spans="2:20" x14ac:dyDescent="0.4">
      <c r="B13" s="217" t="s">
        <v>60</v>
      </c>
      <c r="D13" s="6">
        <v>1.1200000000000001</v>
      </c>
      <c r="F13" s="6">
        <f>F10/D10</f>
        <v>1</v>
      </c>
      <c r="H13" s="6">
        <f>H10/F10</f>
        <v>1</v>
      </c>
      <c r="J13" s="6">
        <f>J10/H10</f>
        <v>1</v>
      </c>
      <c r="L13" s="6">
        <f>L10/J10</f>
        <v>1</v>
      </c>
      <c r="N13" s="6">
        <f>N10/L10</f>
        <v>1</v>
      </c>
      <c r="P13" s="6">
        <f>P10/N10</f>
        <v>1</v>
      </c>
      <c r="R13" s="6">
        <f>R10/P10</f>
        <v>1</v>
      </c>
    </row>
    <row r="14" spans="2:20" ht="15.6" thickBot="1" x14ac:dyDescent="0.45">
      <c r="B14" s="207"/>
      <c r="L14" s="6"/>
      <c r="N14" s="6"/>
    </row>
    <row r="15" spans="2:20" x14ac:dyDescent="0.4">
      <c r="B15" s="474" t="s">
        <v>9</v>
      </c>
      <c r="C15" s="475"/>
      <c r="D15" s="466">
        <v>22</v>
      </c>
      <c r="E15" s="228"/>
      <c r="F15" s="466">
        <v>23</v>
      </c>
      <c r="G15" s="192"/>
      <c r="H15" s="466">
        <v>24</v>
      </c>
      <c r="I15" s="199"/>
      <c r="J15" s="466">
        <v>25</v>
      </c>
      <c r="K15" s="199"/>
      <c r="L15" s="466">
        <v>26</v>
      </c>
      <c r="M15" s="199"/>
      <c r="N15" s="468">
        <v>27</v>
      </c>
      <c r="O15" s="199"/>
      <c r="P15" s="468">
        <v>28</v>
      </c>
      <c r="Q15" s="199"/>
      <c r="R15" s="466">
        <v>29</v>
      </c>
      <c r="S15" s="201"/>
    </row>
    <row r="16" spans="2:20" ht="15.6" thickBot="1" x14ac:dyDescent="0.45">
      <c r="B16" s="476"/>
      <c r="C16" s="477"/>
      <c r="D16" s="467"/>
      <c r="E16" s="193" t="s">
        <v>152</v>
      </c>
      <c r="F16" s="467"/>
      <c r="G16" s="193" t="s">
        <v>152</v>
      </c>
      <c r="H16" s="467"/>
      <c r="I16" s="193" t="s">
        <v>152</v>
      </c>
      <c r="J16" s="467"/>
      <c r="K16" s="193" t="s">
        <v>152</v>
      </c>
      <c r="L16" s="467"/>
      <c r="M16" s="193" t="s">
        <v>152</v>
      </c>
      <c r="N16" s="469"/>
      <c r="O16" s="193" t="s">
        <v>152</v>
      </c>
      <c r="P16" s="469"/>
      <c r="Q16" s="193" t="s">
        <v>152</v>
      </c>
      <c r="R16" s="467"/>
      <c r="S16" s="202" t="s">
        <v>152</v>
      </c>
      <c r="T16" s="394"/>
    </row>
    <row r="17" spans="1:20" x14ac:dyDescent="0.4">
      <c r="A17" s="18">
        <v>0</v>
      </c>
      <c r="B17" s="216" t="s">
        <v>144</v>
      </c>
      <c r="C17" s="229"/>
      <c r="D17" s="208">
        <f>E17*D4</f>
        <v>1421.7405999999999</v>
      </c>
      <c r="E17" s="209">
        <v>0.7</v>
      </c>
      <c r="F17" s="208">
        <f>F4*G17</f>
        <v>1421.7405999999999</v>
      </c>
      <c r="G17" s="209">
        <f>E17-$A$17</f>
        <v>0.7</v>
      </c>
      <c r="H17" s="208">
        <f>H4*I17</f>
        <v>1421.7405999999999</v>
      </c>
      <c r="I17" s="209">
        <f>G17-$A$17</f>
        <v>0.7</v>
      </c>
      <c r="J17" s="208">
        <f t="shared" ref="J17:J22" si="0">J4*K17</f>
        <v>1421.7405999999999</v>
      </c>
      <c r="K17" s="209">
        <f>I17-$A$17</f>
        <v>0.7</v>
      </c>
      <c r="L17" s="208">
        <f t="shared" ref="L17:L22" si="1">L4*M17</f>
        <v>1421.7405999999999</v>
      </c>
      <c r="M17" s="209">
        <f>K17-$A$17</f>
        <v>0.7</v>
      </c>
      <c r="N17" s="210">
        <f t="shared" ref="N17:N22" si="2">N4*O17</f>
        <v>1421.7405999999999</v>
      </c>
      <c r="O17" s="209">
        <f>M17-$A$17</f>
        <v>0.7</v>
      </c>
      <c r="P17" s="210">
        <f t="shared" ref="P17:P22" si="3">P4*Q17</f>
        <v>1421.7405999999999</v>
      </c>
      <c r="Q17" s="209">
        <f>O17-$A$17</f>
        <v>0.7</v>
      </c>
      <c r="R17" s="208">
        <f>R4*S17</f>
        <v>1421.7405999999999</v>
      </c>
      <c r="S17" s="212">
        <v>0.7</v>
      </c>
      <c r="T17" s="280"/>
    </row>
    <row r="18" spans="1:20" x14ac:dyDescent="0.4">
      <c r="B18" s="217"/>
      <c r="C18" s="219" t="s">
        <v>3</v>
      </c>
      <c r="D18" s="213">
        <f>E18*D5</f>
        <v>1421.7405999999999</v>
      </c>
      <c r="E18" s="214">
        <v>0.7</v>
      </c>
      <c r="F18" s="213">
        <f>F17</f>
        <v>1421.7405999999999</v>
      </c>
      <c r="G18" s="214">
        <f>G17</f>
        <v>0.7</v>
      </c>
      <c r="H18" s="213">
        <f>H5*I18</f>
        <v>1292.208946</v>
      </c>
      <c r="I18" s="214">
        <f>I17</f>
        <v>0.7</v>
      </c>
      <c r="J18" s="213">
        <f t="shared" si="0"/>
        <v>1205.8545099999999</v>
      </c>
      <c r="K18" s="214">
        <f>K17</f>
        <v>0.7</v>
      </c>
      <c r="L18" s="213">
        <f t="shared" si="1"/>
        <v>989.96842000000004</v>
      </c>
      <c r="M18" s="214">
        <f>M17</f>
        <v>0.7</v>
      </c>
      <c r="N18" s="215">
        <f t="shared" si="2"/>
        <v>558.19623999999988</v>
      </c>
      <c r="O18" s="214">
        <f>O17</f>
        <v>0.7</v>
      </c>
      <c r="P18" s="215">
        <f t="shared" si="3"/>
        <v>414.27218000000005</v>
      </c>
      <c r="Q18" s="214">
        <f>Q17</f>
        <v>0.7</v>
      </c>
      <c r="R18" s="213">
        <f>R5*S18</f>
        <v>0</v>
      </c>
      <c r="S18" s="374">
        <f>S17</f>
        <v>0.7</v>
      </c>
      <c r="T18" s="280"/>
    </row>
    <row r="19" spans="1:20" x14ac:dyDescent="0.4">
      <c r="B19" s="217"/>
      <c r="C19" s="222" t="s">
        <v>57</v>
      </c>
      <c r="D19" s="331"/>
      <c r="E19" s="332"/>
      <c r="F19" s="331"/>
      <c r="G19" s="332"/>
      <c r="H19" s="188">
        <f>H6*I19</f>
        <v>129.531654</v>
      </c>
      <c r="I19" s="198">
        <f>I17</f>
        <v>0.7</v>
      </c>
      <c r="J19" s="188">
        <f t="shared" si="0"/>
        <v>215.88609</v>
      </c>
      <c r="K19" s="198">
        <f>K17</f>
        <v>0.7</v>
      </c>
      <c r="L19" s="188">
        <f t="shared" si="1"/>
        <v>431.77217999999999</v>
      </c>
      <c r="M19" s="198">
        <f>M17</f>
        <v>0.7</v>
      </c>
      <c r="N19" s="186">
        <f t="shared" si="2"/>
        <v>863.54435999999998</v>
      </c>
      <c r="O19" s="198">
        <f>O17</f>
        <v>0.7</v>
      </c>
      <c r="P19" s="186">
        <f t="shared" si="3"/>
        <v>1007.4684199999998</v>
      </c>
      <c r="Q19" s="198">
        <f>Q17</f>
        <v>0.7</v>
      </c>
      <c r="R19" s="188">
        <f>S19*R6</f>
        <v>1421.7405999999999</v>
      </c>
      <c r="S19" s="204">
        <f>S17</f>
        <v>0.7</v>
      </c>
    </row>
    <row r="20" spans="1:20" x14ac:dyDescent="0.4">
      <c r="A20" s="18">
        <v>0</v>
      </c>
      <c r="B20" s="224" t="s">
        <v>150</v>
      </c>
      <c r="C20" s="230"/>
      <c r="D20" s="189">
        <f>D7*E20</f>
        <v>17.5</v>
      </c>
      <c r="E20" s="195">
        <f>E17</f>
        <v>0.7</v>
      </c>
      <c r="F20" s="189">
        <f>F7*G20</f>
        <v>17.5</v>
      </c>
      <c r="G20" s="439">
        <f>E20-$A$20</f>
        <v>0.7</v>
      </c>
      <c r="H20" s="189">
        <f>H7*I20</f>
        <v>17.5</v>
      </c>
      <c r="I20" s="194">
        <f>G20-$A$20</f>
        <v>0.7</v>
      </c>
      <c r="J20" s="189">
        <f t="shared" si="0"/>
        <v>17.5</v>
      </c>
      <c r="K20" s="194">
        <f>I20-$A$20</f>
        <v>0.7</v>
      </c>
      <c r="L20" s="189">
        <f t="shared" si="1"/>
        <v>17.5</v>
      </c>
      <c r="M20" s="194">
        <f>K20-$A$20</f>
        <v>0.7</v>
      </c>
      <c r="N20" s="180">
        <f t="shared" si="2"/>
        <v>17.5</v>
      </c>
      <c r="O20" s="194">
        <f>M20-$A$20</f>
        <v>0.7</v>
      </c>
      <c r="P20" s="180">
        <f t="shared" si="3"/>
        <v>17.5</v>
      </c>
      <c r="Q20" s="194">
        <f>O20-$A$20</f>
        <v>0.7</v>
      </c>
      <c r="R20" s="189">
        <f>R7*S20</f>
        <v>17.5</v>
      </c>
      <c r="S20" s="203">
        <v>0.7</v>
      </c>
    </row>
    <row r="21" spans="1:20" x14ac:dyDescent="0.4">
      <c r="B21" s="217"/>
      <c r="C21" s="219" t="s">
        <v>3</v>
      </c>
      <c r="D21" s="213">
        <f>D20</f>
        <v>17.5</v>
      </c>
      <c r="E21" s="214">
        <f>E20</f>
        <v>0.7</v>
      </c>
      <c r="F21" s="213">
        <f>F20</f>
        <v>17.5</v>
      </c>
      <c r="G21" s="214">
        <f>F21/F8</f>
        <v>0.7</v>
      </c>
      <c r="H21" s="213">
        <f>H8*I21</f>
        <v>15.749999999999998</v>
      </c>
      <c r="I21" s="214">
        <f>I20</f>
        <v>0.7</v>
      </c>
      <c r="J21" s="213">
        <f t="shared" si="0"/>
        <v>14</v>
      </c>
      <c r="K21" s="214">
        <f>K20</f>
        <v>0.7</v>
      </c>
      <c r="L21" s="213">
        <f t="shared" si="1"/>
        <v>10.5</v>
      </c>
      <c r="M21" s="214">
        <f>M20</f>
        <v>0.7</v>
      </c>
      <c r="N21" s="213">
        <f t="shared" si="2"/>
        <v>7</v>
      </c>
      <c r="O21" s="214">
        <f>O20</f>
        <v>0.7</v>
      </c>
      <c r="P21" s="213">
        <f t="shared" si="3"/>
        <v>3.5</v>
      </c>
      <c r="Q21" s="214">
        <f>Q20</f>
        <v>0.7</v>
      </c>
      <c r="R21" s="213">
        <f>R8*S21</f>
        <v>0</v>
      </c>
      <c r="S21" s="374">
        <f>S20</f>
        <v>0.7</v>
      </c>
    </row>
    <row r="22" spans="1:20" ht="15.6" thickBot="1" x14ac:dyDescent="0.45">
      <c r="B22" s="226"/>
      <c r="C22" s="227" t="s">
        <v>57</v>
      </c>
      <c r="D22" s="331"/>
      <c r="E22" s="332"/>
      <c r="F22" s="331"/>
      <c r="G22" s="332"/>
      <c r="H22" s="188">
        <f>H20-H21</f>
        <v>1.7500000000000018</v>
      </c>
      <c r="I22" s="194">
        <f>H22/H9</f>
        <v>0.70000000000000073</v>
      </c>
      <c r="J22" s="188">
        <f t="shared" si="0"/>
        <v>3.5</v>
      </c>
      <c r="K22" s="194">
        <f>K20</f>
        <v>0.7</v>
      </c>
      <c r="L22" s="188">
        <f t="shared" si="1"/>
        <v>7</v>
      </c>
      <c r="M22" s="194">
        <f>M20</f>
        <v>0.7</v>
      </c>
      <c r="N22" s="186">
        <f t="shared" si="2"/>
        <v>10.5</v>
      </c>
      <c r="O22" s="194">
        <f>O20</f>
        <v>0.7</v>
      </c>
      <c r="P22" s="186">
        <f t="shared" si="3"/>
        <v>14</v>
      </c>
      <c r="Q22" s="194">
        <f>Q20</f>
        <v>0.7</v>
      </c>
      <c r="R22" s="188">
        <f>R9*S22</f>
        <v>17.5</v>
      </c>
      <c r="S22" s="203">
        <f>S20</f>
        <v>0.7</v>
      </c>
    </row>
    <row r="23" spans="1:20" ht="16.2" thickTop="1" thickBot="1" x14ac:dyDescent="0.45">
      <c r="B23" s="218" t="s">
        <v>20</v>
      </c>
      <c r="C23" s="223"/>
      <c r="D23" s="231">
        <f>D17+D20</f>
        <v>1439.2405999999999</v>
      </c>
      <c r="E23" s="232">
        <f>D23/$D$10</f>
        <v>0.7</v>
      </c>
      <c r="F23" s="231">
        <f>F17+F20</f>
        <v>1439.2405999999999</v>
      </c>
      <c r="G23" s="232">
        <f>F23/$F$10</f>
        <v>0.7</v>
      </c>
      <c r="H23" s="231">
        <f>H17+H20</f>
        <v>1439.2405999999999</v>
      </c>
      <c r="I23" s="232">
        <f>H23/H10</f>
        <v>0.7</v>
      </c>
      <c r="J23" s="231">
        <f>J17+J20</f>
        <v>1439.2405999999999</v>
      </c>
      <c r="K23" s="232">
        <f>J23/J10</f>
        <v>0.7</v>
      </c>
      <c r="L23" s="231">
        <f>L17+L20</f>
        <v>1439.2405999999999</v>
      </c>
      <c r="M23" s="232">
        <f>L23/L10</f>
        <v>0.7</v>
      </c>
      <c r="N23" s="233">
        <f>N17+N20</f>
        <v>1439.2405999999999</v>
      </c>
      <c r="O23" s="232">
        <f>N23/N10</f>
        <v>0.7</v>
      </c>
      <c r="P23" s="233">
        <f>P17+P20</f>
        <v>1439.2405999999999</v>
      </c>
      <c r="Q23" s="232">
        <f>P23/P10</f>
        <v>0.7</v>
      </c>
      <c r="R23" s="231">
        <f>R20+R17</f>
        <v>1439.2405999999999</v>
      </c>
      <c r="S23" s="234">
        <f>R23/R10</f>
        <v>0.7</v>
      </c>
    </row>
    <row r="25" spans="1:20" ht="15.6" thickBot="1" x14ac:dyDescent="0.45">
      <c r="E25" s="237"/>
      <c r="F25" s="1"/>
      <c r="G25" s="237"/>
      <c r="H25" s="1"/>
      <c r="J25" s="1"/>
      <c r="L25" s="1"/>
      <c r="N25" s="1"/>
      <c r="P25" s="1"/>
    </row>
    <row r="26" spans="1:20" outlineLevel="1" x14ac:dyDescent="0.4">
      <c r="B26" s="174"/>
      <c r="C26" s="200"/>
      <c r="D26" s="466">
        <v>22</v>
      </c>
      <c r="E26" s="228"/>
      <c r="F26" s="466">
        <v>23</v>
      </c>
      <c r="G26" s="192"/>
      <c r="H26" s="466">
        <v>24</v>
      </c>
      <c r="I26" s="192"/>
      <c r="J26" s="466">
        <v>25</v>
      </c>
      <c r="K26" s="192"/>
      <c r="L26" s="466">
        <v>26</v>
      </c>
      <c r="M26" s="192"/>
      <c r="N26" s="468">
        <v>27</v>
      </c>
      <c r="O26" s="192"/>
      <c r="P26" s="468">
        <v>28</v>
      </c>
      <c r="Q26" s="192"/>
      <c r="R26" s="466">
        <v>29</v>
      </c>
      <c r="S26" s="258"/>
    </row>
    <row r="27" spans="1:20" outlineLevel="1" x14ac:dyDescent="0.4">
      <c r="B27" s="176"/>
      <c r="D27" s="481"/>
      <c r="E27" s="259" t="s">
        <v>149</v>
      </c>
      <c r="F27" s="481"/>
      <c r="G27" s="259" t="s">
        <v>149</v>
      </c>
      <c r="H27" s="481"/>
      <c r="I27" s="259" t="s">
        <v>149</v>
      </c>
      <c r="J27" s="481"/>
      <c r="K27" s="259" t="s">
        <v>149</v>
      </c>
      <c r="L27" s="481"/>
      <c r="M27" s="259" t="s">
        <v>149</v>
      </c>
      <c r="N27" s="480"/>
      <c r="O27" s="259" t="s">
        <v>149</v>
      </c>
      <c r="P27" s="480"/>
      <c r="Q27" s="259" t="s">
        <v>149</v>
      </c>
      <c r="R27" s="481"/>
      <c r="S27" s="260" t="s">
        <v>149</v>
      </c>
    </row>
    <row r="28" spans="1:20" outlineLevel="1" x14ac:dyDescent="0.4">
      <c r="B28" s="176"/>
      <c r="C28" t="s">
        <v>3</v>
      </c>
      <c r="D28" s="239">
        <f>D17</f>
        <v>1421.7405999999999</v>
      </c>
      <c r="E28" s="240"/>
      <c r="F28" s="239">
        <f>F18</f>
        <v>1421.7405999999999</v>
      </c>
      <c r="G28" s="240"/>
      <c r="H28" s="239">
        <f>H18</f>
        <v>1292.208946</v>
      </c>
      <c r="I28" s="240"/>
      <c r="J28" s="239">
        <f>J18</f>
        <v>1205.8545099999999</v>
      </c>
      <c r="K28" s="240"/>
      <c r="L28" s="239">
        <f>L18</f>
        <v>989.96842000000004</v>
      </c>
      <c r="M28" s="240"/>
      <c r="N28" s="168">
        <f>N18</f>
        <v>558.19623999999988</v>
      </c>
      <c r="O28" s="168"/>
      <c r="P28" s="280">
        <f>P18</f>
        <v>414.27218000000005</v>
      </c>
      <c r="R28" s="280">
        <f>R18</f>
        <v>0</v>
      </c>
      <c r="S28" s="238"/>
    </row>
    <row r="29" spans="1:20" outlineLevel="1" x14ac:dyDescent="0.4">
      <c r="B29" s="478" t="s">
        <v>154</v>
      </c>
      <c r="C29" s="479"/>
      <c r="D29" s="239">
        <f t="shared" ref="D29:D37" si="4">D$17*E29</f>
        <v>298.56552599999998</v>
      </c>
      <c r="E29" s="240">
        <v>0.21</v>
      </c>
      <c r="F29" s="239">
        <f t="shared" ref="F29:F37" si="5">F$17*G29</f>
        <v>298.56552599999998</v>
      </c>
      <c r="G29" s="240">
        <v>0.21</v>
      </c>
      <c r="H29" s="239">
        <f>H$18*I29</f>
        <v>271.36387866000001</v>
      </c>
      <c r="I29" s="240">
        <v>0.21</v>
      </c>
      <c r="J29" s="239">
        <f t="shared" ref="J29:J37" si="6">J$28*K29</f>
        <v>253.22944709999996</v>
      </c>
      <c r="K29" s="240">
        <v>0.21</v>
      </c>
      <c r="L29" s="239">
        <f>L$28*M29</f>
        <v>207.8933682</v>
      </c>
      <c r="M29" s="240">
        <v>0.21</v>
      </c>
      <c r="N29" s="239">
        <f>N$28*O29</f>
        <v>117.22121039999998</v>
      </c>
      <c r="O29" s="240">
        <v>0.21</v>
      </c>
      <c r="P29" s="239">
        <f>P$28*Q29</f>
        <v>86.997157800000011</v>
      </c>
      <c r="Q29" s="240">
        <v>0.21</v>
      </c>
      <c r="R29" s="239">
        <f>R$28*S29</f>
        <v>0</v>
      </c>
      <c r="S29" s="257">
        <v>0.21</v>
      </c>
    </row>
    <row r="30" spans="1:20" ht="18" customHeight="1" outlineLevel="1" x14ac:dyDescent="0.4">
      <c r="B30" s="268" t="s">
        <v>155</v>
      </c>
      <c r="C30" s="396"/>
      <c r="D30" s="270">
        <f t="shared" si="4"/>
        <v>92.413139000000001</v>
      </c>
      <c r="E30" s="271">
        <v>6.5000000000000002E-2</v>
      </c>
      <c r="F30" s="239">
        <f t="shared" si="5"/>
        <v>92.413139000000001</v>
      </c>
      <c r="G30" s="271">
        <v>6.5000000000000002E-2</v>
      </c>
      <c r="H30" s="270">
        <f>H$28*I30</f>
        <v>83.993581489999997</v>
      </c>
      <c r="I30" s="271">
        <v>6.5000000000000002E-2</v>
      </c>
      <c r="J30" s="270">
        <f t="shared" si="6"/>
        <v>78.380543149999994</v>
      </c>
      <c r="K30" s="271">
        <v>6.5000000000000002E-2</v>
      </c>
      <c r="L30" s="270">
        <f>L$28*M30</f>
        <v>64.347947300000001</v>
      </c>
      <c r="M30" s="271">
        <v>6.5000000000000002E-2</v>
      </c>
      <c r="N30" s="270">
        <f>N$28*O30</f>
        <v>36.282755599999994</v>
      </c>
      <c r="O30" s="271">
        <v>6.5000000000000002E-2</v>
      </c>
      <c r="P30" s="270">
        <f>P$28*Q30</f>
        <v>26.927691700000004</v>
      </c>
      <c r="Q30" s="271">
        <v>6.5000000000000002E-2</v>
      </c>
      <c r="R30" s="270">
        <f>R$28*S30</f>
        <v>0</v>
      </c>
      <c r="S30" s="377">
        <v>6.5000000000000002E-2</v>
      </c>
    </row>
    <row r="31" spans="1:20" outlineLevel="1" x14ac:dyDescent="0.4">
      <c r="A31" s="6">
        <f t="shared" ref="A31:A37" si="7">E31/(SUM($E$31:$E$37))</f>
        <v>0.45517241379310341</v>
      </c>
      <c r="B31" s="408" t="s">
        <v>156</v>
      </c>
      <c r="C31" s="397"/>
      <c r="D31" s="239">
        <f t="shared" si="4"/>
        <v>469.174398</v>
      </c>
      <c r="E31" s="240">
        <v>0.33</v>
      </c>
      <c r="F31" s="239">
        <f t="shared" si="5"/>
        <v>469.174398</v>
      </c>
      <c r="G31" s="240">
        <v>0.33</v>
      </c>
      <c r="H31" s="239">
        <f>H$28*I31</f>
        <v>426.42895218000001</v>
      </c>
      <c r="I31" s="240">
        <v>0.33</v>
      </c>
      <c r="J31" s="239">
        <f t="shared" si="6"/>
        <v>397.9319883</v>
      </c>
      <c r="K31" s="240">
        <v>0.33</v>
      </c>
      <c r="L31" s="239">
        <f>L$28*M31</f>
        <v>326.6895786</v>
      </c>
      <c r="M31" s="240">
        <v>0.33</v>
      </c>
      <c r="N31" s="239">
        <f>N$28*O31</f>
        <v>184.20475919999996</v>
      </c>
      <c r="O31" s="240">
        <v>0.33</v>
      </c>
      <c r="P31" s="239">
        <f>P$28*Q31</f>
        <v>136.70981940000001</v>
      </c>
      <c r="Q31" s="240">
        <v>0.33</v>
      </c>
      <c r="R31" s="239">
        <f>R$28*S31</f>
        <v>0</v>
      </c>
      <c r="S31" s="257">
        <v>0.33</v>
      </c>
    </row>
    <row r="32" spans="1:20" ht="25.2" outlineLevel="1" x14ac:dyDescent="0.4">
      <c r="A32" s="6">
        <f t="shared" si="7"/>
        <v>0.10206896551724136</v>
      </c>
      <c r="B32" s="408" t="s">
        <v>157</v>
      </c>
      <c r="D32" s="239">
        <f t="shared" si="4"/>
        <v>105.20880439999999</v>
      </c>
      <c r="E32" s="240">
        <v>7.3999999999999996E-2</v>
      </c>
      <c r="F32" s="239">
        <f t="shared" si="5"/>
        <v>105.20880439999999</v>
      </c>
      <c r="G32" s="240">
        <v>7.3999999999999996E-2</v>
      </c>
      <c r="H32" s="239">
        <f>H$28*I32</f>
        <v>95.62346200399999</v>
      </c>
      <c r="I32" s="240">
        <v>7.3999999999999996E-2</v>
      </c>
      <c r="J32" s="239">
        <f t="shared" si="6"/>
        <v>89.233233739999989</v>
      </c>
      <c r="K32" s="240">
        <v>7.3999999999999996E-2</v>
      </c>
      <c r="L32" s="239">
        <f>L28*M32</f>
        <v>73.25766308</v>
      </c>
      <c r="M32" s="240">
        <v>7.3999999999999996E-2</v>
      </c>
      <c r="N32" s="239">
        <f>N28*O32</f>
        <v>41.306521759999988</v>
      </c>
      <c r="O32" s="240">
        <v>7.3999999999999996E-2</v>
      </c>
      <c r="P32" s="239">
        <f>P28*Q32</f>
        <v>30.656141320000003</v>
      </c>
      <c r="Q32" s="240">
        <v>7.3999999999999996E-2</v>
      </c>
      <c r="R32" s="239">
        <f>R28*S32</f>
        <v>0</v>
      </c>
      <c r="S32" s="257">
        <v>7.3999999999999996E-2</v>
      </c>
    </row>
    <row r="33" spans="1:19" outlineLevel="1" x14ac:dyDescent="0.4">
      <c r="A33" s="6">
        <f t="shared" si="7"/>
        <v>5.5172413793103441E-2</v>
      </c>
      <c r="B33" s="482" t="s">
        <v>158</v>
      </c>
      <c r="C33" s="483"/>
      <c r="D33" s="239">
        <f t="shared" si="4"/>
        <v>56.869623999999995</v>
      </c>
      <c r="E33" s="240">
        <v>0.04</v>
      </c>
      <c r="F33" s="239">
        <f t="shared" si="5"/>
        <v>56.869623999999995</v>
      </c>
      <c r="G33" s="240">
        <v>0.04</v>
      </c>
      <c r="H33" s="239">
        <f>H$28*I33</f>
        <v>51.688357840000002</v>
      </c>
      <c r="I33" s="240">
        <v>0.04</v>
      </c>
      <c r="J33" s="239">
        <f t="shared" si="6"/>
        <v>48.2341804</v>
      </c>
      <c r="K33" s="240">
        <v>0.04</v>
      </c>
      <c r="L33" s="239">
        <f>L$17*M33</f>
        <v>56.869623999999995</v>
      </c>
      <c r="M33" s="240">
        <v>0.04</v>
      </c>
      <c r="N33" s="239">
        <f>N$28*O33</f>
        <v>22.327849599999997</v>
      </c>
      <c r="O33" s="240">
        <v>0.04</v>
      </c>
      <c r="P33" s="239">
        <f>P$28*Q33</f>
        <v>16.570887200000001</v>
      </c>
      <c r="Q33" s="240">
        <v>0.04</v>
      </c>
      <c r="R33" s="239">
        <f>R$28*S33</f>
        <v>0</v>
      </c>
      <c r="S33" s="257">
        <v>0.04</v>
      </c>
    </row>
    <row r="34" spans="1:19" outlineLevel="1" x14ac:dyDescent="0.4">
      <c r="A34" s="6">
        <f t="shared" si="7"/>
        <v>0.11034482758620688</v>
      </c>
      <c r="B34" s="409" t="s">
        <v>159</v>
      </c>
      <c r="D34" s="239">
        <f t="shared" si="4"/>
        <v>113.73924799999999</v>
      </c>
      <c r="E34" s="240">
        <v>0.08</v>
      </c>
      <c r="F34" s="239">
        <f t="shared" si="5"/>
        <v>113.73924799999999</v>
      </c>
      <c r="G34" s="240">
        <v>0.08</v>
      </c>
      <c r="H34" s="239">
        <f>H$28*I34</f>
        <v>103.37671568</v>
      </c>
      <c r="I34" s="240">
        <v>0.08</v>
      </c>
      <c r="J34" s="239">
        <f t="shared" si="6"/>
        <v>96.468360799999999</v>
      </c>
      <c r="K34" s="240">
        <v>0.08</v>
      </c>
      <c r="L34" s="239">
        <f>L$17*M34</f>
        <v>113.73924799999999</v>
      </c>
      <c r="M34" s="240">
        <v>0.08</v>
      </c>
      <c r="N34" s="239">
        <f>N$28*O34</f>
        <v>44.655699199999994</v>
      </c>
      <c r="O34" s="240">
        <v>0.08</v>
      </c>
      <c r="P34" s="239">
        <f>P$28*Q34</f>
        <v>33.141774400000003</v>
      </c>
      <c r="Q34" s="240">
        <v>0.08</v>
      </c>
      <c r="R34" s="239">
        <f>R$28*S34</f>
        <v>0</v>
      </c>
      <c r="S34" s="257">
        <v>0.08</v>
      </c>
    </row>
    <row r="35" spans="1:19" outlineLevel="1" x14ac:dyDescent="0.4">
      <c r="A35" s="6">
        <f t="shared" si="7"/>
        <v>0.22620689655172413</v>
      </c>
      <c r="B35" s="409" t="s">
        <v>160</v>
      </c>
      <c r="D35" s="239">
        <f t="shared" si="4"/>
        <v>233.16545839999998</v>
      </c>
      <c r="E35" s="240">
        <v>0.16400000000000001</v>
      </c>
      <c r="F35" s="239">
        <f t="shared" si="5"/>
        <v>233.16545839999998</v>
      </c>
      <c r="G35" s="240">
        <v>0.16400000000000001</v>
      </c>
      <c r="H35" s="239">
        <f>H$18*I35</f>
        <v>211.92226714400002</v>
      </c>
      <c r="I35" s="240">
        <v>0.16400000000000001</v>
      </c>
      <c r="J35" s="239">
        <f t="shared" si="6"/>
        <v>197.76013963999998</v>
      </c>
      <c r="K35" s="240">
        <v>0.16400000000000001</v>
      </c>
      <c r="L35" s="239">
        <f>L$17*M35</f>
        <v>233.16545839999998</v>
      </c>
      <c r="M35" s="240">
        <v>0.16400000000000001</v>
      </c>
      <c r="N35" s="239">
        <f>N$28*O35</f>
        <v>91.544183359999977</v>
      </c>
      <c r="O35" s="240">
        <v>0.16400000000000001</v>
      </c>
      <c r="P35" s="239">
        <f>P$28*Q35</f>
        <v>67.94063752000001</v>
      </c>
      <c r="Q35" s="240">
        <v>0.16400000000000001</v>
      </c>
      <c r="R35" s="239">
        <f>R$28*S35</f>
        <v>0</v>
      </c>
      <c r="S35" s="257">
        <v>0.16400000000000001</v>
      </c>
    </row>
    <row r="36" spans="1:19" outlineLevel="1" x14ac:dyDescent="0.4">
      <c r="A36" s="6">
        <f t="shared" si="7"/>
        <v>4.6896551724137932E-2</v>
      </c>
      <c r="B36" s="409" t="s">
        <v>161</v>
      </c>
      <c r="D36" s="239">
        <f t="shared" si="4"/>
        <v>48.339180399999996</v>
      </c>
      <c r="E36" s="240">
        <v>3.4000000000000002E-2</v>
      </c>
      <c r="F36" s="239">
        <f t="shared" si="5"/>
        <v>48.339180399999996</v>
      </c>
      <c r="G36" s="240">
        <v>3.4000000000000002E-2</v>
      </c>
      <c r="H36" s="239">
        <f>H$28*I36</f>
        <v>43.935104164000002</v>
      </c>
      <c r="I36" s="240">
        <v>3.4000000000000002E-2</v>
      </c>
      <c r="J36" s="239">
        <f t="shared" si="6"/>
        <v>40.999053339999996</v>
      </c>
      <c r="K36" s="240">
        <v>3.4000000000000002E-2</v>
      </c>
      <c r="L36" s="239">
        <f>L$17*M36</f>
        <v>48.339180399999996</v>
      </c>
      <c r="M36" s="240">
        <v>3.4000000000000002E-2</v>
      </c>
      <c r="N36" s="239">
        <f>N$28*O36</f>
        <v>18.978672159999999</v>
      </c>
      <c r="O36" s="240">
        <v>3.4000000000000002E-2</v>
      </c>
      <c r="P36" s="239">
        <f>P$28*Q36</f>
        <v>14.085254120000002</v>
      </c>
      <c r="Q36" s="240">
        <v>3.4000000000000002E-2</v>
      </c>
      <c r="R36" s="239">
        <f>R$28*S36</f>
        <v>0</v>
      </c>
      <c r="S36" s="257">
        <v>3.4000000000000002E-2</v>
      </c>
    </row>
    <row r="37" spans="1:19" outlineLevel="1" x14ac:dyDescent="0.4">
      <c r="A37" s="6">
        <f t="shared" si="7"/>
        <v>4.1379310344827579E-3</v>
      </c>
      <c r="B37" s="409" t="s">
        <v>16</v>
      </c>
      <c r="D37" s="239">
        <f t="shared" si="4"/>
        <v>4.2652218</v>
      </c>
      <c r="E37" s="240">
        <v>3.0000000000000001E-3</v>
      </c>
      <c r="F37" s="239">
        <f t="shared" si="5"/>
        <v>4.2652218</v>
      </c>
      <c r="G37" s="240">
        <v>3.0000000000000001E-3</v>
      </c>
      <c r="H37" s="239">
        <f>H$28*I37</f>
        <v>3.876626838</v>
      </c>
      <c r="I37" s="240">
        <v>3.0000000000000001E-3</v>
      </c>
      <c r="J37" s="239">
        <f t="shared" si="6"/>
        <v>3.6175635299999995</v>
      </c>
      <c r="K37" s="240">
        <v>3.0000000000000001E-3</v>
      </c>
      <c r="L37" s="239">
        <f>L$17*M37</f>
        <v>4.2652218</v>
      </c>
      <c r="M37" s="240">
        <v>3.0000000000000001E-3</v>
      </c>
      <c r="N37" s="239">
        <f>N$28*O37</f>
        <v>1.6745887199999996</v>
      </c>
      <c r="O37" s="240">
        <v>3.0000000000000001E-3</v>
      </c>
      <c r="P37" s="239">
        <f>P$28*Q37</f>
        <v>1.2428165400000002</v>
      </c>
      <c r="Q37" s="240">
        <v>3.0000000000000001E-3</v>
      </c>
      <c r="R37" s="239">
        <f>R$28*S37</f>
        <v>0</v>
      </c>
      <c r="S37" s="257">
        <v>3.0000000000000001E-3</v>
      </c>
    </row>
    <row r="38" spans="1:19" outlineLevel="1" x14ac:dyDescent="0.4">
      <c r="B38" s="176"/>
      <c r="C38" t="s">
        <v>57</v>
      </c>
      <c r="F38" s="168"/>
      <c r="G38" s="168"/>
      <c r="H38" s="168">
        <f>H19</f>
        <v>129.531654</v>
      </c>
      <c r="I38" s="122"/>
      <c r="J38" s="168">
        <f>J19</f>
        <v>215.88609</v>
      </c>
      <c r="K38" s="168"/>
      <c r="L38" s="168">
        <f>L19</f>
        <v>431.77217999999999</v>
      </c>
      <c r="M38" s="168"/>
      <c r="N38" s="239">
        <f>N19</f>
        <v>863.54435999999998</v>
      </c>
      <c r="O38" s="168"/>
      <c r="P38" s="280">
        <f>P19</f>
        <v>1007.4684199999998</v>
      </c>
      <c r="R38" s="280">
        <f>R19</f>
        <v>1421.7405999999999</v>
      </c>
      <c r="S38" s="238"/>
    </row>
    <row r="39" spans="1:19" outlineLevel="1" x14ac:dyDescent="0.4">
      <c r="B39" s="478" t="s">
        <v>154</v>
      </c>
      <c r="C39" s="479"/>
      <c r="D39" s="398"/>
      <c r="E39" s="398"/>
      <c r="F39" s="252"/>
      <c r="G39" s="252"/>
      <c r="H39" s="378">
        <f t="shared" ref="H39:H47" si="8">H$38*I39</f>
        <v>27.201647340000001</v>
      </c>
      <c r="I39" s="379">
        <v>0.21</v>
      </c>
      <c r="J39" s="378">
        <f t="shared" ref="J39:J47" si="9">J$38*K39</f>
        <v>45.336078899999997</v>
      </c>
      <c r="K39" s="380">
        <v>0.21</v>
      </c>
      <c r="L39" s="378">
        <f t="shared" ref="L39:L47" si="10">L$38*M39</f>
        <v>90.672157799999994</v>
      </c>
      <c r="M39" s="380">
        <v>0.21</v>
      </c>
      <c r="N39" s="239">
        <f t="shared" ref="N39:N48" si="11">N$38*O39</f>
        <v>181.34431559999999</v>
      </c>
      <c r="O39" s="263">
        <v>0.21</v>
      </c>
      <c r="P39" s="239">
        <f t="shared" ref="P39:P47" si="12">P$38*Q39</f>
        <v>211.56836819999995</v>
      </c>
      <c r="Q39" s="240">
        <v>0.21</v>
      </c>
      <c r="R39" s="239">
        <f t="shared" ref="R39:R48" si="13">R$38*S39</f>
        <v>298.56552599999998</v>
      </c>
      <c r="S39" s="257">
        <v>0.21</v>
      </c>
    </row>
    <row r="40" spans="1:19" outlineLevel="1" x14ac:dyDescent="0.4">
      <c r="B40" s="478" t="s">
        <v>155</v>
      </c>
      <c r="C40" s="479"/>
      <c r="D40" s="398"/>
      <c r="E40" s="398"/>
      <c r="F40" s="252"/>
      <c r="G40" s="252"/>
      <c r="H40" s="378">
        <f t="shared" si="8"/>
        <v>8.4195575100000006</v>
      </c>
      <c r="I40" s="381">
        <v>6.5000000000000002E-2</v>
      </c>
      <c r="J40" s="378">
        <f t="shared" si="9"/>
        <v>14.03259585</v>
      </c>
      <c r="K40" s="380">
        <v>6.5000000000000002E-2</v>
      </c>
      <c r="L40" s="378">
        <f t="shared" si="10"/>
        <v>28.0651917</v>
      </c>
      <c r="M40" s="380">
        <v>6.5000000000000002E-2</v>
      </c>
      <c r="N40" s="303">
        <f t="shared" si="11"/>
        <v>56.130383399999999</v>
      </c>
      <c r="O40" s="263">
        <v>6.5000000000000002E-2</v>
      </c>
      <c r="P40" s="239">
        <f t="shared" si="12"/>
        <v>65.48544729999999</v>
      </c>
      <c r="Q40" s="240">
        <v>6.5000000000000002E-2</v>
      </c>
      <c r="R40" s="239">
        <f t="shared" si="13"/>
        <v>92.413139000000001</v>
      </c>
      <c r="S40" s="257">
        <v>6.5000000000000002E-2</v>
      </c>
    </row>
    <row r="41" spans="1:19" outlineLevel="1" x14ac:dyDescent="0.4">
      <c r="B41" s="408" t="s">
        <v>156</v>
      </c>
      <c r="C41" s="397"/>
      <c r="D41" s="398"/>
      <c r="E41" s="398"/>
      <c r="F41" s="252"/>
      <c r="G41" s="252"/>
      <c r="H41" s="378">
        <f t="shared" si="8"/>
        <v>42.74544582</v>
      </c>
      <c r="I41" s="379">
        <v>0.33</v>
      </c>
      <c r="J41" s="378">
        <f t="shared" si="9"/>
        <v>71.242409699999996</v>
      </c>
      <c r="K41" s="380">
        <v>0.33</v>
      </c>
      <c r="L41" s="382">
        <f t="shared" si="10"/>
        <v>142.48481939999999</v>
      </c>
      <c r="M41" s="380">
        <v>0.33</v>
      </c>
      <c r="N41" s="239">
        <f t="shared" si="11"/>
        <v>284.96963879999998</v>
      </c>
      <c r="O41" s="263">
        <v>0.33</v>
      </c>
      <c r="P41" s="239">
        <f t="shared" si="12"/>
        <v>332.46457859999992</v>
      </c>
      <c r="Q41" s="240">
        <v>0.33</v>
      </c>
      <c r="R41" s="239">
        <f t="shared" si="13"/>
        <v>469.174398</v>
      </c>
      <c r="S41" s="257">
        <v>0.33</v>
      </c>
    </row>
    <row r="42" spans="1:19" ht="25.2" outlineLevel="1" x14ac:dyDescent="0.4">
      <c r="B42" s="408" t="s">
        <v>157</v>
      </c>
      <c r="D42" s="398"/>
      <c r="E42" s="398"/>
      <c r="F42" s="252"/>
      <c r="G42" s="252"/>
      <c r="H42" s="378">
        <f t="shared" si="8"/>
        <v>9.5853423959999997</v>
      </c>
      <c r="I42" s="379">
        <v>7.3999999999999996E-2</v>
      </c>
      <c r="J42" s="378">
        <f t="shared" si="9"/>
        <v>15.975570659999999</v>
      </c>
      <c r="K42" s="380">
        <v>7.3999999999999996E-2</v>
      </c>
      <c r="L42" s="382">
        <f t="shared" si="10"/>
        <v>31.951141319999998</v>
      </c>
      <c r="M42" s="380">
        <v>7.3999999999999996E-2</v>
      </c>
      <c r="N42" s="239">
        <f t="shared" si="11"/>
        <v>63.902282639999996</v>
      </c>
      <c r="O42" s="240">
        <v>7.3999999999999996E-2</v>
      </c>
      <c r="P42" s="239">
        <f t="shared" si="12"/>
        <v>74.552663079999988</v>
      </c>
      <c r="Q42" s="240">
        <v>7.3999999999999996E-2</v>
      </c>
      <c r="R42" s="239">
        <f t="shared" si="13"/>
        <v>105.20880439999999</v>
      </c>
      <c r="S42" s="257">
        <v>7.3999999999999996E-2</v>
      </c>
    </row>
    <row r="43" spans="1:19" outlineLevel="1" x14ac:dyDescent="0.4">
      <c r="B43" s="482" t="s">
        <v>158</v>
      </c>
      <c r="C43" s="483"/>
      <c r="D43" s="398"/>
      <c r="E43" s="398"/>
      <c r="F43" s="252"/>
      <c r="G43" s="252"/>
      <c r="H43" s="378">
        <f t="shared" si="8"/>
        <v>5.1812661599999998</v>
      </c>
      <c r="I43" s="379">
        <v>0.04</v>
      </c>
      <c r="J43" s="378">
        <f t="shared" si="9"/>
        <v>8.6354436000000003</v>
      </c>
      <c r="K43" s="380">
        <v>0.04</v>
      </c>
      <c r="L43" s="382">
        <f t="shared" si="10"/>
        <v>17.270887200000001</v>
      </c>
      <c r="M43" s="380">
        <v>0.04</v>
      </c>
      <c r="N43" s="239">
        <f t="shared" si="11"/>
        <v>34.541774400000001</v>
      </c>
      <c r="O43" s="240">
        <v>0.04</v>
      </c>
      <c r="P43" s="239">
        <f t="shared" si="12"/>
        <v>40.298736799999993</v>
      </c>
      <c r="Q43" s="240">
        <v>0.04</v>
      </c>
      <c r="R43" s="239">
        <f t="shared" si="13"/>
        <v>56.869623999999995</v>
      </c>
      <c r="S43" s="257">
        <v>0.04</v>
      </c>
    </row>
    <row r="44" spans="1:19" outlineLevel="1" x14ac:dyDescent="0.4">
      <c r="B44" s="409" t="s">
        <v>159</v>
      </c>
      <c r="D44" s="398"/>
      <c r="E44" s="398"/>
      <c r="F44" s="252"/>
      <c r="G44" s="252"/>
      <c r="H44" s="378">
        <f t="shared" si="8"/>
        <v>10.36253232</v>
      </c>
      <c r="I44" s="379">
        <v>0.08</v>
      </c>
      <c r="J44" s="378">
        <f t="shared" si="9"/>
        <v>17.270887200000001</v>
      </c>
      <c r="K44" s="380">
        <v>0.08</v>
      </c>
      <c r="L44" s="382">
        <f t="shared" si="10"/>
        <v>34.541774400000001</v>
      </c>
      <c r="M44" s="380">
        <v>0.08</v>
      </c>
      <c r="N44" s="239">
        <f t="shared" si="11"/>
        <v>69.083548800000003</v>
      </c>
      <c r="O44" s="240">
        <v>0.08</v>
      </c>
      <c r="P44" s="239">
        <f t="shared" si="12"/>
        <v>80.597473599999987</v>
      </c>
      <c r="Q44" s="240">
        <v>0.08</v>
      </c>
      <c r="R44" s="239">
        <f t="shared" si="13"/>
        <v>113.73924799999999</v>
      </c>
      <c r="S44" s="257">
        <v>0.08</v>
      </c>
    </row>
    <row r="45" spans="1:19" outlineLevel="1" x14ac:dyDescent="0.4">
      <c r="B45" s="409" t="s">
        <v>160</v>
      </c>
      <c r="D45" s="398"/>
      <c r="E45" s="398"/>
      <c r="F45" s="252"/>
      <c r="G45" s="252"/>
      <c r="H45" s="378">
        <f t="shared" si="8"/>
        <v>21.243191256000003</v>
      </c>
      <c r="I45" s="379">
        <v>0.16400000000000001</v>
      </c>
      <c r="J45" s="378">
        <f t="shared" si="9"/>
        <v>35.40531876</v>
      </c>
      <c r="K45" s="380">
        <v>0.16400000000000001</v>
      </c>
      <c r="L45" s="382">
        <f t="shared" si="10"/>
        <v>70.81063752</v>
      </c>
      <c r="M45" s="380">
        <v>0.16400000000000001</v>
      </c>
      <c r="N45" s="239">
        <f t="shared" si="11"/>
        <v>141.62127504</v>
      </c>
      <c r="O45" s="240">
        <v>0.16400000000000001</v>
      </c>
      <c r="P45" s="239">
        <f t="shared" si="12"/>
        <v>165.22482087999998</v>
      </c>
      <c r="Q45" s="240">
        <v>0.16400000000000001</v>
      </c>
      <c r="R45" s="239">
        <f t="shared" si="13"/>
        <v>233.16545839999998</v>
      </c>
      <c r="S45" s="257">
        <v>0.16400000000000001</v>
      </c>
    </row>
    <row r="46" spans="1:19" outlineLevel="1" x14ac:dyDescent="0.4">
      <c r="B46" s="409" t="s">
        <v>161</v>
      </c>
      <c r="D46" s="398"/>
      <c r="E46" s="398"/>
      <c r="F46" s="252"/>
      <c r="G46" s="252"/>
      <c r="H46" s="378">
        <f t="shared" si="8"/>
        <v>4.4040762360000008</v>
      </c>
      <c r="I46" s="379">
        <v>3.4000000000000002E-2</v>
      </c>
      <c r="J46" s="378">
        <f t="shared" si="9"/>
        <v>7.3401270600000004</v>
      </c>
      <c r="K46" s="380">
        <v>3.4000000000000002E-2</v>
      </c>
      <c r="L46" s="382">
        <f t="shared" si="10"/>
        <v>14.680254120000001</v>
      </c>
      <c r="M46" s="380">
        <v>3.4000000000000002E-2</v>
      </c>
      <c r="N46" s="239">
        <f t="shared" si="11"/>
        <v>29.360508240000001</v>
      </c>
      <c r="O46" s="240">
        <v>3.4000000000000002E-2</v>
      </c>
      <c r="P46" s="239">
        <f t="shared" si="12"/>
        <v>34.253926279999995</v>
      </c>
      <c r="Q46" s="240">
        <v>3.4000000000000002E-2</v>
      </c>
      <c r="R46" s="239">
        <f t="shared" si="13"/>
        <v>48.339180399999996</v>
      </c>
      <c r="S46" s="257">
        <v>3.4000000000000002E-2</v>
      </c>
    </row>
    <row r="47" spans="1:19" ht="15.6" outlineLevel="1" thickBot="1" x14ac:dyDescent="0.45">
      <c r="B47" s="244" t="s">
        <v>16</v>
      </c>
      <c r="C47" s="207"/>
      <c r="D47" s="253"/>
      <c r="E47" s="253"/>
      <c r="F47" s="254"/>
      <c r="G47" s="254"/>
      <c r="H47" s="383">
        <f t="shared" si="8"/>
        <v>0.38859496200000004</v>
      </c>
      <c r="I47" s="386">
        <v>3.0000000000000001E-3</v>
      </c>
      <c r="J47" s="383">
        <f t="shared" si="9"/>
        <v>0.64765826999999998</v>
      </c>
      <c r="K47" s="384">
        <v>3.0000000000000001E-3</v>
      </c>
      <c r="L47" s="385">
        <f t="shared" si="10"/>
        <v>1.29531654</v>
      </c>
      <c r="M47" s="384">
        <v>3.0000000000000001E-3</v>
      </c>
      <c r="N47" s="265">
        <f t="shared" si="11"/>
        <v>2.5906330799999999</v>
      </c>
      <c r="O47" s="264">
        <v>3.0000000000000001E-3</v>
      </c>
      <c r="P47" s="265">
        <f t="shared" si="12"/>
        <v>3.0224052599999993</v>
      </c>
      <c r="Q47" s="264">
        <v>3.0000000000000001E-3</v>
      </c>
      <c r="R47" s="265">
        <f t="shared" si="13"/>
        <v>4.2652218</v>
      </c>
      <c r="S47" s="266">
        <v>3.0000000000000001E-3</v>
      </c>
    </row>
    <row r="48" spans="1:19" x14ac:dyDescent="0.4">
      <c r="B48" s="410"/>
      <c r="N48" s="4">
        <f t="shared" si="11"/>
        <v>863.54435999999998</v>
      </c>
      <c r="O48" s="6">
        <f>SUM(O39:O47)</f>
        <v>1</v>
      </c>
      <c r="R48" s="4">
        <f t="shared" si="13"/>
        <v>1421.7405999999999</v>
      </c>
      <c r="S48" s="6">
        <f>SUM(S39:S47)</f>
        <v>1</v>
      </c>
    </row>
    <row r="49" spans="2:20" ht="15.6" thickBot="1" x14ac:dyDescent="0.45">
      <c r="B49" s="410"/>
      <c r="P49" s="4"/>
      <c r="R49" s="4"/>
    </row>
    <row r="50" spans="2:20" x14ac:dyDescent="0.4">
      <c r="B50" s="474" t="s">
        <v>29</v>
      </c>
      <c r="C50" s="475"/>
      <c r="D50" s="466">
        <v>22</v>
      </c>
      <c r="E50" s="228"/>
      <c r="F50" s="466">
        <v>23</v>
      </c>
      <c r="G50" s="192"/>
      <c r="H50" s="466">
        <v>24</v>
      </c>
      <c r="I50" s="199"/>
      <c r="J50" s="466">
        <v>25</v>
      </c>
      <c r="K50" s="199"/>
      <c r="L50" s="466">
        <v>26</v>
      </c>
      <c r="M50" s="199"/>
      <c r="N50" s="466">
        <v>27</v>
      </c>
      <c r="O50" s="199"/>
      <c r="P50" s="466">
        <v>28</v>
      </c>
      <c r="Q50" s="199"/>
      <c r="R50" s="466">
        <v>29</v>
      </c>
      <c r="S50" s="201"/>
    </row>
    <row r="51" spans="2:20" ht="15.6" thickBot="1" x14ac:dyDescent="0.45">
      <c r="B51" s="476"/>
      <c r="C51" s="477"/>
      <c r="D51" s="467"/>
      <c r="E51" s="193" t="s">
        <v>151</v>
      </c>
      <c r="F51" s="467"/>
      <c r="G51" s="193" t="s">
        <v>151</v>
      </c>
      <c r="H51" s="467"/>
      <c r="I51" s="193" t="s">
        <v>151</v>
      </c>
      <c r="J51" s="467"/>
      <c r="K51" s="193" t="s">
        <v>151</v>
      </c>
      <c r="L51" s="467"/>
      <c r="M51" s="193" t="s">
        <v>151</v>
      </c>
      <c r="N51" s="469"/>
      <c r="O51" s="193" t="s">
        <v>151</v>
      </c>
      <c r="P51" s="469"/>
      <c r="Q51" s="193" t="s">
        <v>151</v>
      </c>
      <c r="R51" s="467"/>
      <c r="S51" s="235" t="s">
        <v>151</v>
      </c>
    </row>
    <row r="52" spans="2:20" x14ac:dyDescent="0.4">
      <c r="B52" s="216" t="s">
        <v>144</v>
      </c>
      <c r="C52" s="229"/>
      <c r="D52" s="208">
        <f>D4-D17</f>
        <v>609.31740000000013</v>
      </c>
      <c r="E52" s="209">
        <v>0.3</v>
      </c>
      <c r="F52" s="208">
        <f>F4-F17</f>
        <v>609.31740000000013</v>
      </c>
      <c r="G52" s="209">
        <f>1-G17</f>
        <v>0.30000000000000004</v>
      </c>
      <c r="H52" s="208">
        <f t="shared" ref="H52:H58" si="14">H4-H17</f>
        <v>609.31740000000013</v>
      </c>
      <c r="I52" s="209">
        <f t="shared" ref="I52:I58" si="15">1-I17</f>
        <v>0.30000000000000004</v>
      </c>
      <c r="J52" s="208">
        <f>J4-J17</f>
        <v>609.31740000000013</v>
      </c>
      <c r="K52" s="209">
        <f>1-K17</f>
        <v>0.30000000000000004</v>
      </c>
      <c r="L52" s="208">
        <f>L4-L17</f>
        <v>609.31740000000013</v>
      </c>
      <c r="M52" s="209">
        <f>1-M17</f>
        <v>0.30000000000000004</v>
      </c>
      <c r="N52" s="210">
        <f>N4-N17</f>
        <v>609.31740000000013</v>
      </c>
      <c r="O52" s="209">
        <f>1-O17</f>
        <v>0.30000000000000004</v>
      </c>
      <c r="P52" s="210">
        <f>P4-P17</f>
        <v>609.31740000000013</v>
      </c>
      <c r="Q52" s="209">
        <f>1-Q17</f>
        <v>0.30000000000000004</v>
      </c>
      <c r="R52" s="208">
        <f>R4-R17</f>
        <v>609.31740000000013</v>
      </c>
      <c r="S52" s="212">
        <f>1-S17</f>
        <v>0.30000000000000004</v>
      </c>
    </row>
    <row r="53" spans="2:20" x14ac:dyDescent="0.4">
      <c r="B53" s="217"/>
      <c r="C53" s="219" t="s">
        <v>3</v>
      </c>
      <c r="D53" s="213">
        <f>D52</f>
        <v>609.31740000000013</v>
      </c>
      <c r="E53" s="214">
        <v>0.3</v>
      </c>
      <c r="F53" s="213">
        <f>F52</f>
        <v>609.31740000000013</v>
      </c>
      <c r="G53" s="214">
        <f>G52</f>
        <v>0.30000000000000004</v>
      </c>
      <c r="H53" s="213">
        <f t="shared" si="14"/>
        <v>553.80383400000005</v>
      </c>
      <c r="I53" s="214">
        <f t="shared" si="15"/>
        <v>0.30000000000000004</v>
      </c>
      <c r="J53" s="213">
        <f>J5-J18</f>
        <v>516.79479000000015</v>
      </c>
      <c r="K53" s="214">
        <f>1-K18</f>
        <v>0.30000000000000004</v>
      </c>
      <c r="L53" s="213">
        <f>L5*M53</f>
        <v>424.27218000000011</v>
      </c>
      <c r="M53" s="214">
        <f>1-M18</f>
        <v>0.30000000000000004</v>
      </c>
      <c r="N53" s="215">
        <f>N5-N18</f>
        <v>239.22696000000008</v>
      </c>
      <c r="O53" s="214">
        <f>1-O18</f>
        <v>0.30000000000000004</v>
      </c>
      <c r="P53" s="215">
        <f>P5-P18</f>
        <v>177.54522000000009</v>
      </c>
      <c r="Q53" s="214">
        <f>1-Q18</f>
        <v>0.30000000000000004</v>
      </c>
      <c r="R53" s="213">
        <f>R5*S53</f>
        <v>0</v>
      </c>
      <c r="S53" s="374">
        <f>S52</f>
        <v>0.30000000000000004</v>
      </c>
      <c r="T53" s="280"/>
    </row>
    <row r="54" spans="2:20" x14ac:dyDescent="0.4">
      <c r="B54" s="217"/>
      <c r="C54" s="222" t="s">
        <v>57</v>
      </c>
      <c r="D54" s="331"/>
      <c r="E54" s="332"/>
      <c r="F54" s="331"/>
      <c r="G54" s="332"/>
      <c r="H54" s="188">
        <f t="shared" si="14"/>
        <v>55.513565999999997</v>
      </c>
      <c r="I54" s="198">
        <f t="shared" si="15"/>
        <v>0.30000000000000004</v>
      </c>
      <c r="J54" s="188">
        <f>J6-J19</f>
        <v>92.522610000000014</v>
      </c>
      <c r="K54" s="198">
        <f>1-K19</f>
        <v>0.30000000000000004</v>
      </c>
      <c r="L54" s="188">
        <f>L52-L53</f>
        <v>185.04522000000003</v>
      </c>
      <c r="M54" s="198">
        <f>1-M19</f>
        <v>0.30000000000000004</v>
      </c>
      <c r="N54" s="186">
        <f>N6-N19</f>
        <v>370.09044000000006</v>
      </c>
      <c r="O54" s="198">
        <f>1-O19</f>
        <v>0.30000000000000004</v>
      </c>
      <c r="P54" s="186">
        <f>P6-P19</f>
        <v>431.77218000000005</v>
      </c>
      <c r="Q54" s="198">
        <f>1-Q19</f>
        <v>0.30000000000000004</v>
      </c>
      <c r="R54" s="188">
        <f>R6-R19</f>
        <v>609.31740000000013</v>
      </c>
      <c r="S54" s="204">
        <f>1-S19</f>
        <v>0.30000000000000004</v>
      </c>
    </row>
    <row r="55" spans="2:20" x14ac:dyDescent="0.4">
      <c r="B55" s="224" t="s">
        <v>150</v>
      </c>
      <c r="C55" s="230"/>
      <c r="D55" s="189">
        <f>D7-D20</f>
        <v>7.5</v>
      </c>
      <c r="E55" s="195">
        <f>1-E20</f>
        <v>0.30000000000000004</v>
      </c>
      <c r="F55" s="189">
        <f>F7-F20</f>
        <v>7.5</v>
      </c>
      <c r="G55" s="195">
        <f>1-G20</f>
        <v>0.30000000000000004</v>
      </c>
      <c r="H55" s="189">
        <f t="shared" si="14"/>
        <v>7.5</v>
      </c>
      <c r="I55" s="194">
        <f t="shared" si="15"/>
        <v>0.30000000000000004</v>
      </c>
      <c r="J55" s="189">
        <f>J56+J57</f>
        <v>7.5000000000000009</v>
      </c>
      <c r="K55" s="194">
        <f>J55/J7</f>
        <v>0.30000000000000004</v>
      </c>
      <c r="L55" s="189">
        <f>L7-L20</f>
        <v>7.5</v>
      </c>
      <c r="M55" s="194">
        <f>1-M20</f>
        <v>0.30000000000000004</v>
      </c>
      <c r="N55" s="180">
        <f>N7-N20</f>
        <v>7.5</v>
      </c>
      <c r="O55" s="194">
        <f>1-O20</f>
        <v>0.30000000000000004</v>
      </c>
      <c r="P55" s="180">
        <f>P7-P20</f>
        <v>7.5</v>
      </c>
      <c r="Q55" s="194">
        <f>1-Q20</f>
        <v>0.30000000000000004</v>
      </c>
      <c r="R55" s="189">
        <f>R7-R20</f>
        <v>7.5</v>
      </c>
      <c r="S55" s="203">
        <f>1-S20</f>
        <v>0.30000000000000004</v>
      </c>
    </row>
    <row r="56" spans="2:20" x14ac:dyDescent="0.4">
      <c r="B56" s="217"/>
      <c r="C56" s="219" t="s">
        <v>3</v>
      </c>
      <c r="D56" s="213">
        <f>D55</f>
        <v>7.5</v>
      </c>
      <c r="E56" s="214">
        <f>E55</f>
        <v>0.30000000000000004</v>
      </c>
      <c r="F56" s="213">
        <f>F55</f>
        <v>7.5</v>
      </c>
      <c r="G56" s="214">
        <f>G55</f>
        <v>0.30000000000000004</v>
      </c>
      <c r="H56" s="213">
        <f t="shared" si="14"/>
        <v>6.7500000000000018</v>
      </c>
      <c r="I56" s="214">
        <f t="shared" si="15"/>
        <v>0.30000000000000004</v>
      </c>
      <c r="J56" s="213">
        <f>J8*K56</f>
        <v>6.0000000000000009</v>
      </c>
      <c r="K56" s="214">
        <f>1-K21</f>
        <v>0.30000000000000004</v>
      </c>
      <c r="L56" s="213">
        <f>L8*M56</f>
        <v>9</v>
      </c>
      <c r="M56" s="214">
        <v>0.6</v>
      </c>
      <c r="N56" s="215">
        <f>N55-N57</f>
        <v>3</v>
      </c>
      <c r="O56" s="214">
        <f>N56/N8</f>
        <v>0.3</v>
      </c>
      <c r="P56" s="215">
        <f>P8*Q56</f>
        <v>1.5000000000000002</v>
      </c>
      <c r="Q56" s="214">
        <f>Q55</f>
        <v>0.30000000000000004</v>
      </c>
      <c r="R56" s="213">
        <f>R8*S56</f>
        <v>0</v>
      </c>
      <c r="S56" s="374">
        <f>S55</f>
        <v>0.30000000000000004</v>
      </c>
    </row>
    <row r="57" spans="2:20" ht="15.6" thickBot="1" x14ac:dyDescent="0.45">
      <c r="B57" s="226"/>
      <c r="C57" s="227" t="s">
        <v>57</v>
      </c>
      <c r="D57" s="331"/>
      <c r="E57" s="332"/>
      <c r="F57" s="331"/>
      <c r="G57" s="332"/>
      <c r="H57" s="188">
        <f t="shared" si="14"/>
        <v>0.74999999999999822</v>
      </c>
      <c r="I57" s="194">
        <f t="shared" si="15"/>
        <v>0.29999999999999927</v>
      </c>
      <c r="J57" s="188">
        <f>J9*K57</f>
        <v>1.5000000000000002</v>
      </c>
      <c r="K57" s="194">
        <f>1-K22</f>
        <v>0.30000000000000004</v>
      </c>
      <c r="L57" s="188">
        <f>L9-L22</f>
        <v>3</v>
      </c>
      <c r="M57" s="194">
        <f>1-M22</f>
        <v>0.30000000000000004</v>
      </c>
      <c r="N57" s="186">
        <f>N9-N22</f>
        <v>4.5</v>
      </c>
      <c r="O57" s="194">
        <f>1-O22</f>
        <v>0.30000000000000004</v>
      </c>
      <c r="P57" s="186">
        <f>P9-P22</f>
        <v>6</v>
      </c>
      <c r="Q57" s="194">
        <f>1-Q22</f>
        <v>0.30000000000000004</v>
      </c>
      <c r="R57" s="188">
        <f>R9-R22</f>
        <v>7.5</v>
      </c>
      <c r="S57" s="203">
        <f>1-S22</f>
        <v>0.30000000000000004</v>
      </c>
    </row>
    <row r="58" spans="2:20" ht="16.2" thickTop="1" thickBot="1" x14ac:dyDescent="0.45">
      <c r="B58" s="218" t="s">
        <v>20</v>
      </c>
      <c r="C58" s="223"/>
      <c r="D58" s="231">
        <f>D52+D55</f>
        <v>616.81740000000013</v>
      </c>
      <c r="E58" s="232">
        <f>D58/$D$10</f>
        <v>0.30000000000000004</v>
      </c>
      <c r="F58" s="231">
        <f>F52+F55</f>
        <v>616.81740000000013</v>
      </c>
      <c r="G58" s="232">
        <f>F58/F10</f>
        <v>0.30000000000000004</v>
      </c>
      <c r="H58" s="231">
        <f t="shared" si="14"/>
        <v>616.81740000000013</v>
      </c>
      <c r="I58" s="232">
        <f t="shared" si="15"/>
        <v>0.30000000000000004</v>
      </c>
      <c r="J58" s="231">
        <f>J10-J23</f>
        <v>616.81740000000013</v>
      </c>
      <c r="K58" s="232">
        <f>1-K23</f>
        <v>0.30000000000000004</v>
      </c>
      <c r="L58" s="231">
        <f>L10-L23</f>
        <v>616.81740000000013</v>
      </c>
      <c r="M58" s="232">
        <f>1-M23</f>
        <v>0.30000000000000004</v>
      </c>
      <c r="N58" s="233">
        <f>N10-N23</f>
        <v>616.81740000000013</v>
      </c>
      <c r="O58" s="232">
        <f>1-O23</f>
        <v>0.30000000000000004</v>
      </c>
      <c r="P58" s="233">
        <f>P10-P23</f>
        <v>616.81740000000013</v>
      </c>
      <c r="Q58" s="232">
        <f>1-Q23</f>
        <v>0.30000000000000004</v>
      </c>
      <c r="R58" s="231">
        <f>R10-R23</f>
        <v>616.81740000000013</v>
      </c>
      <c r="S58" s="234">
        <f>1-S23</f>
        <v>0.30000000000000004</v>
      </c>
    </row>
    <row r="60" spans="2:20" x14ac:dyDescent="0.4">
      <c r="D60" s="4"/>
      <c r="P60" s="4"/>
    </row>
    <row r="61" spans="2:20" x14ac:dyDescent="0.4">
      <c r="B61" s="29"/>
      <c r="C61" s="335" t="s">
        <v>3</v>
      </c>
      <c r="D61" s="293">
        <f>D52*E61</f>
        <v>609.31740000000013</v>
      </c>
      <c r="E61" s="294">
        <v>1</v>
      </c>
      <c r="F61" s="293">
        <f>F52*G61</f>
        <v>609.31740000000013</v>
      </c>
      <c r="G61" s="294">
        <v>1</v>
      </c>
      <c r="H61" s="293">
        <f>H52-H68</f>
        <v>553.80383400000017</v>
      </c>
      <c r="I61" s="294"/>
      <c r="J61" s="293">
        <f>J53</f>
        <v>516.79479000000015</v>
      </c>
      <c r="K61" s="294">
        <v>1</v>
      </c>
      <c r="L61" s="293">
        <f>L53</f>
        <v>424.27218000000011</v>
      </c>
      <c r="M61" s="294">
        <v>1</v>
      </c>
      <c r="N61" s="293">
        <f>N53</f>
        <v>239.22696000000008</v>
      </c>
      <c r="O61" s="294">
        <v>1</v>
      </c>
      <c r="P61" s="293">
        <f>P53</f>
        <v>177.54522000000009</v>
      </c>
      <c r="Q61" s="294">
        <v>1</v>
      </c>
      <c r="R61" s="438">
        <f>R53</f>
        <v>0</v>
      </c>
      <c r="S61" s="390" t="e">
        <f>R61/R61</f>
        <v>#DIV/0!</v>
      </c>
    </row>
    <row r="62" spans="2:20" x14ac:dyDescent="0.4">
      <c r="B62" s="33" t="s">
        <v>163</v>
      </c>
      <c r="C62" s="343"/>
      <c r="D62" s="168">
        <f t="shared" ref="D62:D67" si="16">E62*$D$52</f>
        <v>357.32467767552151</v>
      </c>
      <c r="E62" s="122">
        <v>0.58643438981969243</v>
      </c>
      <c r="F62" s="168">
        <f t="shared" ref="F62:F67" si="17">G62*F$52</f>
        <v>357.32467767552151</v>
      </c>
      <c r="G62" s="122">
        <v>0.58643438981969243</v>
      </c>
      <c r="H62" s="168">
        <f>H61*I$62</f>
        <v>324.76961347159607</v>
      </c>
      <c r="I62" s="122">
        <v>0.58643438981969198</v>
      </c>
      <c r="J62" s="168">
        <f>J61*K$62</f>
        <v>303.06623733564618</v>
      </c>
      <c r="K62" s="122">
        <v>0.58643438981969243</v>
      </c>
      <c r="L62" s="168">
        <f>L61*M$62</f>
        <v>248.80779699577079</v>
      </c>
      <c r="M62" s="122">
        <v>0.58643438981969243</v>
      </c>
      <c r="N62" s="168">
        <f>N61*O$62</f>
        <v>140.29091631602</v>
      </c>
      <c r="O62" s="122">
        <v>0.58643438981969243</v>
      </c>
      <c r="P62" s="168">
        <f>P61*Q$62</f>
        <v>104.11862275610311</v>
      </c>
      <c r="Q62" s="122">
        <v>0.58643438981969243</v>
      </c>
      <c r="R62" s="378">
        <f>R61*S$62</f>
        <v>0</v>
      </c>
      <c r="S62" s="391">
        <v>0.58643438981969243</v>
      </c>
    </row>
    <row r="63" spans="2:20" x14ac:dyDescent="0.4">
      <c r="B63" s="33" t="s">
        <v>164</v>
      </c>
      <c r="C63" s="343"/>
      <c r="D63" s="168">
        <f t="shared" si="16"/>
        <v>31.488845289292914</v>
      </c>
      <c r="E63" s="122">
        <v>5.1678887373465633E-2</v>
      </c>
      <c r="F63" s="168">
        <f t="shared" si="17"/>
        <v>31.488845289292914</v>
      </c>
      <c r="G63" s="122">
        <v>5.1678887373465633E-2</v>
      </c>
      <c r="H63" s="168">
        <f>H$61*I63</f>
        <v>28.619965964279466</v>
      </c>
      <c r="I63" s="122">
        <v>5.1678887373465633E-2</v>
      </c>
      <c r="J63" s="168">
        <f>J$61*K63</f>
        <v>26.707379747603831</v>
      </c>
      <c r="K63" s="122">
        <v>5.1678887373465633E-2</v>
      </c>
      <c r="L63" s="168">
        <f>L$61*M63</f>
        <v>21.925914205914744</v>
      </c>
      <c r="M63" s="122">
        <v>5.1678887373465633E-2</v>
      </c>
      <c r="N63" s="168">
        <f>N$61*O63</f>
        <v>12.362983122536573</v>
      </c>
      <c r="O63" s="122">
        <v>5.1678887373465633E-2</v>
      </c>
      <c r="P63" s="168">
        <f>P$61*Q63</f>
        <v>9.1753394280771818</v>
      </c>
      <c r="Q63" s="122">
        <v>5.1678887373465633E-2</v>
      </c>
      <c r="R63" s="378">
        <f>R$61*S63</f>
        <v>0</v>
      </c>
      <c r="S63" s="391">
        <v>5.1678887373465633E-2</v>
      </c>
    </row>
    <row r="64" spans="2:20" x14ac:dyDescent="0.4">
      <c r="B64" s="33" t="s">
        <v>165</v>
      </c>
      <c r="C64" s="343"/>
      <c r="D64" s="168">
        <f t="shared" si="16"/>
        <v>101.95539353814489</v>
      </c>
      <c r="E64" s="122">
        <v>0.16732723132171323</v>
      </c>
      <c r="F64" s="168">
        <f t="shared" si="17"/>
        <v>101.95539353814489</v>
      </c>
      <c r="G64" s="122">
        <v>0.16732723132171323</v>
      </c>
      <c r="H64" s="168">
        <f>H$61*I64</f>
        <v>92.666462238569707</v>
      </c>
      <c r="I64" s="122">
        <v>0.16732723132171323</v>
      </c>
      <c r="J64" s="168">
        <f>J$61*K64</f>
        <v>86.473841372186243</v>
      </c>
      <c r="K64" s="122">
        <v>0.16732723132171323</v>
      </c>
      <c r="L64" s="168">
        <f>L$61*M64</f>
        <v>70.992289206227568</v>
      </c>
      <c r="M64" s="122">
        <v>0.16732723132171323</v>
      </c>
      <c r="N64" s="168">
        <f>N$61*O64</f>
        <v>40.029184874310253</v>
      </c>
      <c r="O64" s="122">
        <v>0.16732723132171323</v>
      </c>
      <c r="P64" s="168">
        <f>P$61*Q64</f>
        <v>29.708150097004481</v>
      </c>
      <c r="Q64" s="122">
        <v>0.16732723132171323</v>
      </c>
      <c r="R64" s="378">
        <f>R$61*S64</f>
        <v>0</v>
      </c>
      <c r="S64" s="391">
        <v>0.16732723132171323</v>
      </c>
    </row>
    <row r="65" spans="2:19" x14ac:dyDescent="0.4">
      <c r="B65" s="33" t="s">
        <v>166</v>
      </c>
      <c r="C65" s="343"/>
      <c r="D65" s="168">
        <f t="shared" si="16"/>
        <v>78.052614303232048</v>
      </c>
      <c r="E65" s="122">
        <v>0.12809844968030132</v>
      </c>
      <c r="F65" s="168">
        <f t="shared" si="17"/>
        <v>78.052614303232048</v>
      </c>
      <c r="G65" s="122">
        <v>0.12809844968030132</v>
      </c>
      <c r="H65" s="168">
        <f>H$61*I65</f>
        <v>70.941412562406967</v>
      </c>
      <c r="I65" s="122">
        <v>0.12809844968030132</v>
      </c>
      <c r="J65" s="168">
        <f>J$61*K65</f>
        <v>66.200611401856904</v>
      </c>
      <c r="K65" s="122">
        <v>0.12809844968030132</v>
      </c>
      <c r="L65" s="168">
        <f>L$61*M65</f>
        <v>54.34860850048176</v>
      </c>
      <c r="M65" s="122">
        <v>0.12809844968030132</v>
      </c>
      <c r="N65" s="168">
        <f>N$61*O65</f>
        <v>30.644602697731465</v>
      </c>
      <c r="O65" s="122">
        <v>0.12809844968030132</v>
      </c>
      <c r="P65" s="168">
        <f>P$61*Q65</f>
        <v>22.743267430148038</v>
      </c>
      <c r="Q65" s="122">
        <v>0.12809844968030132</v>
      </c>
      <c r="R65" s="378">
        <f>R$61*S65</f>
        <v>0</v>
      </c>
      <c r="S65" s="391">
        <v>0.12809844968030132</v>
      </c>
    </row>
    <row r="66" spans="2:19" x14ac:dyDescent="0.4">
      <c r="B66" s="33" t="s">
        <v>161</v>
      </c>
      <c r="C66" s="343"/>
      <c r="D66" s="168">
        <f t="shared" si="16"/>
        <v>32.500956112126033</v>
      </c>
      <c r="E66" s="122">
        <v>5.3339944193495914E-2</v>
      </c>
      <c r="F66" s="168">
        <f t="shared" si="17"/>
        <v>32.500956112126033</v>
      </c>
      <c r="G66" s="122">
        <v>5.3339944193495914E-2</v>
      </c>
      <c r="H66" s="168">
        <f>H$61*I66</f>
        <v>29.539865599704083</v>
      </c>
      <c r="I66" s="122">
        <v>5.3339944193495914E-2</v>
      </c>
      <c r="J66" s="168">
        <f>J$61*K66</f>
        <v>27.565805258089448</v>
      </c>
      <c r="K66" s="122">
        <v>5.3339944193495914E-2</v>
      </c>
      <c r="L66" s="168">
        <f>L$61*M66</f>
        <v>22.630654404052859</v>
      </c>
      <c r="M66" s="122">
        <v>5.3339944193495914E-2</v>
      </c>
      <c r="N66" s="168">
        <f>N$61*O66</f>
        <v>12.760352695979684</v>
      </c>
      <c r="O66" s="122">
        <v>5.3339944193495914E-2</v>
      </c>
      <c r="P66" s="168">
        <f>P$61*Q66</f>
        <v>9.4702521266219595</v>
      </c>
      <c r="Q66" s="122">
        <v>5.3339944193495914E-2</v>
      </c>
      <c r="R66" s="378">
        <f>R$61*S66</f>
        <v>0</v>
      </c>
      <c r="S66" s="391">
        <v>5.3339944193495914E-2</v>
      </c>
    </row>
    <row r="67" spans="2:19" ht="15.6" thickBot="1" x14ac:dyDescent="0.45">
      <c r="B67" s="33" t="s">
        <v>16</v>
      </c>
      <c r="C67" s="343"/>
      <c r="D67" s="168">
        <f t="shared" si="16"/>
        <v>7.9949130816827054</v>
      </c>
      <c r="E67" s="122">
        <v>1.3121097611331473E-2</v>
      </c>
      <c r="F67" s="168">
        <f t="shared" si="17"/>
        <v>7.9949130816827054</v>
      </c>
      <c r="G67" s="122">
        <v>1.3121097611331473E-2</v>
      </c>
      <c r="H67" s="168">
        <f>H$61*I67</f>
        <v>7.2665141634436141</v>
      </c>
      <c r="I67" s="122">
        <v>1.3121097611331473E-2</v>
      </c>
      <c r="J67" s="168">
        <f>J$61*K67</f>
        <v>6.7809148846175527</v>
      </c>
      <c r="K67" s="122">
        <v>1.3121097611331473E-2</v>
      </c>
      <c r="L67" s="168">
        <f>L$61*M67</f>
        <v>5.5669166875523981</v>
      </c>
      <c r="M67" s="122">
        <v>1.3121097611331473E-2</v>
      </c>
      <c r="N67" s="168">
        <f>N$61*O67</f>
        <v>3.1389202934220908</v>
      </c>
      <c r="O67" s="122">
        <v>1.3121097611331473E-2</v>
      </c>
      <c r="P67" s="168">
        <f>P$61*Q67</f>
        <v>2.3295881620453218</v>
      </c>
      <c r="Q67" s="122">
        <v>1.3121097611331473E-2</v>
      </c>
      <c r="R67" s="378">
        <f>R$61*S67</f>
        <v>0</v>
      </c>
      <c r="S67" s="391">
        <v>1.3121097611331473E-2</v>
      </c>
    </row>
    <row r="68" spans="2:19" x14ac:dyDescent="0.4">
      <c r="B68" s="339"/>
      <c r="C68" s="246" t="s">
        <v>57</v>
      </c>
      <c r="D68" s="249"/>
      <c r="E68" s="249"/>
      <c r="F68" s="250"/>
      <c r="G68" s="250"/>
      <c r="H68" s="248">
        <f>H54</f>
        <v>55.513565999999997</v>
      </c>
      <c r="I68" s="247">
        <v>1</v>
      </c>
      <c r="J68" s="248">
        <f>J54</f>
        <v>92.522610000000014</v>
      </c>
      <c r="K68" s="247">
        <v>1</v>
      </c>
      <c r="L68" s="248">
        <f>L54</f>
        <v>185.04522000000003</v>
      </c>
      <c r="M68" s="247">
        <v>1</v>
      </c>
      <c r="N68" s="248">
        <f>N54</f>
        <v>370.09044000000006</v>
      </c>
      <c r="O68" s="247">
        <v>1</v>
      </c>
      <c r="P68" s="248">
        <f>P54</f>
        <v>431.77218000000005</v>
      </c>
      <c r="Q68" s="247">
        <v>1</v>
      </c>
      <c r="R68" s="248">
        <f>R54</f>
        <v>609.31740000000013</v>
      </c>
      <c r="S68" s="340">
        <v>1</v>
      </c>
    </row>
    <row r="69" spans="2:19" x14ac:dyDescent="0.4">
      <c r="B69" s="33" t="s">
        <v>163</v>
      </c>
      <c r="C69" s="343"/>
      <c r="D69" s="398"/>
      <c r="E69" s="398"/>
      <c r="F69" s="252"/>
      <c r="G69" s="252"/>
      <c r="H69" s="168">
        <f t="shared" ref="H69:H74" si="18">H$68*I69</f>
        <v>32.55506420392522</v>
      </c>
      <c r="I69" s="122">
        <v>0.58643438981969243</v>
      </c>
      <c r="J69" s="168">
        <f t="shared" ref="J69:J74" si="19">J$68*K69</f>
        <v>54.258440339875378</v>
      </c>
      <c r="K69" s="122">
        <v>0.58643438981969243</v>
      </c>
      <c r="L69" s="168">
        <f t="shared" ref="L69:L74" si="20">L$68*M69</f>
        <v>108.51688067975076</v>
      </c>
      <c r="M69" s="122">
        <v>0.58643438981969243</v>
      </c>
      <c r="N69" s="168">
        <f t="shared" ref="N69:N74" si="21">N$68*O69</f>
        <v>217.03376135950151</v>
      </c>
      <c r="O69" s="122">
        <v>0.58643438981969243</v>
      </c>
      <c r="P69" s="168">
        <f t="shared" ref="P69:P74" si="22">P$68*Q69</f>
        <v>253.20605491941842</v>
      </c>
      <c r="Q69" s="122">
        <v>0.58643438981969243</v>
      </c>
      <c r="R69" s="168">
        <f t="shared" ref="R69:R74" si="23">R$68*S69</f>
        <v>357.32467767552151</v>
      </c>
      <c r="S69" s="68">
        <v>0.58643438981969243</v>
      </c>
    </row>
    <row r="70" spans="2:19" x14ac:dyDescent="0.4">
      <c r="B70" s="33" t="s">
        <v>164</v>
      </c>
      <c r="C70" s="343"/>
      <c r="D70" s="398"/>
      <c r="E70" s="398"/>
      <c r="F70" s="252"/>
      <c r="G70" s="252"/>
      <c r="H70" s="168">
        <f t="shared" si="18"/>
        <v>2.868879325013451</v>
      </c>
      <c r="I70" s="122">
        <v>5.1678887373465633E-2</v>
      </c>
      <c r="J70" s="168">
        <f t="shared" si="19"/>
        <v>4.7814655416890854</v>
      </c>
      <c r="K70" s="122">
        <v>5.1678887373465633E-2</v>
      </c>
      <c r="L70" s="168">
        <f t="shared" si="20"/>
        <v>9.5629310833781709</v>
      </c>
      <c r="M70" s="122">
        <v>5.1678887373465633E-2</v>
      </c>
      <c r="N70" s="168">
        <f t="shared" si="21"/>
        <v>19.125862166756342</v>
      </c>
      <c r="O70" s="122">
        <v>5.1678887373465633E-2</v>
      </c>
      <c r="P70" s="168">
        <f t="shared" si="22"/>
        <v>22.313505861215734</v>
      </c>
      <c r="Q70" s="122">
        <v>5.1678887373465633E-2</v>
      </c>
      <c r="R70" s="168">
        <f t="shared" si="23"/>
        <v>31.488845289292914</v>
      </c>
      <c r="S70" s="68">
        <v>5.1678887373465633E-2</v>
      </c>
    </row>
    <row r="71" spans="2:19" x14ac:dyDescent="0.4">
      <c r="B71" s="33" t="s">
        <v>165</v>
      </c>
      <c r="C71" s="343"/>
      <c r="D71" s="398"/>
      <c r="E71" s="398"/>
      <c r="F71" s="252"/>
      <c r="G71" s="252"/>
      <c r="H71" s="168">
        <f t="shared" si="18"/>
        <v>9.2889312995751947</v>
      </c>
      <c r="I71" s="122">
        <v>0.16732723132171323</v>
      </c>
      <c r="J71" s="168">
        <f t="shared" si="19"/>
        <v>15.481552165958661</v>
      </c>
      <c r="K71" s="122">
        <v>0.16732723132171323</v>
      </c>
      <c r="L71" s="168">
        <f t="shared" si="20"/>
        <v>30.963104331917322</v>
      </c>
      <c r="M71" s="122">
        <v>0.16732723132171323</v>
      </c>
      <c r="N71" s="168">
        <f t="shared" si="21"/>
        <v>61.926208663834643</v>
      </c>
      <c r="O71" s="122">
        <v>0.16732723132171323</v>
      </c>
      <c r="P71" s="168">
        <f t="shared" si="22"/>
        <v>72.247243441140412</v>
      </c>
      <c r="Q71" s="122">
        <v>0.16732723132171323</v>
      </c>
      <c r="R71" s="168">
        <f t="shared" si="23"/>
        <v>101.95539353814489</v>
      </c>
      <c r="S71" s="68">
        <v>0.16732723132171323</v>
      </c>
    </row>
    <row r="72" spans="2:19" x14ac:dyDescent="0.4">
      <c r="B72" s="33" t="s">
        <v>166</v>
      </c>
      <c r="C72" s="343"/>
      <c r="D72" s="398"/>
      <c r="E72" s="398"/>
      <c r="F72" s="252"/>
      <c r="G72" s="252"/>
      <c r="H72" s="168">
        <f t="shared" si="18"/>
        <v>7.111201740825086</v>
      </c>
      <c r="I72" s="122">
        <v>0.12809844968030132</v>
      </c>
      <c r="J72" s="168">
        <f t="shared" si="19"/>
        <v>11.852002901375146</v>
      </c>
      <c r="K72" s="122">
        <v>0.12809844968030132</v>
      </c>
      <c r="L72" s="168">
        <f t="shared" si="20"/>
        <v>23.704005802750292</v>
      </c>
      <c r="M72" s="122">
        <v>0.12809844968030132</v>
      </c>
      <c r="N72" s="168">
        <f t="shared" si="21"/>
        <v>47.408011605500583</v>
      </c>
      <c r="O72" s="122">
        <v>0.12809844968030132</v>
      </c>
      <c r="P72" s="168">
        <f t="shared" si="22"/>
        <v>55.30934687308401</v>
      </c>
      <c r="Q72" s="122">
        <v>0.12809844968030132</v>
      </c>
      <c r="R72" s="168">
        <f t="shared" si="23"/>
        <v>78.052614303232048</v>
      </c>
      <c r="S72" s="68">
        <v>0.12809844968030132</v>
      </c>
    </row>
    <row r="73" spans="2:19" x14ac:dyDescent="0.4">
      <c r="B73" s="33" t="s">
        <v>161</v>
      </c>
      <c r="C73" s="343"/>
      <c r="D73" s="398"/>
      <c r="E73" s="398"/>
      <c r="F73" s="252"/>
      <c r="G73" s="252"/>
      <c r="H73" s="168">
        <f t="shared" si="18"/>
        <v>2.961090512421952</v>
      </c>
      <c r="I73" s="122">
        <v>5.3339944193495914E-2</v>
      </c>
      <c r="J73" s="168">
        <f t="shared" si="19"/>
        <v>4.9351508540365874</v>
      </c>
      <c r="K73" s="122">
        <v>5.3339944193495914E-2</v>
      </c>
      <c r="L73" s="168">
        <f t="shared" si="20"/>
        <v>9.8703017080731748</v>
      </c>
      <c r="M73" s="122">
        <v>5.3339944193495914E-2</v>
      </c>
      <c r="N73" s="168">
        <f t="shared" si="21"/>
        <v>19.74060341614635</v>
      </c>
      <c r="O73" s="122">
        <v>5.3339944193495914E-2</v>
      </c>
      <c r="P73" s="168">
        <f t="shared" si="22"/>
        <v>23.030703985504076</v>
      </c>
      <c r="Q73" s="122">
        <v>5.3339944193495914E-2</v>
      </c>
      <c r="R73" s="168">
        <f t="shared" si="23"/>
        <v>32.500956112126033</v>
      </c>
      <c r="S73" s="68">
        <v>5.3339944193495914E-2</v>
      </c>
    </row>
    <row r="74" spans="2:19" x14ac:dyDescent="0.4">
      <c r="B74" s="35" t="s">
        <v>16</v>
      </c>
      <c r="C74" s="344"/>
      <c r="D74" s="341"/>
      <c r="E74" s="341"/>
      <c r="F74" s="342"/>
      <c r="G74" s="342"/>
      <c r="H74" s="114">
        <f t="shared" si="18"/>
        <v>0.72839891823909209</v>
      </c>
      <c r="I74" s="289">
        <v>1.3121097611331473E-2</v>
      </c>
      <c r="J74" s="114">
        <f t="shared" si="19"/>
        <v>1.2139981970651537</v>
      </c>
      <c r="K74" s="289">
        <v>1.3121097611331473E-2</v>
      </c>
      <c r="L74" s="114">
        <f t="shared" si="20"/>
        <v>2.4279963941303073</v>
      </c>
      <c r="M74" s="289">
        <v>1.3121097611331473E-2</v>
      </c>
      <c r="N74" s="114">
        <f t="shared" si="21"/>
        <v>4.8559927882606146</v>
      </c>
      <c r="O74" s="289">
        <v>1.3121097611331473E-2</v>
      </c>
      <c r="P74" s="114">
        <f t="shared" si="22"/>
        <v>5.6653249196373832</v>
      </c>
      <c r="Q74" s="289">
        <v>1.3121097611331473E-2</v>
      </c>
      <c r="R74" s="114">
        <f t="shared" si="23"/>
        <v>7.9949130816827054</v>
      </c>
      <c r="S74" s="117">
        <v>1.3121097611331473E-2</v>
      </c>
    </row>
  </sheetData>
  <mergeCells count="40">
    <mergeCell ref="N26:N27"/>
    <mergeCell ref="L50:L51"/>
    <mergeCell ref="N50:N51"/>
    <mergeCell ref="L26:L27"/>
    <mergeCell ref="B43:C43"/>
    <mergeCell ref="B50:C51"/>
    <mergeCell ref="B39:C39"/>
    <mergeCell ref="B33:C33"/>
    <mergeCell ref="B40:C40"/>
    <mergeCell ref="P50:P51"/>
    <mergeCell ref="R50:R51"/>
    <mergeCell ref="B2:C3"/>
    <mergeCell ref="B15:C16"/>
    <mergeCell ref="D50:D51"/>
    <mergeCell ref="F50:F51"/>
    <mergeCell ref="H50:H51"/>
    <mergeCell ref="J50:J51"/>
    <mergeCell ref="B29:C29"/>
    <mergeCell ref="P2:P3"/>
    <mergeCell ref="P26:P27"/>
    <mergeCell ref="R26:R27"/>
    <mergeCell ref="D26:D27"/>
    <mergeCell ref="F26:F27"/>
    <mergeCell ref="H26:H27"/>
    <mergeCell ref="J26:J27"/>
    <mergeCell ref="R2:R3"/>
    <mergeCell ref="D15:D16"/>
    <mergeCell ref="F15:F16"/>
    <mergeCell ref="H15:H16"/>
    <mergeCell ref="J15:J16"/>
    <mergeCell ref="L15:L16"/>
    <mergeCell ref="N15:N16"/>
    <mergeCell ref="P15:P16"/>
    <mergeCell ref="R15:R16"/>
    <mergeCell ref="N2:N3"/>
    <mergeCell ref="D2:D3"/>
    <mergeCell ref="F2:F3"/>
    <mergeCell ref="H2:H3"/>
    <mergeCell ref="J2:J3"/>
    <mergeCell ref="L2:L3"/>
  </mergeCells>
  <phoneticPr fontId="2"/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54710-A8FF-4174-940F-E45D40173D51}">
  <dimension ref="A1:AU76"/>
  <sheetViews>
    <sheetView topLeftCell="AL40" workbookViewId="0">
      <selection activeCell="L15" sqref="L15"/>
    </sheetView>
  </sheetViews>
  <sheetFormatPr defaultRowHeight="15" x14ac:dyDescent="0.4"/>
  <cols>
    <col min="1" max="1" width="15.5" bestFit="1" customWidth="1"/>
    <col min="2" max="2" width="12.625" customWidth="1"/>
    <col min="3" max="3" width="17.125" style="1" bestFit="1" customWidth="1"/>
    <col min="4" max="4" width="17.125" style="1" customWidth="1"/>
    <col min="5" max="5" width="9.375" style="4" customWidth="1"/>
    <col min="6" max="6" width="8.75" style="4"/>
    <col min="7" max="7" width="7.25" style="4" customWidth="1"/>
    <col min="8" max="8" width="10.375" style="4" bestFit="1" customWidth="1"/>
    <col min="9" max="9" width="8.25" style="4" bestFit="1" customWidth="1"/>
    <col min="10" max="10" width="12.375" style="4" bestFit="1" customWidth="1"/>
    <col min="11" max="11" width="8.75" style="4"/>
    <col min="12" max="12" width="8.75" style="272"/>
    <col min="13" max="16" width="8.75" style="4"/>
    <col min="17" max="17" width="8.75" style="4" hidden="1" customWidth="1"/>
    <col min="18" max="19" width="8.75" style="4"/>
    <col min="20" max="20" width="9.375" style="4" customWidth="1"/>
    <col min="44" max="44" width="0" hidden="1" customWidth="1"/>
    <col min="46" max="46" width="0" hidden="1" customWidth="1"/>
  </cols>
  <sheetData>
    <row r="1" spans="1:47" x14ac:dyDescent="0.4">
      <c r="D1" s="1">
        <v>0.93</v>
      </c>
      <c r="G1" s="4" t="s">
        <v>42</v>
      </c>
      <c r="L1" s="272" t="s">
        <v>64</v>
      </c>
      <c r="R1" s="272" t="s">
        <v>19</v>
      </c>
      <c r="U1" s="4"/>
      <c r="V1" s="4"/>
      <c r="W1" s="272" t="s">
        <v>32</v>
      </c>
      <c r="X1" s="4"/>
      <c r="Y1" s="4"/>
      <c r="Z1" s="4"/>
      <c r="AA1" s="4"/>
      <c r="AB1" s="272" t="s">
        <v>172</v>
      </c>
      <c r="AC1" s="4"/>
      <c r="AD1" s="4"/>
      <c r="AE1" s="4"/>
      <c r="AF1" s="4"/>
      <c r="AG1" s="272" t="s">
        <v>173</v>
      </c>
      <c r="AH1" s="4"/>
      <c r="AI1" s="4"/>
      <c r="AJ1" s="4"/>
      <c r="AK1" s="4"/>
      <c r="AL1" s="272" t="s">
        <v>174</v>
      </c>
      <c r="AM1" s="4"/>
      <c r="AN1" s="4"/>
      <c r="AO1" s="4"/>
      <c r="AP1" s="4"/>
      <c r="AQ1" s="272" t="s">
        <v>43</v>
      </c>
      <c r="AR1" s="4"/>
      <c r="AS1" s="4"/>
      <c r="AT1" s="4"/>
      <c r="AU1" s="4"/>
    </row>
    <row r="2" spans="1:47" ht="18" customHeight="1" x14ac:dyDescent="0.4">
      <c r="C2" s="2" t="s">
        <v>4</v>
      </c>
      <c r="D2" s="2" t="s">
        <v>168</v>
      </c>
      <c r="G2" s="4">
        <f>機器台数４!D29</f>
        <v>298.56552599999998</v>
      </c>
      <c r="H2" s="4" t="s">
        <v>169</v>
      </c>
      <c r="I2" s="4" t="s">
        <v>170</v>
      </c>
      <c r="J2" s="4" t="s">
        <v>171</v>
      </c>
      <c r="K2" s="4" t="s">
        <v>84</v>
      </c>
      <c r="L2" s="272">
        <f>機器台数４!F29</f>
        <v>298.56552599999998</v>
      </c>
      <c r="M2" s="4" t="s">
        <v>169</v>
      </c>
      <c r="N2" s="4" t="s">
        <v>170</v>
      </c>
      <c r="O2" s="4" t="s">
        <v>171</v>
      </c>
      <c r="P2" s="4" t="s">
        <v>84</v>
      </c>
      <c r="R2" s="272">
        <f>機器台数４!H29</f>
        <v>271.36387866000001</v>
      </c>
      <c r="S2" s="4" t="s">
        <v>169</v>
      </c>
      <c r="T2" s="4" t="s">
        <v>170</v>
      </c>
      <c r="U2" s="4" t="s">
        <v>171</v>
      </c>
      <c r="V2" s="4" t="s">
        <v>84</v>
      </c>
      <c r="W2" s="272">
        <f>機器台数４!J29</f>
        <v>253.22944709999996</v>
      </c>
      <c r="X2" s="4" t="s">
        <v>169</v>
      </c>
      <c r="Y2" s="4" t="s">
        <v>170</v>
      </c>
      <c r="Z2" s="4" t="s">
        <v>171</v>
      </c>
      <c r="AA2" s="4" t="s">
        <v>84</v>
      </c>
      <c r="AB2" s="272">
        <f>機器台数４!L29</f>
        <v>207.8933682</v>
      </c>
      <c r="AC2" s="4" t="s">
        <v>169</v>
      </c>
      <c r="AD2" s="4" t="s">
        <v>170</v>
      </c>
      <c r="AE2" s="4" t="s">
        <v>171</v>
      </c>
      <c r="AF2" s="4" t="s">
        <v>84</v>
      </c>
      <c r="AG2" s="272">
        <f>機器台数４!N29</f>
        <v>117.22121039999998</v>
      </c>
      <c r="AH2" s="4" t="s">
        <v>169</v>
      </c>
      <c r="AI2" s="4" t="s">
        <v>170</v>
      </c>
      <c r="AJ2" s="4" t="s">
        <v>171</v>
      </c>
      <c r="AK2" s="4" t="s">
        <v>84</v>
      </c>
      <c r="AL2" s="272">
        <f>機器台数４!S29</f>
        <v>0.21</v>
      </c>
      <c r="AM2" s="4" t="s">
        <v>169</v>
      </c>
      <c r="AN2" s="4" t="s">
        <v>170</v>
      </c>
      <c r="AO2" s="4" t="s">
        <v>171</v>
      </c>
      <c r="AP2" s="4" t="s">
        <v>84</v>
      </c>
      <c r="AQ2" s="272">
        <f>機器台数４!X29</f>
        <v>0</v>
      </c>
      <c r="AR2" s="4" t="s">
        <v>169</v>
      </c>
      <c r="AS2" s="4" t="s">
        <v>170</v>
      </c>
      <c r="AT2" s="4" t="s">
        <v>171</v>
      </c>
      <c r="AU2" s="4" t="s">
        <v>84</v>
      </c>
    </row>
    <row r="3" spans="1:47" x14ac:dyDescent="0.4">
      <c r="B3" t="s">
        <v>2</v>
      </c>
      <c r="C3" s="1" t="s">
        <v>8</v>
      </c>
      <c r="D3" s="1" t="s">
        <v>8</v>
      </c>
      <c r="F3" s="4" t="s">
        <v>21</v>
      </c>
      <c r="G3" s="4">
        <v>0</v>
      </c>
      <c r="H3" s="4">
        <f>G2*(1-G$3)</f>
        <v>298.56552599999998</v>
      </c>
      <c r="I3" s="4">
        <f>G2*G$3</f>
        <v>0</v>
      </c>
      <c r="J3" s="4">
        <f>SUM(J4:J10)</f>
        <v>735.07861521362065</v>
      </c>
      <c r="K3" s="4">
        <f>SUM(K4:K10)</f>
        <v>0</v>
      </c>
      <c r="L3" s="272">
        <v>0</v>
      </c>
      <c r="M3" s="4">
        <f>L2*(1-L$3)</f>
        <v>298.56552599999998</v>
      </c>
      <c r="N3" s="4">
        <f>L2*L$3</f>
        <v>0</v>
      </c>
      <c r="O3" s="4">
        <f>SUM(O4:O10)</f>
        <v>735.07861521362065</v>
      </c>
      <c r="P3" s="4">
        <f>SUM(P4:P10)</f>
        <v>0</v>
      </c>
      <c r="Q3" s="4" t="s">
        <v>21</v>
      </c>
      <c r="R3" s="272"/>
      <c r="S3" s="4">
        <f>R2*(1-R$3)</f>
        <v>271.36387866000001</v>
      </c>
      <c r="T3" s="4">
        <f>機器台数４!H39</f>
        <v>27.201647340000001</v>
      </c>
      <c r="U3" s="4">
        <f>SUM(U4:U10)</f>
        <v>668.10722194494008</v>
      </c>
      <c r="V3" s="4">
        <f>SUM(V4:V10)</f>
        <v>62.28339573987293</v>
      </c>
      <c r="W3" s="272">
        <v>0</v>
      </c>
      <c r="X3" s="4">
        <f>W2*(1-W$3)</f>
        <v>253.22944709999996</v>
      </c>
      <c r="Y3" s="4">
        <f>機器台数４!J39</f>
        <v>45.336078899999997</v>
      </c>
      <c r="Z3" s="4">
        <f>SUM(Z4:Z10)</f>
        <v>623.4596264324864</v>
      </c>
      <c r="AA3" s="4">
        <f>SUM(AA4:AA10)</f>
        <v>103.80565956645486</v>
      </c>
      <c r="AB3" s="6">
        <f>機器台数４!L13</f>
        <v>1</v>
      </c>
      <c r="AC3" s="4">
        <f>機器台数４!L29</f>
        <v>207.8933682</v>
      </c>
      <c r="AD3" s="4">
        <f>機器台数４!L39</f>
        <v>90.672157799999994</v>
      </c>
      <c r="AE3" s="4">
        <f>SUM(AE4:AE10)</f>
        <v>511.84063765135221</v>
      </c>
      <c r="AF3" s="4">
        <f>SUM(AF4:AF10)</f>
        <v>207.61131913290973</v>
      </c>
      <c r="AG3" s="6">
        <f>機器台数４!N13</f>
        <v>1</v>
      </c>
      <c r="AH3" s="4">
        <f>機器台数４!N29</f>
        <v>117.22121039999998</v>
      </c>
      <c r="AI3" s="4">
        <f>機器台数４!N39</f>
        <v>181.34431559999999</v>
      </c>
      <c r="AJ3" s="4">
        <f>SUM(AJ4:AJ10)</f>
        <v>288.6026600890836</v>
      </c>
      <c r="AK3" s="4">
        <f>SUM(AK4:AK10)</f>
        <v>415.22263826581946</v>
      </c>
      <c r="AL3" s="6">
        <f>機器台数４!S13</f>
        <v>0</v>
      </c>
      <c r="AM3" s="4">
        <f>機器台数４!P29</f>
        <v>86.997157800000011</v>
      </c>
      <c r="AN3" s="4">
        <f>機器台数４!P39</f>
        <v>211.56836819999995</v>
      </c>
      <c r="AO3" s="4">
        <f>SUM(AO4:AO10)</f>
        <v>214.19000090166088</v>
      </c>
      <c r="AP3" s="4">
        <f>SUM(AP4:AP10)</f>
        <v>484.4264113101226</v>
      </c>
      <c r="AQ3" s="6">
        <f>機器台数４!X13</f>
        <v>0</v>
      </c>
      <c r="AR3" s="4">
        <f>機器台数４!R29</f>
        <v>0</v>
      </c>
      <c r="AS3" s="4">
        <f>機器台数４!R39</f>
        <v>298.56552599999998</v>
      </c>
      <c r="AT3" s="4">
        <f>SUM(AT4:AT10)</f>
        <v>0</v>
      </c>
      <c r="AU3" s="4">
        <f>SUM(AU4:AU10)</f>
        <v>683.62311214866713</v>
      </c>
    </row>
    <row r="4" spans="1:47" x14ac:dyDescent="0.4">
      <c r="A4" t="s">
        <v>0</v>
      </c>
      <c r="B4">
        <v>1.5</v>
      </c>
      <c r="C4" s="1">
        <v>2.1</v>
      </c>
      <c r="D4" s="1">
        <f t="shared" ref="D4:D35" si="0">C4*$D$1</f>
        <v>1.9530000000000003</v>
      </c>
      <c r="E4" s="4">
        <v>39305</v>
      </c>
      <c r="F4" s="6">
        <v>0.12088750280650926</v>
      </c>
      <c r="H4" s="4">
        <f t="shared" ref="H4:H10" si="1">F4*H$3</f>
        <v>36.092840862251911</v>
      </c>
      <c r="I4" s="4">
        <f t="shared" ref="I4:I10" si="2">$F4*I$3</f>
        <v>0</v>
      </c>
      <c r="J4" s="267">
        <f t="shared" ref="J4:K10" si="3">C4*H4</f>
        <v>75.794965810729011</v>
      </c>
      <c r="K4" s="267">
        <f t="shared" si="3"/>
        <v>0</v>
      </c>
      <c r="L4" s="273"/>
      <c r="M4" s="4">
        <f>F$4*M$3</f>
        <v>36.092840862251911</v>
      </c>
      <c r="N4" s="4">
        <f t="shared" ref="N4:N10" si="4">$F4*N$3</f>
        <v>0</v>
      </c>
      <c r="O4" s="4">
        <f>C$4*M$4</f>
        <v>75.794965810729011</v>
      </c>
      <c r="P4" s="267">
        <f>D$4*N$4</f>
        <v>0</v>
      </c>
      <c r="Q4" s="6">
        <f t="shared" ref="Q4:Q10" si="5">E4/$A$6</f>
        <v>0.12088750280650926</v>
      </c>
      <c r="R4" s="273">
        <f>SUM(S4:S10)</f>
        <v>271.36387865999995</v>
      </c>
      <c r="S4" s="4">
        <f t="shared" ref="S4:T10" si="6">$F4*S$3</f>
        <v>32.804501643095989</v>
      </c>
      <c r="T4" s="4">
        <f t="shared" si="6"/>
        <v>3.2883392191559251</v>
      </c>
      <c r="U4" s="4">
        <f t="shared" ref="U4:U10" si="7">$C4*S4</f>
        <v>68.889453450501577</v>
      </c>
      <c r="V4" s="4">
        <f t="shared" ref="V4:V10" si="8">$D4*T4</f>
        <v>6.4221264950115229</v>
      </c>
      <c r="W4" s="273">
        <f>SUM(X4:X10)</f>
        <v>253.22944709999999</v>
      </c>
      <c r="X4" s="4">
        <f t="shared" ref="X4:Y10" si="9">$F4*X$3</f>
        <v>30.612275496992034</v>
      </c>
      <c r="Y4" s="4">
        <f t="shared" si="9"/>
        <v>5.4805653652598743</v>
      </c>
      <c r="Z4" s="4">
        <f t="shared" ref="Z4:Z10" si="10">$C4*X4</f>
        <v>64.285778543683278</v>
      </c>
      <c r="AA4" s="4">
        <f t="shared" ref="AA4:AA10" si="11">$D4*Y4</f>
        <v>10.703544158352535</v>
      </c>
      <c r="AB4" s="273">
        <f>SUM(AC4:AC10)</f>
        <v>207.89336819999997</v>
      </c>
      <c r="AC4" s="4">
        <f t="shared" ref="AC4:AD10" si="12">$F4*AC$3</f>
        <v>25.131710131732163</v>
      </c>
      <c r="AD4" s="4">
        <f t="shared" si="12"/>
        <v>10.961130730519749</v>
      </c>
      <c r="AE4" s="4">
        <f t="shared" ref="AE4:AE10" si="13">$C4*AC4</f>
        <v>52.776591276637546</v>
      </c>
      <c r="AF4" s="4">
        <f t="shared" ref="AF4:AF10" si="14">$D4*AD4</f>
        <v>21.407088316705071</v>
      </c>
      <c r="AG4" s="273">
        <f>SUM(AH4:AH10)</f>
        <v>117.22121039999996</v>
      </c>
      <c r="AH4" s="4">
        <f t="shared" ref="AH4:AI10" si="15">$F4*AH$3</f>
        <v>14.170579401212409</v>
      </c>
      <c r="AI4" s="4">
        <f t="shared" si="15"/>
        <v>21.922261461039497</v>
      </c>
      <c r="AJ4" s="4">
        <f t="shared" ref="AJ4:AJ10" si="16">$C4*AH4</f>
        <v>29.758216742546061</v>
      </c>
      <c r="AK4" s="4">
        <f t="shared" ref="AK4:AK10" si="17">$D4*AI4</f>
        <v>42.814176633410142</v>
      </c>
      <c r="AL4" s="273">
        <f>SUM(AM4:AM10)</f>
        <v>86.997157800000011</v>
      </c>
      <c r="AM4" s="4">
        <f t="shared" ref="AM4:AN10" si="18">$F4*AM$3</f>
        <v>10.51686915770583</v>
      </c>
      <c r="AN4" s="4">
        <f t="shared" si="18"/>
        <v>25.575971704546077</v>
      </c>
      <c r="AO4" s="4">
        <f t="shared" ref="AO4:AO10" si="19">$C4*AM4</f>
        <v>22.085425231182246</v>
      </c>
      <c r="AP4" s="4">
        <f t="shared" ref="AP4:AP10" si="20">$D4*AN4</f>
        <v>49.949872738978499</v>
      </c>
      <c r="AQ4" s="273">
        <f>SUM(AR4:AR10)</f>
        <v>0</v>
      </c>
      <c r="AR4" s="4">
        <f t="shared" ref="AR4:AS10" si="21">$F4*AR$3</f>
        <v>0</v>
      </c>
      <c r="AS4" s="4">
        <f t="shared" si="21"/>
        <v>36.092840862251911</v>
      </c>
      <c r="AT4" s="4">
        <f t="shared" ref="AT4:AT10" si="22">$C4*AR4</f>
        <v>0</v>
      </c>
      <c r="AU4" s="4">
        <f t="shared" ref="AU4:AU10" si="23">$D4*AS4</f>
        <v>70.489318203977987</v>
      </c>
    </row>
    <row r="5" spans="1:47" x14ac:dyDescent="0.4">
      <c r="A5" t="s">
        <v>1</v>
      </c>
      <c r="B5">
        <v>2</v>
      </c>
      <c r="C5" s="1">
        <v>2.1</v>
      </c>
      <c r="D5" s="1">
        <f t="shared" si="0"/>
        <v>1.9530000000000003</v>
      </c>
      <c r="E5" s="4">
        <v>92478</v>
      </c>
      <c r="F5" s="6">
        <v>0.28442779505254706</v>
      </c>
      <c r="H5" s="4">
        <f t="shared" si="1"/>
        <v>84.92033423888391</v>
      </c>
      <c r="I5" s="4">
        <f t="shared" si="2"/>
        <v>0</v>
      </c>
      <c r="J5" s="267">
        <f t="shared" si="3"/>
        <v>178.33270190165621</v>
      </c>
      <c r="K5" s="267">
        <f t="shared" si="3"/>
        <v>0</v>
      </c>
      <c r="L5" s="273"/>
      <c r="M5" s="4">
        <f t="shared" ref="M5:M10" si="24">$F5*M$3</f>
        <v>84.92033423888391</v>
      </c>
      <c r="N5" s="4">
        <f t="shared" si="4"/>
        <v>0</v>
      </c>
      <c r="O5" s="4">
        <f t="shared" ref="O5:O10" si="25">$C5*$M5</f>
        <v>178.33270190165621</v>
      </c>
      <c r="P5" s="267">
        <f t="shared" ref="P5:P10" si="26">$D5*$N5</f>
        <v>0</v>
      </c>
      <c r="Q5" s="6">
        <f t="shared" si="5"/>
        <v>0.28442779505254706</v>
      </c>
      <c r="R5" s="273">
        <f>SUM(S4:S10)</f>
        <v>271.36387865999995</v>
      </c>
      <c r="S5" s="4">
        <f t="shared" si="6"/>
        <v>77.183429664170731</v>
      </c>
      <c r="T5" s="4">
        <f t="shared" si="6"/>
        <v>7.7369045747131819</v>
      </c>
      <c r="U5" s="4">
        <f t="shared" si="7"/>
        <v>162.08520229475855</v>
      </c>
      <c r="V5" s="267">
        <f t="shared" si="8"/>
        <v>15.110174634414847</v>
      </c>
      <c r="W5" s="273">
        <f>SUM(X4:X10)</f>
        <v>253.22944709999999</v>
      </c>
      <c r="X5" s="4">
        <f t="shared" si="9"/>
        <v>72.025493281028602</v>
      </c>
      <c r="Y5" s="4">
        <f t="shared" si="9"/>
        <v>12.894840957855303</v>
      </c>
      <c r="Z5" s="4">
        <f t="shared" si="10"/>
        <v>151.25353589016007</v>
      </c>
      <c r="AA5" s="267">
        <f t="shared" si="11"/>
        <v>25.18362439069141</v>
      </c>
      <c r="AB5" s="273">
        <f>SUM(AC4:AC10)</f>
        <v>207.89336819999997</v>
      </c>
      <c r="AC5" s="4">
        <f t="shared" si="12"/>
        <v>59.130652323173301</v>
      </c>
      <c r="AD5" s="4">
        <f t="shared" si="12"/>
        <v>25.789681915710606</v>
      </c>
      <c r="AE5" s="4">
        <f t="shared" si="13"/>
        <v>124.17436987866394</v>
      </c>
      <c r="AF5" s="267">
        <f t="shared" si="14"/>
        <v>50.36724878138282</v>
      </c>
      <c r="AG5" s="273">
        <f>SUM(AH4:AH10)</f>
        <v>117.22121039999996</v>
      </c>
      <c r="AH5" s="4">
        <f t="shared" si="15"/>
        <v>33.340970407462692</v>
      </c>
      <c r="AI5" s="4">
        <f t="shared" si="15"/>
        <v>51.579363831421212</v>
      </c>
      <c r="AJ5" s="4">
        <f t="shared" si="16"/>
        <v>70.016037855671655</v>
      </c>
      <c r="AK5" s="267">
        <f t="shared" si="17"/>
        <v>100.73449756276564</v>
      </c>
      <c r="AL5" s="273">
        <f>SUM(AM4:AM10)</f>
        <v>86.997157800000011</v>
      </c>
      <c r="AM5" s="4">
        <f t="shared" si="18"/>
        <v>24.744409768892499</v>
      </c>
      <c r="AN5" s="4">
        <f t="shared" si="18"/>
        <v>60.175924469991401</v>
      </c>
      <c r="AO5" s="4">
        <f t="shared" si="19"/>
        <v>51.963260514674253</v>
      </c>
      <c r="AP5" s="267">
        <f t="shared" si="20"/>
        <v>117.52358048989322</v>
      </c>
      <c r="AQ5" s="273">
        <f>SUM(AR4:AR10)</f>
        <v>0</v>
      </c>
      <c r="AR5" s="4">
        <f t="shared" si="21"/>
        <v>0</v>
      </c>
      <c r="AS5" s="4">
        <f t="shared" si="21"/>
        <v>84.92033423888391</v>
      </c>
      <c r="AT5" s="4">
        <f t="shared" si="22"/>
        <v>0</v>
      </c>
      <c r="AU5" s="267">
        <f t="shared" si="23"/>
        <v>165.8494127685403</v>
      </c>
    </row>
    <row r="6" spans="1:47" x14ac:dyDescent="0.4">
      <c r="A6" s="5">
        <f>SUM(E4:E10)</f>
        <v>325137</v>
      </c>
      <c r="B6">
        <v>2.5</v>
      </c>
      <c r="C6" s="1">
        <v>2.2999999999999998</v>
      </c>
      <c r="D6" s="1">
        <f t="shared" si="0"/>
        <v>2.1389999999999998</v>
      </c>
      <c r="E6" s="4">
        <v>79805</v>
      </c>
      <c r="F6" s="6">
        <v>0.24545037937853889</v>
      </c>
      <c r="H6" s="4">
        <f t="shared" si="1"/>
        <v>73.283021626053014</v>
      </c>
      <c r="I6" s="4">
        <f t="shared" si="2"/>
        <v>0</v>
      </c>
      <c r="J6" s="267">
        <f t="shared" si="3"/>
        <v>168.55094973992192</v>
      </c>
      <c r="K6" s="267">
        <f t="shared" si="3"/>
        <v>0</v>
      </c>
      <c r="L6" s="273"/>
      <c r="M6" s="4">
        <f t="shared" si="24"/>
        <v>73.283021626053014</v>
      </c>
      <c r="N6" s="4">
        <f t="shared" si="4"/>
        <v>0</v>
      </c>
      <c r="O6" s="4">
        <f t="shared" si="25"/>
        <v>168.55094973992192</v>
      </c>
      <c r="P6" s="267">
        <f t="shared" si="26"/>
        <v>0</v>
      </c>
      <c r="Q6" s="6">
        <f t="shared" si="5"/>
        <v>0.24545037937853889</v>
      </c>
      <c r="R6" s="273"/>
      <c r="S6" s="4">
        <f t="shared" si="6"/>
        <v>66.6063669667288</v>
      </c>
      <c r="T6" s="4">
        <f t="shared" si="6"/>
        <v>6.6766546593242238</v>
      </c>
      <c r="U6" s="4">
        <f t="shared" si="7"/>
        <v>153.19464402347623</v>
      </c>
      <c r="V6" s="267">
        <f t="shared" si="8"/>
        <v>14.281364316294514</v>
      </c>
      <c r="W6" s="273"/>
      <c r="X6" s="4">
        <f t="shared" si="9"/>
        <v>62.155263860512633</v>
      </c>
      <c r="Y6" s="4">
        <f t="shared" si="9"/>
        <v>11.127757765540371</v>
      </c>
      <c r="Z6" s="4">
        <f t="shared" si="10"/>
        <v>142.95710687917904</v>
      </c>
      <c r="AA6" s="267">
        <f t="shared" si="11"/>
        <v>23.802273860490853</v>
      </c>
      <c r="AB6" s="273"/>
      <c r="AC6" s="4">
        <f t="shared" si="12"/>
        <v>51.027506094972274</v>
      </c>
      <c r="AD6" s="4">
        <f t="shared" si="12"/>
        <v>22.255515531080743</v>
      </c>
      <c r="AE6" s="4">
        <f t="shared" si="13"/>
        <v>117.36326401843623</v>
      </c>
      <c r="AF6" s="267">
        <f t="shared" si="14"/>
        <v>47.604547720981707</v>
      </c>
      <c r="AG6" s="273"/>
      <c r="AH6" s="4">
        <f t="shared" si="15"/>
        <v>28.771990563891524</v>
      </c>
      <c r="AI6" s="4">
        <f t="shared" si="15"/>
        <v>44.511031062161486</v>
      </c>
      <c r="AJ6" s="4">
        <f t="shared" si="16"/>
        <v>66.175578296950505</v>
      </c>
      <c r="AK6" s="267">
        <f t="shared" si="17"/>
        <v>95.209095441963413</v>
      </c>
      <c r="AL6" s="273"/>
      <c r="AM6" s="4">
        <f t="shared" si="18"/>
        <v>21.353485386864616</v>
      </c>
      <c r="AN6" s="4">
        <f t="shared" si="18"/>
        <v>51.929536239188394</v>
      </c>
      <c r="AO6" s="4">
        <f t="shared" si="19"/>
        <v>49.113016389788612</v>
      </c>
      <c r="AP6" s="267">
        <f t="shared" si="20"/>
        <v>111.07727801562396</v>
      </c>
      <c r="AQ6" s="273"/>
      <c r="AR6" s="4">
        <f t="shared" si="21"/>
        <v>0</v>
      </c>
      <c r="AS6" s="4">
        <f t="shared" si="21"/>
        <v>73.283021626053014</v>
      </c>
      <c r="AT6" s="4">
        <f t="shared" si="22"/>
        <v>0</v>
      </c>
      <c r="AU6" s="267">
        <f t="shared" si="23"/>
        <v>156.75238325812737</v>
      </c>
    </row>
    <row r="7" spans="1:47" x14ac:dyDescent="0.4">
      <c r="A7" s="237">
        <f>A6/$E$75</f>
        <v>0.2149519735184976</v>
      </c>
      <c r="B7">
        <v>3</v>
      </c>
      <c r="C7" s="1">
        <v>2.2000000000000002</v>
      </c>
      <c r="D7" s="1">
        <f t="shared" si="0"/>
        <v>2.0460000000000003</v>
      </c>
      <c r="E7" s="4">
        <v>64156</v>
      </c>
      <c r="F7" s="6">
        <v>0.19731989899642305</v>
      </c>
      <c r="H7" s="4">
        <f t="shared" si="1"/>
        <v>58.912919434133919</v>
      </c>
      <c r="I7" s="4">
        <f t="shared" si="2"/>
        <v>0</v>
      </c>
      <c r="J7" s="267">
        <f t="shared" si="3"/>
        <v>129.60842275509464</v>
      </c>
      <c r="K7" s="267">
        <f t="shared" si="3"/>
        <v>0</v>
      </c>
      <c r="L7" s="273"/>
      <c r="M7" s="4">
        <f t="shared" si="24"/>
        <v>58.912919434133919</v>
      </c>
      <c r="N7" s="4">
        <f t="shared" si="4"/>
        <v>0</v>
      </c>
      <c r="O7" s="4">
        <f t="shared" si="25"/>
        <v>129.60842275509464</v>
      </c>
      <c r="P7" s="267">
        <f t="shared" si="26"/>
        <v>0</v>
      </c>
      <c r="Q7" s="6">
        <f t="shared" si="5"/>
        <v>0.19731989899642305</v>
      </c>
      <c r="R7" s="273"/>
      <c r="S7" s="4">
        <f t="shared" si="6"/>
        <v>53.545493128468806</v>
      </c>
      <c r="T7" s="4">
        <f t="shared" si="6"/>
        <v>5.3674263056651199</v>
      </c>
      <c r="U7" s="4">
        <f t="shared" si="7"/>
        <v>117.80008488263138</v>
      </c>
      <c r="V7" s="267">
        <f t="shared" si="8"/>
        <v>10.981754221390837</v>
      </c>
      <c r="W7" s="273"/>
      <c r="X7" s="4">
        <f t="shared" si="9"/>
        <v>49.967208924692045</v>
      </c>
      <c r="Y7" s="4">
        <f t="shared" si="9"/>
        <v>8.9457105094418647</v>
      </c>
      <c r="Z7" s="4">
        <f t="shared" si="10"/>
        <v>109.9278596343225</v>
      </c>
      <c r="AA7" s="267">
        <f t="shared" si="11"/>
        <v>18.302923702318058</v>
      </c>
      <c r="AB7" s="273"/>
      <c r="AC7" s="4">
        <f t="shared" si="12"/>
        <v>41.021498415250186</v>
      </c>
      <c r="AD7" s="4">
        <f t="shared" si="12"/>
        <v>17.891421018883729</v>
      </c>
      <c r="AE7" s="4">
        <f t="shared" si="13"/>
        <v>90.24729651355041</v>
      </c>
      <c r="AF7" s="267">
        <f t="shared" si="14"/>
        <v>36.605847404636116</v>
      </c>
      <c r="AG7" s="273"/>
      <c r="AH7" s="4">
        <f t="shared" si="15"/>
        <v>23.130077396366449</v>
      </c>
      <c r="AI7" s="4">
        <f t="shared" si="15"/>
        <v>35.782842037767459</v>
      </c>
      <c r="AJ7" s="4">
        <f t="shared" si="16"/>
        <v>50.88617027200619</v>
      </c>
      <c r="AK7" s="267">
        <f t="shared" si="17"/>
        <v>73.211694809272231</v>
      </c>
      <c r="AL7" s="273"/>
      <c r="AM7" s="4">
        <f t="shared" si="18"/>
        <v>17.16627039007188</v>
      </c>
      <c r="AN7" s="4">
        <f t="shared" si="18"/>
        <v>41.746649044062032</v>
      </c>
      <c r="AO7" s="4">
        <f t="shared" si="19"/>
        <v>37.765794858158138</v>
      </c>
      <c r="AP7" s="267">
        <f t="shared" si="20"/>
        <v>85.413643944150934</v>
      </c>
      <c r="AQ7" s="273"/>
      <c r="AR7" s="4">
        <f t="shared" si="21"/>
        <v>0</v>
      </c>
      <c r="AS7" s="4">
        <f t="shared" si="21"/>
        <v>58.912919434133919</v>
      </c>
      <c r="AT7" s="4">
        <f t="shared" si="22"/>
        <v>0</v>
      </c>
      <c r="AU7" s="267">
        <f t="shared" si="23"/>
        <v>120.53583316223801</v>
      </c>
    </row>
    <row r="8" spans="1:47" x14ac:dyDescent="0.4">
      <c r="A8" s="18">
        <f>SUM(F4:F10)</f>
        <v>1</v>
      </c>
      <c r="B8">
        <v>3.5</v>
      </c>
      <c r="C8" s="1">
        <v>2.5</v>
      </c>
      <c r="D8" s="1">
        <f t="shared" si="0"/>
        <v>2.3250000000000002</v>
      </c>
      <c r="E8" s="4">
        <v>16575</v>
      </c>
      <c r="F8" s="6">
        <v>5.097851059707139E-2</v>
      </c>
      <c r="H8" s="4">
        <f t="shared" si="1"/>
        <v>15.220425831111193</v>
      </c>
      <c r="I8" s="4">
        <f t="shared" si="2"/>
        <v>0</v>
      </c>
      <c r="J8" s="267">
        <f t="shared" si="3"/>
        <v>38.051064577777979</v>
      </c>
      <c r="K8" s="267">
        <f t="shared" si="3"/>
        <v>0</v>
      </c>
      <c r="L8" s="273"/>
      <c r="M8" s="4">
        <f t="shared" si="24"/>
        <v>15.220425831111193</v>
      </c>
      <c r="N8" s="4">
        <f t="shared" si="4"/>
        <v>0</v>
      </c>
      <c r="O8" s="4">
        <f t="shared" si="25"/>
        <v>38.051064577777979</v>
      </c>
      <c r="P8" s="267">
        <f t="shared" si="26"/>
        <v>0</v>
      </c>
      <c r="Q8" s="6">
        <f t="shared" si="5"/>
        <v>5.097851059707139E-2</v>
      </c>
      <c r="R8" s="273"/>
      <c r="S8" s="4">
        <f t="shared" si="6"/>
        <v>13.833726363931206</v>
      </c>
      <c r="T8" s="4">
        <f t="shared" si="6"/>
        <v>1.3866994671799888</v>
      </c>
      <c r="U8" s="4">
        <f t="shared" si="7"/>
        <v>34.584315909828014</v>
      </c>
      <c r="V8" s="267">
        <f t="shared" si="8"/>
        <v>3.2240762611934741</v>
      </c>
      <c r="W8" s="273"/>
      <c r="X8" s="4">
        <f t="shared" si="9"/>
        <v>12.909260052477876</v>
      </c>
      <c r="Y8" s="4">
        <f t="shared" si="9"/>
        <v>2.3111657786333146</v>
      </c>
      <c r="Z8" s="4">
        <f t="shared" si="10"/>
        <v>32.27315013119469</v>
      </c>
      <c r="AA8" s="267">
        <f t="shared" si="11"/>
        <v>5.3734604353224569</v>
      </c>
      <c r="AB8" s="273"/>
      <c r="AC8" s="4">
        <f t="shared" si="12"/>
        <v>10.598094273844564</v>
      </c>
      <c r="AD8" s="4">
        <f t="shared" si="12"/>
        <v>4.6223315572666293</v>
      </c>
      <c r="AE8" s="4">
        <f t="shared" si="13"/>
        <v>26.495235684611412</v>
      </c>
      <c r="AF8" s="267">
        <f t="shared" si="14"/>
        <v>10.746920870644914</v>
      </c>
      <c r="AG8" s="273"/>
      <c r="AH8" s="4">
        <f t="shared" si="15"/>
        <v>5.9757627165779335</v>
      </c>
      <c r="AI8" s="4">
        <f t="shared" si="15"/>
        <v>9.2446631145332585</v>
      </c>
      <c r="AJ8" s="4">
        <f t="shared" si="16"/>
        <v>14.939406791444833</v>
      </c>
      <c r="AK8" s="267">
        <f t="shared" si="17"/>
        <v>21.493841741289827</v>
      </c>
      <c r="AL8" s="273"/>
      <c r="AM8" s="4">
        <f t="shared" si="18"/>
        <v>4.4349855308223924</v>
      </c>
      <c r="AN8" s="4">
        <f t="shared" si="18"/>
        <v>10.7854403002888</v>
      </c>
      <c r="AO8" s="4">
        <f t="shared" si="19"/>
        <v>11.087463827055981</v>
      </c>
      <c r="AP8" s="267">
        <f t="shared" si="20"/>
        <v>25.076148698171462</v>
      </c>
      <c r="AQ8" s="273"/>
      <c r="AR8" s="4">
        <f t="shared" si="21"/>
        <v>0</v>
      </c>
      <c r="AS8" s="4">
        <f t="shared" si="21"/>
        <v>15.220425831111193</v>
      </c>
      <c r="AT8" s="4">
        <f t="shared" si="22"/>
        <v>0</v>
      </c>
      <c r="AU8" s="267">
        <f t="shared" si="23"/>
        <v>35.38749005733353</v>
      </c>
    </row>
    <row r="9" spans="1:47" x14ac:dyDescent="0.4">
      <c r="B9">
        <v>4</v>
      </c>
      <c r="C9" s="1">
        <v>3.4</v>
      </c>
      <c r="D9" s="1">
        <f t="shared" si="0"/>
        <v>3.1619999999999999</v>
      </c>
      <c r="E9" s="4">
        <v>15110</v>
      </c>
      <c r="F9" s="6">
        <v>4.6472717654404146E-2</v>
      </c>
      <c r="H9" s="4">
        <f t="shared" si="1"/>
        <v>13.87515139113666</v>
      </c>
      <c r="I9" s="4">
        <f t="shared" si="2"/>
        <v>0</v>
      </c>
      <c r="J9" s="267">
        <f t="shared" si="3"/>
        <v>47.175514729864645</v>
      </c>
      <c r="K9" s="267">
        <f t="shared" si="3"/>
        <v>0</v>
      </c>
      <c r="L9" s="273"/>
      <c r="M9" s="4">
        <f t="shared" si="24"/>
        <v>13.87515139113666</v>
      </c>
      <c r="N9" s="4">
        <f t="shared" si="4"/>
        <v>0</v>
      </c>
      <c r="O9" s="4">
        <f t="shared" si="25"/>
        <v>47.175514729864645</v>
      </c>
      <c r="P9" s="267">
        <f t="shared" si="26"/>
        <v>0</v>
      </c>
      <c r="Q9" s="6">
        <f t="shared" si="5"/>
        <v>4.6472717654404146E-2</v>
      </c>
      <c r="R9" s="273"/>
      <c r="S9" s="4">
        <f t="shared" si="6"/>
        <v>12.611016914570166</v>
      </c>
      <c r="T9" s="4">
        <f t="shared" si="6"/>
        <v>1.2641344765664937</v>
      </c>
      <c r="U9" s="4">
        <f t="shared" si="7"/>
        <v>42.877457509538566</v>
      </c>
      <c r="V9" s="267">
        <f t="shared" si="8"/>
        <v>3.9971932149032527</v>
      </c>
      <c r="W9" s="273"/>
      <c r="X9" s="4">
        <f t="shared" si="9"/>
        <v>11.768260596859168</v>
      </c>
      <c r="Y9" s="4">
        <f t="shared" si="9"/>
        <v>2.106890794277489</v>
      </c>
      <c r="Z9" s="4">
        <f t="shared" si="10"/>
        <v>40.012086029321168</v>
      </c>
      <c r="AA9" s="267">
        <f t="shared" si="11"/>
        <v>6.6619886915054201</v>
      </c>
      <c r="AB9" s="273"/>
      <c r="AC9" s="4">
        <f t="shared" si="12"/>
        <v>9.6613698025816817</v>
      </c>
      <c r="AD9" s="4">
        <f t="shared" si="12"/>
        <v>4.2137815885549781</v>
      </c>
      <c r="AE9" s="4">
        <f t="shared" si="13"/>
        <v>32.848657328777719</v>
      </c>
      <c r="AF9" s="267">
        <f t="shared" si="14"/>
        <v>13.32397738301084</v>
      </c>
      <c r="AG9" s="273"/>
      <c r="AH9" s="4">
        <f t="shared" si="15"/>
        <v>5.4475882140267018</v>
      </c>
      <c r="AI9" s="4">
        <f t="shared" si="15"/>
        <v>8.4275631771099562</v>
      </c>
      <c r="AJ9" s="4">
        <f t="shared" si="16"/>
        <v>18.521799927690786</v>
      </c>
      <c r="AK9" s="267">
        <f t="shared" si="17"/>
        <v>26.64795476602168</v>
      </c>
      <c r="AL9" s="273"/>
      <c r="AM9" s="4">
        <f t="shared" si="18"/>
        <v>4.0429943511750439</v>
      </c>
      <c r="AN9" s="4">
        <f t="shared" si="18"/>
        <v>9.8321570399616149</v>
      </c>
      <c r="AO9" s="4">
        <f t="shared" si="19"/>
        <v>13.746180793995149</v>
      </c>
      <c r="AP9" s="267">
        <f t="shared" si="20"/>
        <v>31.089280560358624</v>
      </c>
      <c r="AQ9" s="273"/>
      <c r="AR9" s="4">
        <f t="shared" si="21"/>
        <v>0</v>
      </c>
      <c r="AS9" s="4">
        <f t="shared" si="21"/>
        <v>13.87515139113666</v>
      </c>
      <c r="AT9" s="4">
        <f t="shared" si="22"/>
        <v>0</v>
      </c>
      <c r="AU9" s="267">
        <f t="shared" si="23"/>
        <v>43.87322869877412</v>
      </c>
    </row>
    <row r="10" spans="1:47" x14ac:dyDescent="0.4">
      <c r="B10">
        <v>5</v>
      </c>
      <c r="C10" s="1">
        <v>6</v>
      </c>
      <c r="D10" s="1">
        <f t="shared" si="0"/>
        <v>5.58</v>
      </c>
      <c r="E10" s="4">
        <v>17708</v>
      </c>
      <c r="F10" s="6">
        <v>5.4463195514506194E-2</v>
      </c>
      <c r="H10" s="4">
        <f t="shared" si="1"/>
        <v>16.260832616429383</v>
      </c>
      <c r="I10" s="4">
        <f t="shared" si="2"/>
        <v>0</v>
      </c>
      <c r="J10" s="267">
        <f t="shared" si="3"/>
        <v>97.564995698576297</v>
      </c>
      <c r="K10" s="267">
        <f t="shared" si="3"/>
        <v>0</v>
      </c>
      <c r="L10" s="273"/>
      <c r="M10" s="4">
        <f t="shared" si="24"/>
        <v>16.260832616429383</v>
      </c>
      <c r="N10" s="4">
        <f t="shared" si="4"/>
        <v>0</v>
      </c>
      <c r="O10" s="4">
        <f t="shared" si="25"/>
        <v>97.564995698576297</v>
      </c>
      <c r="P10" s="267">
        <f t="shared" si="26"/>
        <v>0</v>
      </c>
      <c r="Q10" s="6">
        <f t="shared" si="5"/>
        <v>5.4463195514506194E-2</v>
      </c>
      <c r="R10" s="273"/>
      <c r="S10" s="4">
        <f t="shared" si="6"/>
        <v>14.779343979034316</v>
      </c>
      <c r="T10" s="4">
        <f t="shared" si="6"/>
        <v>1.4814886373950673</v>
      </c>
      <c r="U10" s="4">
        <f t="shared" si="7"/>
        <v>88.676063874205894</v>
      </c>
      <c r="V10" s="267">
        <f t="shared" si="8"/>
        <v>8.2667065966644753</v>
      </c>
      <c r="W10" s="273"/>
      <c r="X10" s="4">
        <f t="shared" si="9"/>
        <v>13.791684887437601</v>
      </c>
      <c r="Y10" s="4">
        <f t="shared" si="9"/>
        <v>2.4691477289917789</v>
      </c>
      <c r="Z10" s="4">
        <f t="shared" si="10"/>
        <v>82.750109324625612</v>
      </c>
      <c r="AA10" s="267">
        <f t="shared" si="11"/>
        <v>13.777844327774126</v>
      </c>
      <c r="AB10" s="273"/>
      <c r="AC10" s="4">
        <f t="shared" si="12"/>
        <v>11.322537158445824</v>
      </c>
      <c r="AD10" s="4">
        <f t="shared" si="12"/>
        <v>4.9382954579835578</v>
      </c>
      <c r="AE10" s="4">
        <f t="shared" si="13"/>
        <v>67.935222950674941</v>
      </c>
      <c r="AF10" s="267">
        <f t="shared" si="14"/>
        <v>27.555688655548252</v>
      </c>
      <c r="AG10" s="273"/>
      <c r="AH10" s="4">
        <f t="shared" si="15"/>
        <v>6.3842417004622654</v>
      </c>
      <c r="AI10" s="4">
        <f t="shared" si="15"/>
        <v>9.8765909159671157</v>
      </c>
      <c r="AJ10" s="4">
        <f t="shared" si="16"/>
        <v>38.305450202773592</v>
      </c>
      <c r="AK10" s="267">
        <f t="shared" si="17"/>
        <v>55.111377311096504</v>
      </c>
      <c r="AL10" s="273"/>
      <c r="AM10" s="4">
        <f t="shared" si="18"/>
        <v>4.7381432144677484</v>
      </c>
      <c r="AN10" s="4">
        <f t="shared" si="18"/>
        <v>11.522689401961632</v>
      </c>
      <c r="AO10" s="4">
        <f t="shared" si="19"/>
        <v>28.428859286806492</v>
      </c>
      <c r="AP10" s="267">
        <f t="shared" si="20"/>
        <v>64.296606862945907</v>
      </c>
      <c r="AQ10" s="273"/>
      <c r="AR10" s="4">
        <f t="shared" si="21"/>
        <v>0</v>
      </c>
      <c r="AS10" s="4">
        <f t="shared" si="21"/>
        <v>16.260832616429383</v>
      </c>
      <c r="AT10" s="4">
        <f t="shared" si="22"/>
        <v>0</v>
      </c>
      <c r="AU10" s="267">
        <f t="shared" si="23"/>
        <v>90.73544599967596</v>
      </c>
    </row>
    <row r="11" spans="1:47" x14ac:dyDescent="0.4">
      <c r="D11" s="1">
        <f t="shared" si="0"/>
        <v>0</v>
      </c>
      <c r="F11" s="6"/>
      <c r="G11" s="4" cm="1">
        <f t="array" ref="G11">機器台数４!D30:D30</f>
        <v>92.413139000000001</v>
      </c>
      <c r="H11" s="4">
        <f>G11*(1-G$3)</f>
        <v>92.413139000000001</v>
      </c>
      <c r="I11" s="4">
        <f>G11*$G$3</f>
        <v>0</v>
      </c>
      <c r="J11" s="4">
        <f>SUM(J12:J18)</f>
        <v>211.36828297858736</v>
      </c>
      <c r="K11" s="267">
        <f t="shared" ref="K11:K42" si="27">D11*I11</f>
        <v>0</v>
      </c>
      <c r="L11" s="273">
        <f>機器台数４!F30</f>
        <v>92.413139000000001</v>
      </c>
      <c r="M11" s="4">
        <f>L11*(1-L$3)</f>
        <v>92.413139000000001</v>
      </c>
      <c r="N11" s="4">
        <f>L11*$G$3</f>
        <v>0</v>
      </c>
      <c r="O11" s="4">
        <f>SUM(O12:O18)</f>
        <v>211.36828297858736</v>
      </c>
      <c r="P11" s="267">
        <f>SUM(P12:P18)</f>
        <v>0</v>
      </c>
      <c r="Q11" s="6"/>
      <c r="R11" s="273">
        <f>機器台数４!H30</f>
        <v>83.993581489999997</v>
      </c>
      <c r="S11" s="4">
        <f>R11*(1-R$3)</f>
        <v>83.993581489999997</v>
      </c>
      <c r="T11" s="4">
        <f>機器台数４!H40</f>
        <v>8.4195575100000006</v>
      </c>
      <c r="U11" s="4">
        <f>SUM(U12:U18)</f>
        <v>192.11098435649239</v>
      </c>
      <c r="V11" s="267">
        <f>SUM(V12:V18)</f>
        <v>17.909287718548324</v>
      </c>
      <c r="W11" s="273">
        <f>機器台数４!J30</f>
        <v>78.380543149999994</v>
      </c>
      <c r="X11" s="4">
        <f>W11*(1-W$3)</f>
        <v>78.380543149999994</v>
      </c>
      <c r="Y11" s="4">
        <f>機器台数４!J40</f>
        <v>14.03259585</v>
      </c>
      <c r="Z11" s="4">
        <f>SUM(Z12:Z18)</f>
        <v>179.27278527509577</v>
      </c>
      <c r="AA11" s="267">
        <f>SUM(AA12:AA18)</f>
        <v>29.848812864247197</v>
      </c>
      <c r="AB11" s="273">
        <f>機器台数４!L30</f>
        <v>64.347947300000001</v>
      </c>
      <c r="AC11" s="4">
        <f>AB11</f>
        <v>64.347947300000001</v>
      </c>
      <c r="AD11" s="4">
        <f>機器台数４!L40</f>
        <v>28.0651917</v>
      </c>
      <c r="AE11" s="4">
        <f>SUM(AE12:AE18)</f>
        <v>147.17728757160415</v>
      </c>
      <c r="AF11" s="267">
        <f>SUM(AF12:AF18)</f>
        <v>59.697625728494394</v>
      </c>
      <c r="AG11" s="273">
        <f>機器台数４!N30</f>
        <v>36.282755599999994</v>
      </c>
      <c r="AH11" s="4">
        <f>機器台数４!N30</f>
        <v>36.282755599999994</v>
      </c>
      <c r="AI11" s="4">
        <f>機器台数４!N40</f>
        <v>56.130383399999999</v>
      </c>
      <c r="AJ11" s="4">
        <f>SUM(AJ12:AJ18)</f>
        <v>82.98629216462092</v>
      </c>
      <c r="AK11" s="267">
        <f>SUM(AK12:AK18)</f>
        <v>119.39525145698879</v>
      </c>
      <c r="AL11" s="273">
        <f>機器台数４!S30</f>
        <v>6.5000000000000002E-2</v>
      </c>
      <c r="AM11" s="4">
        <f>機器台数４!P30</f>
        <v>26.927691700000004</v>
      </c>
      <c r="AN11" s="4">
        <f>機器台数４!P40</f>
        <v>65.48544729999999</v>
      </c>
      <c r="AO11" s="4">
        <f>SUM(AO12:AO18)</f>
        <v>61.589293695626537</v>
      </c>
      <c r="AP11" s="267">
        <f>SUM(AP12:AP18)</f>
        <v>139.29446003315357</v>
      </c>
      <c r="AQ11" s="273">
        <f>機器台数４!X30</f>
        <v>0</v>
      </c>
      <c r="AR11" s="4">
        <f>機器台数４!R30</f>
        <v>0</v>
      </c>
      <c r="AS11" s="4">
        <f>機器台数４!R40</f>
        <v>92.413139000000001</v>
      </c>
      <c r="AT11" s="4">
        <f>SUM(AT12:AT18)</f>
        <v>0</v>
      </c>
      <c r="AU11" s="267">
        <f>SUM(AU12:AU18)</f>
        <v>196.57250317008626</v>
      </c>
    </row>
    <row r="12" spans="1:47" x14ac:dyDescent="0.4">
      <c r="A12" t="s">
        <v>0</v>
      </c>
      <c r="B12">
        <v>1.5</v>
      </c>
      <c r="C12" s="1">
        <v>1.8</v>
      </c>
      <c r="D12" s="1">
        <f t="shared" si="0"/>
        <v>1.6740000000000002</v>
      </c>
      <c r="E12" s="4">
        <v>5564</v>
      </c>
      <c r="F12" s="237">
        <f t="shared" ref="F12:F18" si="28">E12/$A$15</f>
        <v>7.66665748064045E-2</v>
      </c>
      <c r="H12" s="4">
        <f t="shared" ref="H12:H18" si="29">F12*H$11</f>
        <v>7.0849988342381574</v>
      </c>
      <c r="I12" s="4">
        <f t="shared" ref="I12:I18" si="30">$F12*I$11</f>
        <v>0</v>
      </c>
      <c r="J12" s="267">
        <f t="shared" ref="J12:J18" si="31">C12*H12</f>
        <v>12.752997901628683</v>
      </c>
      <c r="K12" s="267">
        <f t="shared" si="27"/>
        <v>0</v>
      </c>
      <c r="L12" s="273">
        <f>SUM(M12:M18)</f>
        <v>92.413139000000001</v>
      </c>
      <c r="M12" s="4">
        <f t="shared" ref="M12:N18" si="32">$F12*M$11</f>
        <v>7.0849988342381574</v>
      </c>
      <c r="N12" s="4">
        <f t="shared" si="32"/>
        <v>0</v>
      </c>
      <c r="O12" s="4">
        <f t="shared" ref="O12:O18" si="33">$C12*$M12</f>
        <v>12.752997901628683</v>
      </c>
      <c r="P12" s="267">
        <f t="shared" ref="P12:P18" si="34">$D12*$N12</f>
        <v>0</v>
      </c>
      <c r="Q12" s="6">
        <f t="shared" ref="Q12:Q18" si="35">E12/$A$15</f>
        <v>7.66665748064045E-2</v>
      </c>
      <c r="R12" s="273">
        <f>SUM(S12:S18)</f>
        <v>83.993581490000011</v>
      </c>
      <c r="S12" s="4">
        <f t="shared" ref="S12:T18" si="36">$F12*S$11</f>
        <v>6.4395001985609168</v>
      </c>
      <c r="T12" s="4">
        <f t="shared" si="36"/>
        <v>0.64549863567723986</v>
      </c>
      <c r="U12" s="4">
        <f t="shared" ref="U12:U18" si="37">$C12*S12</f>
        <v>11.591100357409651</v>
      </c>
      <c r="V12" s="267">
        <f t="shared" ref="V12:V18" si="38">$D12*T12</f>
        <v>1.0805647161236995</v>
      </c>
      <c r="W12" s="273">
        <f>SUM(X12:X18)</f>
        <v>78.380543149999994</v>
      </c>
      <c r="X12" s="4">
        <f t="shared" ref="X12:Y18" si="39">$F12*X$11</f>
        <v>6.0091677747760901</v>
      </c>
      <c r="Y12" s="4">
        <f t="shared" si="39"/>
        <v>1.0758310594620664</v>
      </c>
      <c r="Z12" s="4">
        <f t="shared" ref="Z12:Z18" si="40">$C12*X12</f>
        <v>10.816501994596962</v>
      </c>
      <c r="AA12" s="267">
        <f t="shared" ref="AA12:AA18" si="41">$D12*Y12</f>
        <v>1.8009411935394992</v>
      </c>
      <c r="AB12" s="273">
        <f>SUM(AC12:AC18)</f>
        <v>64.347947300000001</v>
      </c>
      <c r="AC12" s="4">
        <f t="shared" ref="AC12:AD18" si="42">$F12*AC$11</f>
        <v>4.9333367153140246</v>
      </c>
      <c r="AD12" s="4">
        <f t="shared" si="42"/>
        <v>2.1516621189241327</v>
      </c>
      <c r="AE12" s="4">
        <f t="shared" ref="AE12:AE18" si="43">$C12*AC12</f>
        <v>8.8800060875652438</v>
      </c>
      <c r="AF12" s="267">
        <f t="shared" ref="AF12:AF18" si="44">$D12*AD12</f>
        <v>3.6018823870789984</v>
      </c>
      <c r="AG12" s="273">
        <f>SUM(AH12:AH18)</f>
        <v>36.282755599999994</v>
      </c>
      <c r="AH12" s="4">
        <f t="shared" ref="AH12:AI18" si="45">$F12*AH$11</f>
        <v>2.7816745963898915</v>
      </c>
      <c r="AI12" s="4">
        <f t="shared" si="45"/>
        <v>4.3033242378482655</v>
      </c>
      <c r="AJ12" s="4">
        <f t="shared" ref="AJ12:AJ18" si="46">$C12*AH12</f>
        <v>5.0070142735018051</v>
      </c>
      <c r="AK12" s="267">
        <f t="shared" ref="AK12:AK18" si="47">$D12*AI12</f>
        <v>7.2037647741579969</v>
      </c>
      <c r="AL12" s="273">
        <f>SUM(AM12:AM18)</f>
        <v>26.9276917</v>
      </c>
      <c r="AM12" s="4">
        <f t="shared" ref="AM12:AN18" si="48">$F12*AM$11</f>
        <v>2.0644538900818477</v>
      </c>
      <c r="AN12" s="4">
        <f t="shared" si="48"/>
        <v>5.0205449441563088</v>
      </c>
      <c r="AO12" s="4">
        <f t="shared" ref="AO12:AO18" si="49">$C12*AM12</f>
        <v>3.7160170021473258</v>
      </c>
      <c r="AP12" s="267">
        <f t="shared" ref="AP12:AP18" si="50">$D12*AN12</f>
        <v>8.404392236517662</v>
      </c>
      <c r="AQ12" s="273">
        <f>SUM(AR12:AR18)</f>
        <v>0</v>
      </c>
      <c r="AR12" s="4">
        <f t="shared" ref="AR12:AS18" si="51">$F12*AR$11</f>
        <v>0</v>
      </c>
      <c r="AS12" s="4">
        <f t="shared" si="51"/>
        <v>7.0849988342381574</v>
      </c>
      <c r="AT12" s="4">
        <f t="shared" ref="AT12:AT18" si="52">$C12*AR12</f>
        <v>0</v>
      </c>
      <c r="AU12" s="267">
        <f t="shared" ref="AU12:AU18" si="53">$D12*AS12</f>
        <v>11.860288048514677</v>
      </c>
    </row>
    <row r="13" spans="1:47" x14ac:dyDescent="0.4">
      <c r="A13" t="s">
        <v>1</v>
      </c>
      <c r="B13">
        <v>2</v>
      </c>
      <c r="C13" s="1">
        <v>1.9</v>
      </c>
      <c r="D13" s="1">
        <f t="shared" si="0"/>
        <v>1.7669999999999999</v>
      </c>
      <c r="E13" s="4">
        <v>19551</v>
      </c>
      <c r="F13" s="6">
        <f t="shared" si="28"/>
        <v>0.26939399785046986</v>
      </c>
      <c r="H13" s="4">
        <f t="shared" si="29"/>
        <v>24.895544969121172</v>
      </c>
      <c r="I13" s="4">
        <f t="shared" si="30"/>
        <v>0</v>
      </c>
      <c r="J13" s="267">
        <f t="shared" si="31"/>
        <v>47.301535441330223</v>
      </c>
      <c r="K13" s="267">
        <f t="shared" si="27"/>
        <v>0</v>
      </c>
      <c r="L13" s="273"/>
      <c r="M13" s="4">
        <f t="shared" si="32"/>
        <v>24.895544969121172</v>
      </c>
      <c r="N13" s="4">
        <f t="shared" si="32"/>
        <v>0</v>
      </c>
      <c r="O13" s="4">
        <f t="shared" si="33"/>
        <v>47.301535441330223</v>
      </c>
      <c r="P13" s="267">
        <f t="shared" si="34"/>
        <v>0</v>
      </c>
      <c r="Q13" s="6">
        <f t="shared" si="35"/>
        <v>0.26939399785046986</v>
      </c>
      <c r="R13" s="273"/>
      <c r="S13" s="4">
        <f t="shared" si="36"/>
        <v>22.627366711370325</v>
      </c>
      <c r="T13" s="4">
        <f t="shared" si="36"/>
        <v>2.2681782577508476</v>
      </c>
      <c r="U13" s="4">
        <f t="shared" si="37"/>
        <v>42.991996751603615</v>
      </c>
      <c r="V13" s="267">
        <f t="shared" si="38"/>
        <v>4.0078709814457474</v>
      </c>
      <c r="W13" s="273"/>
      <c r="X13" s="4">
        <f t="shared" si="39"/>
        <v>21.115247872869759</v>
      </c>
      <c r="Y13" s="4">
        <f t="shared" si="39"/>
        <v>3.7802970962514122</v>
      </c>
      <c r="Z13" s="4">
        <f t="shared" si="40"/>
        <v>40.118970958452543</v>
      </c>
      <c r="AA13" s="267">
        <f t="shared" si="41"/>
        <v>6.6797849690762447</v>
      </c>
      <c r="AB13" s="273"/>
      <c r="AC13" s="4">
        <f t="shared" si="42"/>
        <v>17.334950776618349</v>
      </c>
      <c r="AD13" s="4">
        <f t="shared" si="42"/>
        <v>7.5605941925028244</v>
      </c>
      <c r="AE13" s="4">
        <f t="shared" si="43"/>
        <v>32.936406475574863</v>
      </c>
      <c r="AF13" s="267">
        <f t="shared" si="44"/>
        <v>13.359569938152489</v>
      </c>
      <c r="AG13" s="273"/>
      <c r="AH13" s="4">
        <f t="shared" si="45"/>
        <v>9.7743565841155213</v>
      </c>
      <c r="AI13" s="4">
        <f t="shared" si="45"/>
        <v>15.121188385005649</v>
      </c>
      <c r="AJ13" s="4">
        <f t="shared" si="46"/>
        <v>18.571277509819488</v>
      </c>
      <c r="AK13" s="267">
        <f t="shared" si="47"/>
        <v>26.719139876304979</v>
      </c>
      <c r="AL13" s="273"/>
      <c r="AM13" s="4">
        <f t="shared" si="48"/>
        <v>7.2541585199479162</v>
      </c>
      <c r="AN13" s="4">
        <f t="shared" si="48"/>
        <v>17.641386449173254</v>
      </c>
      <c r="AO13" s="4">
        <f t="shared" si="49"/>
        <v>13.782901187901039</v>
      </c>
      <c r="AP13" s="267">
        <f t="shared" si="50"/>
        <v>31.172329855689139</v>
      </c>
      <c r="AQ13" s="273"/>
      <c r="AR13" s="4">
        <f t="shared" si="51"/>
        <v>0</v>
      </c>
      <c r="AS13" s="4">
        <f t="shared" si="51"/>
        <v>24.895544969121172</v>
      </c>
      <c r="AT13" s="4">
        <f t="shared" si="52"/>
        <v>0</v>
      </c>
      <c r="AU13" s="267">
        <f t="shared" si="53"/>
        <v>43.99042796043711</v>
      </c>
    </row>
    <row r="14" spans="1:47" x14ac:dyDescent="0.4">
      <c r="A14" t="s">
        <v>5</v>
      </c>
      <c r="B14">
        <v>2.5</v>
      </c>
      <c r="C14" s="1">
        <v>2.1</v>
      </c>
      <c r="D14" s="1">
        <f t="shared" si="0"/>
        <v>1.9530000000000003</v>
      </c>
      <c r="E14" s="4">
        <v>20512</v>
      </c>
      <c r="F14" s="6">
        <f t="shared" si="28"/>
        <v>0.28263565464215834</v>
      </c>
      <c r="H14" s="4">
        <f t="shared" si="29"/>
        <v>26.119248038801775</v>
      </c>
      <c r="I14" s="4">
        <f t="shared" si="30"/>
        <v>0</v>
      </c>
      <c r="J14" s="267">
        <f t="shared" si="31"/>
        <v>54.850420881483728</v>
      </c>
      <c r="K14" s="267">
        <f t="shared" si="27"/>
        <v>0</v>
      </c>
      <c r="L14" s="273"/>
      <c r="M14" s="4">
        <f t="shared" si="32"/>
        <v>26.119248038801775</v>
      </c>
      <c r="N14" s="4">
        <f t="shared" si="32"/>
        <v>0</v>
      </c>
      <c r="O14" s="4">
        <f t="shared" si="33"/>
        <v>54.850420881483728</v>
      </c>
      <c r="P14" s="267">
        <f t="shared" si="34"/>
        <v>0</v>
      </c>
      <c r="Q14" s="6">
        <f t="shared" si="35"/>
        <v>0.28263565464215834</v>
      </c>
      <c r="R14" s="273"/>
      <c r="S14" s="4">
        <f t="shared" si="36"/>
        <v>23.739580890165623</v>
      </c>
      <c r="T14" s="4">
        <f t="shared" si="36"/>
        <v>2.3796671486361509</v>
      </c>
      <c r="U14" s="4">
        <f t="shared" si="37"/>
        <v>49.853119869347807</v>
      </c>
      <c r="V14" s="267">
        <f t="shared" si="38"/>
        <v>4.6474899412864037</v>
      </c>
      <c r="W14" s="273"/>
      <c r="X14" s="4">
        <f t="shared" si="39"/>
        <v>22.153136124408189</v>
      </c>
      <c r="Y14" s="4">
        <f t="shared" si="39"/>
        <v>3.9661119143935841</v>
      </c>
      <c r="Z14" s="4">
        <f t="shared" si="40"/>
        <v>46.521585861257201</v>
      </c>
      <c r="AA14" s="267">
        <f t="shared" si="41"/>
        <v>7.745816568810671</v>
      </c>
      <c r="AB14" s="273"/>
      <c r="AC14" s="4">
        <f t="shared" si="42"/>
        <v>18.187024210014606</v>
      </c>
      <c r="AD14" s="4">
        <f t="shared" si="42"/>
        <v>7.9322238287871683</v>
      </c>
      <c r="AE14" s="4">
        <f t="shared" si="43"/>
        <v>38.192750841030673</v>
      </c>
      <c r="AF14" s="267">
        <f t="shared" si="44"/>
        <v>15.491633137621342</v>
      </c>
      <c r="AG14" s="273"/>
      <c r="AH14" s="4">
        <f t="shared" si="45"/>
        <v>10.254800381227435</v>
      </c>
      <c r="AI14" s="4">
        <f t="shared" si="45"/>
        <v>15.864447657574337</v>
      </c>
      <c r="AJ14" s="4">
        <f t="shared" si="46"/>
        <v>21.535080800577614</v>
      </c>
      <c r="AK14" s="267">
        <f t="shared" si="47"/>
        <v>30.983266275242684</v>
      </c>
      <c r="AL14" s="273"/>
      <c r="AM14" s="4">
        <f t="shared" si="48"/>
        <v>7.6107257716317145</v>
      </c>
      <c r="AN14" s="4">
        <f t="shared" si="48"/>
        <v>18.508522267170058</v>
      </c>
      <c r="AO14" s="4">
        <f t="shared" si="49"/>
        <v>15.982524120426602</v>
      </c>
      <c r="AP14" s="267">
        <f t="shared" si="50"/>
        <v>36.147143987783132</v>
      </c>
      <c r="AQ14" s="273"/>
      <c r="AR14" s="4">
        <f t="shared" si="51"/>
        <v>0</v>
      </c>
      <c r="AS14" s="4">
        <f t="shared" si="51"/>
        <v>26.119248038801775</v>
      </c>
      <c r="AT14" s="4">
        <f t="shared" si="52"/>
        <v>0</v>
      </c>
      <c r="AU14" s="267">
        <f t="shared" si="53"/>
        <v>51.010891419779874</v>
      </c>
    </row>
    <row r="15" spans="1:47" x14ac:dyDescent="0.4">
      <c r="A15" s="5">
        <f>SUM(E12:E18)</f>
        <v>72574</v>
      </c>
      <c r="B15">
        <v>3</v>
      </c>
      <c r="C15" s="1">
        <v>2.2000000000000002</v>
      </c>
      <c r="D15" s="1">
        <f t="shared" si="0"/>
        <v>2.0460000000000003</v>
      </c>
      <c r="E15" s="4">
        <v>15655</v>
      </c>
      <c r="F15" s="6">
        <f t="shared" si="28"/>
        <v>0.21571086063879627</v>
      </c>
      <c r="H15" s="4">
        <f t="shared" si="29"/>
        <v>19.93451774802271</v>
      </c>
      <c r="I15" s="4">
        <f t="shared" si="30"/>
        <v>0</v>
      </c>
      <c r="J15" s="267">
        <f t="shared" si="31"/>
        <v>43.855939045649968</v>
      </c>
      <c r="K15" s="267">
        <f t="shared" si="27"/>
        <v>0</v>
      </c>
      <c r="L15" s="273"/>
      <c r="M15" s="4">
        <f t="shared" si="32"/>
        <v>19.93451774802271</v>
      </c>
      <c r="N15" s="4">
        <f t="shared" si="32"/>
        <v>0</v>
      </c>
      <c r="O15" s="4">
        <f t="shared" si="33"/>
        <v>43.855939045649968</v>
      </c>
      <c r="P15" s="267">
        <f t="shared" si="34"/>
        <v>0</v>
      </c>
      <c r="Q15" s="6">
        <f t="shared" si="35"/>
        <v>0.21571086063879627</v>
      </c>
      <c r="R15" s="273"/>
      <c r="S15" s="4">
        <f t="shared" si="36"/>
        <v>18.118327751342768</v>
      </c>
      <c r="T15" s="4">
        <f t="shared" si="36"/>
        <v>1.8161899966799406</v>
      </c>
      <c r="U15" s="4">
        <f t="shared" si="37"/>
        <v>39.860321052954092</v>
      </c>
      <c r="V15" s="267">
        <f t="shared" si="38"/>
        <v>3.7159247332071592</v>
      </c>
      <c r="W15" s="273"/>
      <c r="X15" s="4">
        <f t="shared" si="39"/>
        <v>16.907534420222806</v>
      </c>
      <c r="Y15" s="4">
        <f t="shared" si="39"/>
        <v>3.026983327799901</v>
      </c>
      <c r="Z15" s="4">
        <f t="shared" si="40"/>
        <v>37.196575724490174</v>
      </c>
      <c r="AA15" s="267">
        <f t="shared" si="41"/>
        <v>6.1932078886785984</v>
      </c>
      <c r="AB15" s="273"/>
      <c r="AC15" s="4">
        <f t="shared" si="42"/>
        <v>13.880551092422907</v>
      </c>
      <c r="AD15" s="4">
        <f t="shared" si="42"/>
        <v>6.053966655599802</v>
      </c>
      <c r="AE15" s="4">
        <f t="shared" si="43"/>
        <v>30.537212403330397</v>
      </c>
      <c r="AF15" s="267">
        <f t="shared" si="44"/>
        <v>12.386415777357197</v>
      </c>
      <c r="AG15" s="273"/>
      <c r="AH15" s="4">
        <f t="shared" si="45"/>
        <v>7.8265844368231035</v>
      </c>
      <c r="AI15" s="4">
        <f t="shared" si="45"/>
        <v>12.107933311199604</v>
      </c>
      <c r="AJ15" s="4">
        <f t="shared" si="46"/>
        <v>17.218485761010829</v>
      </c>
      <c r="AK15" s="267">
        <f t="shared" si="47"/>
        <v>24.772831554714394</v>
      </c>
      <c r="AL15" s="273"/>
      <c r="AM15" s="4">
        <f t="shared" si="48"/>
        <v>5.8085955516231715</v>
      </c>
      <c r="AN15" s="4">
        <f t="shared" si="48"/>
        <v>14.125922196399536</v>
      </c>
      <c r="AO15" s="4">
        <f t="shared" si="49"/>
        <v>12.778910213570978</v>
      </c>
      <c r="AP15" s="267">
        <f t="shared" si="50"/>
        <v>28.901636813833456</v>
      </c>
      <c r="AQ15" s="273"/>
      <c r="AR15" s="4">
        <f t="shared" si="51"/>
        <v>0</v>
      </c>
      <c r="AS15" s="4">
        <f t="shared" si="51"/>
        <v>19.93451774802271</v>
      </c>
      <c r="AT15" s="4">
        <f t="shared" si="52"/>
        <v>0</v>
      </c>
      <c r="AU15" s="267">
        <f t="shared" si="53"/>
        <v>40.786023312454468</v>
      </c>
    </row>
    <row r="16" spans="1:47" x14ac:dyDescent="0.4">
      <c r="A16" s="237">
        <f>A15/$E$75</f>
        <v>4.7979542550160223E-2</v>
      </c>
      <c r="B16">
        <v>3.5</v>
      </c>
      <c r="C16" s="1">
        <v>2.5</v>
      </c>
      <c r="D16" s="1">
        <f t="shared" si="0"/>
        <v>2.3250000000000002</v>
      </c>
      <c r="E16" s="4">
        <v>4647</v>
      </c>
      <c r="F16" s="6">
        <f t="shared" si="28"/>
        <v>6.403119574503266E-2</v>
      </c>
      <c r="H16" s="4">
        <f t="shared" si="29"/>
        <v>5.9173237927219118</v>
      </c>
      <c r="I16" s="4">
        <f t="shared" si="30"/>
        <v>0</v>
      </c>
      <c r="J16" s="267">
        <f t="shared" si="31"/>
        <v>14.79330948180478</v>
      </c>
      <c r="K16" s="267">
        <f t="shared" si="27"/>
        <v>0</v>
      </c>
      <c r="L16" s="273"/>
      <c r="M16" s="4">
        <f t="shared" si="32"/>
        <v>5.9173237927219118</v>
      </c>
      <c r="N16" s="4">
        <f t="shared" si="32"/>
        <v>0</v>
      </c>
      <c r="O16" s="4">
        <f t="shared" si="33"/>
        <v>14.79330948180478</v>
      </c>
      <c r="P16" s="267">
        <f t="shared" si="34"/>
        <v>0</v>
      </c>
      <c r="Q16" s="6">
        <f t="shared" si="35"/>
        <v>6.403119574503266E-2</v>
      </c>
      <c r="R16" s="273"/>
      <c r="S16" s="4">
        <f t="shared" si="36"/>
        <v>5.3782094577125417</v>
      </c>
      <c r="T16" s="4">
        <f t="shared" si="36"/>
        <v>0.53911433500936978</v>
      </c>
      <c r="U16" s="4">
        <f t="shared" si="37"/>
        <v>13.445523644281355</v>
      </c>
      <c r="V16" s="267">
        <f t="shared" si="38"/>
        <v>1.2534408288967849</v>
      </c>
      <c r="W16" s="273"/>
      <c r="X16" s="4">
        <f t="shared" si="39"/>
        <v>5.0187999010396283</v>
      </c>
      <c r="Y16" s="4">
        <f t="shared" si="39"/>
        <v>0.89852389168228297</v>
      </c>
      <c r="Z16" s="4">
        <f t="shared" si="40"/>
        <v>12.546999752599071</v>
      </c>
      <c r="AA16" s="267">
        <f t="shared" si="41"/>
        <v>2.089068048161308</v>
      </c>
      <c r="AB16" s="273"/>
      <c r="AC16" s="4">
        <f t="shared" si="42"/>
        <v>4.1202760093573456</v>
      </c>
      <c r="AD16" s="4">
        <f t="shared" si="42"/>
        <v>1.7970477833645659</v>
      </c>
      <c r="AE16" s="4">
        <f t="shared" si="43"/>
        <v>10.300690023393365</v>
      </c>
      <c r="AF16" s="267">
        <f t="shared" si="44"/>
        <v>4.178136096322616</v>
      </c>
      <c r="AG16" s="273"/>
      <c r="AH16" s="4">
        <f t="shared" si="45"/>
        <v>2.3232282259927794</v>
      </c>
      <c r="AI16" s="4">
        <f t="shared" si="45"/>
        <v>3.5940955667291319</v>
      </c>
      <c r="AJ16" s="4">
        <f t="shared" si="46"/>
        <v>5.8080705649819482</v>
      </c>
      <c r="AK16" s="267">
        <f t="shared" si="47"/>
        <v>8.3562721926452319</v>
      </c>
      <c r="AL16" s="273"/>
      <c r="AM16" s="4">
        <f t="shared" si="48"/>
        <v>1.7242122982045915</v>
      </c>
      <c r="AN16" s="4">
        <f t="shared" si="48"/>
        <v>4.1931114945173196</v>
      </c>
      <c r="AO16" s="4">
        <f t="shared" si="49"/>
        <v>4.3105307455114792</v>
      </c>
      <c r="AP16" s="267">
        <f t="shared" si="50"/>
        <v>9.7489842247527694</v>
      </c>
      <c r="AQ16" s="273"/>
      <c r="AR16" s="4">
        <f t="shared" si="51"/>
        <v>0</v>
      </c>
      <c r="AS16" s="4">
        <f t="shared" si="51"/>
        <v>5.9173237927219118</v>
      </c>
      <c r="AT16" s="4">
        <f t="shared" si="52"/>
        <v>0</v>
      </c>
      <c r="AU16" s="267">
        <f t="shared" si="53"/>
        <v>13.757777818078447</v>
      </c>
    </row>
    <row r="17" spans="1:47" x14ac:dyDescent="0.4">
      <c r="A17" s="18">
        <f>SUM(F12:F18)</f>
        <v>1</v>
      </c>
      <c r="B17">
        <v>4</v>
      </c>
      <c r="C17" s="1">
        <v>3.4</v>
      </c>
      <c r="D17" s="1">
        <f t="shared" si="0"/>
        <v>3.1619999999999999</v>
      </c>
      <c r="E17" s="4">
        <v>3913</v>
      </c>
      <c r="F17" s="6">
        <f t="shared" si="28"/>
        <v>5.3917380880205035E-2</v>
      </c>
      <c r="H17" s="4">
        <f t="shared" si="29"/>
        <v>4.9826744137983301</v>
      </c>
      <c r="I17" s="4">
        <f t="shared" si="30"/>
        <v>0</v>
      </c>
      <c r="J17" s="267">
        <f t="shared" si="31"/>
        <v>16.941093006914322</v>
      </c>
      <c r="K17" s="267">
        <f t="shared" si="27"/>
        <v>0</v>
      </c>
      <c r="L17" s="273"/>
      <c r="M17" s="4">
        <f t="shared" si="32"/>
        <v>4.9826744137983301</v>
      </c>
      <c r="N17" s="4">
        <f t="shared" si="32"/>
        <v>0</v>
      </c>
      <c r="O17" s="4">
        <f t="shared" si="33"/>
        <v>16.941093006914322</v>
      </c>
      <c r="P17" s="267">
        <f t="shared" si="34"/>
        <v>0</v>
      </c>
      <c r="Q17" s="6">
        <f t="shared" si="35"/>
        <v>5.3917380880205035E-2</v>
      </c>
      <c r="R17" s="273"/>
      <c r="S17" s="4">
        <f t="shared" si="36"/>
        <v>4.5287139246888692</v>
      </c>
      <c r="T17" s="4">
        <f t="shared" si="36"/>
        <v>0.45396048910946074</v>
      </c>
      <c r="U17" s="4">
        <f t="shared" si="37"/>
        <v>15.397627343942155</v>
      </c>
      <c r="V17" s="267">
        <f t="shared" si="38"/>
        <v>1.4354230665641148</v>
      </c>
      <c r="W17" s="273"/>
      <c r="X17" s="4">
        <f t="shared" si="39"/>
        <v>4.226073598615895</v>
      </c>
      <c r="Y17" s="4">
        <f t="shared" si="39"/>
        <v>0.75660081518243449</v>
      </c>
      <c r="Z17" s="4">
        <f t="shared" si="40"/>
        <v>14.368650235294043</v>
      </c>
      <c r="AA17" s="267">
        <f t="shared" si="41"/>
        <v>2.3923717776068578</v>
      </c>
      <c r="AB17" s="273"/>
      <c r="AC17" s="4">
        <f t="shared" si="42"/>
        <v>3.4694727834334613</v>
      </c>
      <c r="AD17" s="4">
        <f t="shared" si="42"/>
        <v>1.513201630364869</v>
      </c>
      <c r="AE17" s="4">
        <f t="shared" si="43"/>
        <v>11.796207463673769</v>
      </c>
      <c r="AF17" s="267">
        <f t="shared" si="44"/>
        <v>4.7847435552137156</v>
      </c>
      <c r="AG17" s="273"/>
      <c r="AH17" s="4">
        <f t="shared" si="45"/>
        <v>1.9562711530685919</v>
      </c>
      <c r="AI17" s="4">
        <f t="shared" si="45"/>
        <v>3.026403260729738</v>
      </c>
      <c r="AJ17" s="4">
        <f t="shared" si="46"/>
        <v>6.6513219204332126</v>
      </c>
      <c r="AK17" s="267">
        <f t="shared" si="47"/>
        <v>9.5694871104274313</v>
      </c>
      <c r="AL17" s="273"/>
      <c r="AM17" s="4">
        <f t="shared" si="48"/>
        <v>1.451870609613636</v>
      </c>
      <c r="AN17" s="4">
        <f t="shared" si="48"/>
        <v>3.5308038041846941</v>
      </c>
      <c r="AO17" s="4">
        <f t="shared" si="49"/>
        <v>4.9363600726863623</v>
      </c>
      <c r="AP17" s="267">
        <f t="shared" si="50"/>
        <v>11.164401628832003</v>
      </c>
      <c r="AQ17" s="273"/>
      <c r="AR17" s="4">
        <f t="shared" si="51"/>
        <v>0</v>
      </c>
      <c r="AS17" s="4">
        <f t="shared" si="51"/>
        <v>4.9826744137983301</v>
      </c>
      <c r="AT17" s="4">
        <f t="shared" si="52"/>
        <v>0</v>
      </c>
      <c r="AU17" s="267">
        <f t="shared" si="53"/>
        <v>15.75521649643032</v>
      </c>
    </row>
    <row r="18" spans="1:47" x14ac:dyDescent="0.4">
      <c r="B18">
        <v>5</v>
      </c>
      <c r="C18" s="1">
        <v>6</v>
      </c>
      <c r="D18" s="1">
        <f t="shared" si="0"/>
        <v>5.58</v>
      </c>
      <c r="E18" s="4">
        <v>2732</v>
      </c>
      <c r="F18" s="6">
        <f t="shared" si="28"/>
        <v>3.7644335436933338E-2</v>
      </c>
      <c r="H18" s="4">
        <f t="shared" si="29"/>
        <v>3.4788312032959463</v>
      </c>
      <c r="I18" s="4">
        <f t="shared" si="30"/>
        <v>0</v>
      </c>
      <c r="J18" s="267">
        <f t="shared" si="31"/>
        <v>20.872987219775677</v>
      </c>
      <c r="K18" s="267">
        <f t="shared" si="27"/>
        <v>0</v>
      </c>
      <c r="L18" s="273"/>
      <c r="M18" s="4">
        <f t="shared" si="32"/>
        <v>3.4788312032959463</v>
      </c>
      <c r="N18" s="4">
        <f t="shared" si="32"/>
        <v>0</v>
      </c>
      <c r="O18" s="4">
        <f t="shared" si="33"/>
        <v>20.872987219775677</v>
      </c>
      <c r="P18" s="267">
        <f t="shared" si="34"/>
        <v>0</v>
      </c>
      <c r="Q18" s="6">
        <f t="shared" si="35"/>
        <v>3.7644335436933338E-2</v>
      </c>
      <c r="R18" s="273"/>
      <c r="S18" s="4">
        <f t="shared" si="36"/>
        <v>3.1618825561589547</v>
      </c>
      <c r="T18" s="4">
        <f t="shared" si="36"/>
        <v>0.31694864713699122</v>
      </c>
      <c r="U18" s="4">
        <f t="shared" si="37"/>
        <v>18.97129533695373</v>
      </c>
      <c r="V18" s="267">
        <f t="shared" si="38"/>
        <v>1.7685734510244111</v>
      </c>
      <c r="W18" s="273"/>
      <c r="X18" s="4">
        <f t="shared" si="39"/>
        <v>2.9505834580676273</v>
      </c>
      <c r="Y18" s="4">
        <f t="shared" si="39"/>
        <v>0.52824774522831863</v>
      </c>
      <c r="Z18" s="4">
        <f t="shared" si="40"/>
        <v>17.703500748405766</v>
      </c>
      <c r="AA18" s="267">
        <f t="shared" si="41"/>
        <v>2.9476224183740181</v>
      </c>
      <c r="AB18" s="273"/>
      <c r="AC18" s="4">
        <f t="shared" si="42"/>
        <v>2.4223357128393088</v>
      </c>
      <c r="AD18" s="4">
        <f t="shared" si="42"/>
        <v>1.0564954904566373</v>
      </c>
      <c r="AE18" s="4">
        <f t="shared" si="43"/>
        <v>14.534014277035853</v>
      </c>
      <c r="AF18" s="267">
        <f t="shared" si="44"/>
        <v>5.8952448367480361</v>
      </c>
      <c r="AG18" s="273"/>
      <c r="AH18" s="4">
        <f t="shared" si="45"/>
        <v>1.3658402223826713</v>
      </c>
      <c r="AI18" s="4">
        <f t="shared" si="45"/>
        <v>2.1129909809132745</v>
      </c>
      <c r="AJ18" s="4">
        <f t="shared" si="46"/>
        <v>8.1950413342960289</v>
      </c>
      <c r="AK18" s="267">
        <f t="shared" si="47"/>
        <v>11.790489673496072</v>
      </c>
      <c r="AL18" s="273"/>
      <c r="AM18" s="4">
        <f t="shared" si="48"/>
        <v>1.0136750588971259</v>
      </c>
      <c r="AN18" s="4">
        <f t="shared" si="48"/>
        <v>2.4651561443988204</v>
      </c>
      <c r="AO18" s="4">
        <f t="shared" si="49"/>
        <v>6.0820503533827557</v>
      </c>
      <c r="AP18" s="267">
        <f t="shared" si="50"/>
        <v>13.755571285745418</v>
      </c>
      <c r="AQ18" s="273"/>
      <c r="AR18" s="4">
        <f t="shared" si="51"/>
        <v>0</v>
      </c>
      <c r="AS18" s="4">
        <f t="shared" si="51"/>
        <v>3.4788312032959463</v>
      </c>
      <c r="AT18" s="4">
        <f t="shared" si="52"/>
        <v>0</v>
      </c>
      <c r="AU18" s="267">
        <f t="shared" si="53"/>
        <v>19.411878114391381</v>
      </c>
    </row>
    <row r="19" spans="1:47" x14ac:dyDescent="0.4">
      <c r="D19" s="1">
        <f t="shared" si="0"/>
        <v>0</v>
      </c>
      <c r="F19" s="6"/>
      <c r="G19" s="4">
        <f>機器台数４!D31</f>
        <v>469.174398</v>
      </c>
      <c r="H19" s="4">
        <f>G19*(1-G$3)</f>
        <v>469.174398</v>
      </c>
      <c r="I19" s="4">
        <f>G19*$G$3</f>
        <v>0</v>
      </c>
      <c r="J19" s="4">
        <f>SUM(J20:J26)</f>
        <v>1272.5946431140326</v>
      </c>
      <c r="K19" s="267">
        <f t="shared" si="27"/>
        <v>0</v>
      </c>
      <c r="L19" s="273">
        <f>機器台数４!F31</f>
        <v>469.174398</v>
      </c>
      <c r="M19" s="4">
        <f>L19*(1-L$3)</f>
        <v>469.174398</v>
      </c>
      <c r="N19" s="4">
        <f>L19*$G$3</f>
        <v>0</v>
      </c>
      <c r="O19" s="4">
        <f>SUM(O20:O26)</f>
        <v>1272.5946431140326</v>
      </c>
      <c r="P19" s="267">
        <f>I19*N19</f>
        <v>0</v>
      </c>
      <c r="Q19" s="6"/>
      <c r="R19" s="273">
        <f>機器台数４!H31</f>
        <v>426.42895218000001</v>
      </c>
      <c r="S19" s="4">
        <f>R19*(1-R$3)</f>
        <v>426.42895218000001</v>
      </c>
      <c r="T19" s="4">
        <f>機器台数４!H41</f>
        <v>42.74544582</v>
      </c>
      <c r="U19" s="4">
        <f>SUM(U20:U26)</f>
        <v>1156.6513486803642</v>
      </c>
      <c r="V19" s="4">
        <f>SUM(V20:V26)</f>
        <v>107.82726382331161</v>
      </c>
      <c r="W19" s="273">
        <f>機器台数４!J31</f>
        <v>397.9319883</v>
      </c>
      <c r="X19" s="4">
        <f>W19*(1-W$3)</f>
        <v>397.9319883</v>
      </c>
      <c r="Y19" s="4">
        <f>機器台数４!J41</f>
        <v>71.242409699999996</v>
      </c>
      <c r="Z19" s="4">
        <f>SUM(Z20:Z26)</f>
        <v>1079.3558190579186</v>
      </c>
      <c r="AA19" s="4">
        <f>SUM(AA20:AA26)</f>
        <v>179.71210637218599</v>
      </c>
      <c r="AB19" s="273"/>
      <c r="AC19" s="4">
        <f>機器台数４!L31</f>
        <v>326.6895786</v>
      </c>
      <c r="AD19" s="4">
        <f>機器台数４!L41</f>
        <v>142.48481939999999</v>
      </c>
      <c r="AE19" s="4">
        <f>SUM(AE20:AE26)</f>
        <v>886.11699500180453</v>
      </c>
      <c r="AF19" s="4">
        <f>SUM(AF20:AF26)</f>
        <v>359.42421274437197</v>
      </c>
      <c r="AG19" s="273">
        <f>機器台数４!N31</f>
        <v>184.20475919999996</v>
      </c>
      <c r="AH19" s="4">
        <f>機器台数４!N31</f>
        <v>184.20475919999996</v>
      </c>
      <c r="AI19" s="4">
        <f>機器台数４!N41</f>
        <v>284.96963879999998</v>
      </c>
      <c r="AJ19" s="4">
        <f>SUM(AJ20:AJ26)</f>
        <v>499.63934688957647</v>
      </c>
      <c r="AK19" s="4">
        <f>SUM(AK20:AK26)</f>
        <v>718.84842548874394</v>
      </c>
      <c r="AL19" s="273">
        <f>機器台数４!S31</f>
        <v>0.33</v>
      </c>
      <c r="AM19" s="4">
        <f>機器台数４!P31</f>
        <v>136.70981940000001</v>
      </c>
      <c r="AN19" s="4">
        <f>機器台数４!P41</f>
        <v>332.46457859999992</v>
      </c>
      <c r="AO19" s="4">
        <f>SUM(AO20:AO26)</f>
        <v>370.81346418550072</v>
      </c>
      <c r="AP19" s="4">
        <f>SUM(AP20:AP26)</f>
        <v>838.65649640353456</v>
      </c>
      <c r="AQ19" s="273">
        <f>機器台数４!X31</f>
        <v>0</v>
      </c>
      <c r="AR19" s="4">
        <f>機器台数４!R31</f>
        <v>0</v>
      </c>
      <c r="AS19" s="4">
        <f>機器台数４!R41</f>
        <v>469.174398</v>
      </c>
      <c r="AT19" s="4">
        <f>SUM(AT20:AT26)</f>
        <v>0</v>
      </c>
      <c r="AU19" s="4">
        <f>SUM(AU20:AU26)</f>
        <v>1183.5130180960505</v>
      </c>
    </row>
    <row r="20" spans="1:47" x14ac:dyDescent="0.4">
      <c r="A20" t="s">
        <v>6</v>
      </c>
      <c r="B20">
        <v>1.5</v>
      </c>
      <c r="C20" s="1">
        <v>1.8</v>
      </c>
      <c r="D20" s="1">
        <f t="shared" si="0"/>
        <v>1.6740000000000002</v>
      </c>
      <c r="E20" s="4">
        <v>32946</v>
      </c>
      <c r="F20" s="6">
        <v>6.5181005591013225E-2</v>
      </c>
      <c r="H20" s="4">
        <f t="shared" ref="H20:H26" si="54">F20*H$19</f>
        <v>30.581259059198263</v>
      </c>
      <c r="I20" s="4">
        <f t="shared" ref="I20:I26" si="55">$F20*I$19</f>
        <v>0</v>
      </c>
      <c r="J20" s="267">
        <f t="shared" ref="J20:J26" si="56">C20*H20</f>
        <v>55.046266306556873</v>
      </c>
      <c r="K20" s="267">
        <f t="shared" si="27"/>
        <v>0</v>
      </c>
      <c r="L20" s="273"/>
      <c r="M20" s="4">
        <f t="shared" ref="M20:N26" si="57">$F20*M$19</f>
        <v>30.581259059198263</v>
      </c>
      <c r="N20" s="4">
        <f t="shared" si="57"/>
        <v>0</v>
      </c>
      <c r="O20" s="4">
        <f t="shared" ref="O20:O26" si="58">$C20*$M20</f>
        <v>55.046266306556873</v>
      </c>
      <c r="P20" s="267">
        <f t="shared" ref="P20:P26" si="59">$D20*$N20</f>
        <v>0</v>
      </c>
      <c r="Q20" s="6">
        <f t="shared" ref="Q20:Q26" si="60">E20/$A$22</f>
        <v>6.5181005591013225E-2</v>
      </c>
      <c r="R20" s="273">
        <f>SUM(S20:S26)</f>
        <v>426.42895218000001</v>
      </c>
      <c r="S20" s="4">
        <f t="shared" ref="S20:T26" si="61">$F20*S$19</f>
        <v>27.795067916214492</v>
      </c>
      <c r="T20" s="4">
        <f t="shared" si="61"/>
        <v>2.7861911429837729</v>
      </c>
      <c r="U20" s="4">
        <f t="shared" ref="U20:U26" si="62">$C20*S20</f>
        <v>50.03112224918609</v>
      </c>
      <c r="V20" s="267">
        <f t="shared" ref="V20:V26" si="63">$D20*T20</f>
        <v>4.6640839733548365</v>
      </c>
      <c r="W20" s="273">
        <f>SUM(X20:X26)</f>
        <v>397.9319883</v>
      </c>
      <c r="X20" s="4">
        <f t="shared" ref="X20:Y26" si="64">$F20*X$19</f>
        <v>25.937607154225308</v>
      </c>
      <c r="Y20" s="4">
        <f t="shared" si="64"/>
        <v>4.6436519049729545</v>
      </c>
      <c r="Z20" s="4">
        <f t="shared" ref="Z20:Z26" si="65">$C20*X20</f>
        <v>46.687692877605556</v>
      </c>
      <c r="AA20" s="267">
        <f t="shared" ref="AA20:AA26" si="66">$D20*Y20</f>
        <v>7.7734732889247269</v>
      </c>
      <c r="AB20" s="273">
        <f>SUM(AC20:AC26)</f>
        <v>326.68957860000006</v>
      </c>
      <c r="AC20" s="4">
        <f t="shared" ref="AC20:AD26" si="67">$F20*AC$19</f>
        <v>21.293955249252356</v>
      </c>
      <c r="AD20" s="4">
        <f t="shared" si="67"/>
        <v>9.2873038099459091</v>
      </c>
      <c r="AE20" s="4">
        <f t="shared" ref="AE20:AE26" si="68">$C20*AC20</f>
        <v>38.329119448654239</v>
      </c>
      <c r="AF20" s="267">
        <f t="shared" ref="AF20:AF26" si="69">$D20*AD20</f>
        <v>15.546946577849454</v>
      </c>
      <c r="AG20" s="273">
        <f>SUM(AH20:AH26)</f>
        <v>184.20475919999996</v>
      </c>
      <c r="AH20" s="4">
        <f t="shared" ref="AH20:AI26" si="70">$F20*AH$19</f>
        <v>12.006651439306442</v>
      </c>
      <c r="AI20" s="4">
        <f t="shared" si="70"/>
        <v>18.574607619891818</v>
      </c>
      <c r="AJ20" s="4">
        <f t="shared" ref="AJ20:AJ26" si="71">$C20*AH20</f>
        <v>21.611972590751595</v>
      </c>
      <c r="AK20" s="267">
        <f t="shared" ref="AK20:AK26" si="72">$D20*AI20</f>
        <v>31.093893155698908</v>
      </c>
      <c r="AL20" s="273">
        <f>SUM(AM20:AM26)</f>
        <v>136.70981940000001</v>
      </c>
      <c r="AM20" s="4">
        <f t="shared" ref="AM20:AN26" si="73">$F20*AM$19</f>
        <v>8.9108835026578088</v>
      </c>
      <c r="AN20" s="4">
        <f t="shared" si="73"/>
        <v>21.670375556540449</v>
      </c>
      <c r="AO20" s="4">
        <f t="shared" ref="AO20:AO26" si="74">$C20*AM20</f>
        <v>16.039590304784056</v>
      </c>
      <c r="AP20" s="267">
        <f t="shared" ref="AP20:AP26" si="75">$D20*AN20</f>
        <v>36.276208681648718</v>
      </c>
      <c r="AQ20" s="273">
        <f>SUM(AR20:AR26)</f>
        <v>0</v>
      </c>
      <c r="AR20" s="4">
        <f t="shared" ref="AR20:AS26" si="76">$F20*AR$19</f>
        <v>0</v>
      </c>
      <c r="AS20" s="4">
        <f t="shared" si="76"/>
        <v>30.581259059198263</v>
      </c>
      <c r="AT20" s="4">
        <f t="shared" ref="AT20:AT26" si="77">$C20*AR20</f>
        <v>0</v>
      </c>
      <c r="AU20" s="267">
        <f t="shared" ref="AU20:AU26" si="78">$D20*AS20</f>
        <v>51.193027665097901</v>
      </c>
    </row>
    <row r="21" spans="1:47" x14ac:dyDescent="0.4">
      <c r="A21" t="s">
        <v>17</v>
      </c>
      <c r="B21">
        <v>2</v>
      </c>
      <c r="C21" s="1">
        <v>2</v>
      </c>
      <c r="D21" s="1">
        <f t="shared" si="0"/>
        <v>1.86</v>
      </c>
      <c r="E21" s="4">
        <v>122471</v>
      </c>
      <c r="F21" s="6">
        <v>0.24229900248093794</v>
      </c>
      <c r="H21" s="4">
        <f t="shared" si="54"/>
        <v>113.68048862499457</v>
      </c>
      <c r="I21" s="4">
        <f t="shared" si="55"/>
        <v>0</v>
      </c>
      <c r="J21" s="267">
        <f t="shared" si="56"/>
        <v>227.36097724998913</v>
      </c>
      <c r="K21" s="267">
        <f t="shared" si="27"/>
        <v>0</v>
      </c>
      <c r="L21" s="273"/>
      <c r="M21" s="4">
        <f t="shared" si="57"/>
        <v>113.68048862499457</v>
      </c>
      <c r="N21" s="4">
        <f t="shared" si="57"/>
        <v>0</v>
      </c>
      <c r="O21" s="4">
        <f t="shared" si="58"/>
        <v>227.36097724998913</v>
      </c>
      <c r="P21" s="267">
        <f t="shared" si="59"/>
        <v>0</v>
      </c>
      <c r="Q21" s="6">
        <f t="shared" si="60"/>
        <v>0.24229900248093794</v>
      </c>
      <c r="R21" s="273"/>
      <c r="S21" s="4">
        <f t="shared" si="61"/>
        <v>103.32330974220559</v>
      </c>
      <c r="T21" s="4">
        <f t="shared" si="61"/>
        <v>10.357178882788979</v>
      </c>
      <c r="U21" s="4">
        <f t="shared" si="62"/>
        <v>206.64661948441119</v>
      </c>
      <c r="V21" s="267">
        <f t="shared" si="63"/>
        <v>19.264352721987503</v>
      </c>
      <c r="W21" s="273"/>
      <c r="X21" s="4">
        <f t="shared" si="64"/>
        <v>96.418523820346266</v>
      </c>
      <c r="Y21" s="4">
        <f t="shared" si="64"/>
        <v>17.261964804648297</v>
      </c>
      <c r="Z21" s="4">
        <f t="shared" si="65"/>
        <v>192.83704764069253</v>
      </c>
      <c r="AA21" s="267">
        <f t="shared" si="66"/>
        <v>32.107254536645833</v>
      </c>
      <c r="AB21" s="273"/>
      <c r="AC21" s="4">
        <f t="shared" si="67"/>
        <v>79.156559015697965</v>
      </c>
      <c r="AD21" s="4">
        <f t="shared" si="67"/>
        <v>34.523929609296594</v>
      </c>
      <c r="AE21" s="4">
        <f t="shared" si="68"/>
        <v>158.31311803139593</v>
      </c>
      <c r="AF21" s="267">
        <f t="shared" si="69"/>
        <v>64.214509073291666</v>
      </c>
      <c r="AG21" s="273"/>
      <c r="AH21" s="4">
        <f t="shared" si="70"/>
        <v>44.632629406401364</v>
      </c>
      <c r="AI21" s="4">
        <f t="shared" si="70"/>
        <v>69.047859218593189</v>
      </c>
      <c r="AJ21" s="4">
        <f t="shared" si="71"/>
        <v>89.265258812802728</v>
      </c>
      <c r="AK21" s="267">
        <f t="shared" si="72"/>
        <v>128.42901814658333</v>
      </c>
      <c r="AL21" s="273"/>
      <c r="AM21" s="4">
        <f t="shared" si="73"/>
        <v>33.124652869969182</v>
      </c>
      <c r="AN21" s="4">
        <f t="shared" si="73"/>
        <v>80.55583575502537</v>
      </c>
      <c r="AO21" s="4">
        <f t="shared" si="74"/>
        <v>66.249305739938364</v>
      </c>
      <c r="AP21" s="267">
        <f t="shared" si="75"/>
        <v>149.83385450434719</v>
      </c>
      <c r="AQ21" s="273"/>
      <c r="AR21" s="4">
        <f t="shared" si="76"/>
        <v>0</v>
      </c>
      <c r="AS21" s="4">
        <f t="shared" si="76"/>
        <v>113.68048862499457</v>
      </c>
      <c r="AT21" s="4">
        <f t="shared" si="77"/>
        <v>0</v>
      </c>
      <c r="AU21" s="267">
        <f t="shared" si="78"/>
        <v>211.44570884248989</v>
      </c>
    </row>
    <row r="22" spans="1:47" x14ac:dyDescent="0.4">
      <c r="A22" s="5">
        <f>SUM(E20:E26)</f>
        <v>505454</v>
      </c>
      <c r="B22">
        <v>2.5</v>
      </c>
      <c r="C22" s="1">
        <v>2.2000000000000002</v>
      </c>
      <c r="D22" s="1">
        <f t="shared" si="0"/>
        <v>2.0460000000000003</v>
      </c>
      <c r="E22" s="4">
        <v>82511</v>
      </c>
      <c r="F22" s="6">
        <v>0.16324136321010418</v>
      </c>
      <c r="H22" s="4">
        <f t="shared" si="54"/>
        <v>76.588668312799982</v>
      </c>
      <c r="I22" s="4">
        <f t="shared" si="55"/>
        <v>0</v>
      </c>
      <c r="J22" s="267">
        <f t="shared" si="56"/>
        <v>168.49507028815998</v>
      </c>
      <c r="K22" s="267">
        <f t="shared" si="27"/>
        <v>0</v>
      </c>
      <c r="L22" s="273"/>
      <c r="M22" s="4">
        <f t="shared" si="57"/>
        <v>76.588668312799982</v>
      </c>
      <c r="N22" s="4">
        <f t="shared" si="57"/>
        <v>0</v>
      </c>
      <c r="O22" s="4">
        <f t="shared" si="58"/>
        <v>168.49507028815998</v>
      </c>
      <c r="P22" s="267">
        <f t="shared" si="59"/>
        <v>0</v>
      </c>
      <c r="Q22" s="6">
        <f t="shared" si="60"/>
        <v>0.16324136321010418</v>
      </c>
      <c r="R22" s="273"/>
      <c r="S22" s="4">
        <f t="shared" si="61"/>
        <v>69.610843466119533</v>
      </c>
      <c r="T22" s="4">
        <f t="shared" si="61"/>
        <v>6.9778248466804493</v>
      </c>
      <c r="U22" s="4">
        <f t="shared" si="62"/>
        <v>153.14385562546298</v>
      </c>
      <c r="V22" s="267">
        <f t="shared" si="63"/>
        <v>14.276629636308201</v>
      </c>
      <c r="W22" s="273"/>
      <c r="X22" s="4">
        <f t="shared" si="64"/>
        <v>64.958960234999225</v>
      </c>
      <c r="Y22" s="4">
        <f t="shared" si="64"/>
        <v>11.629708077800748</v>
      </c>
      <c r="Z22" s="4">
        <f t="shared" si="65"/>
        <v>142.9097125169983</v>
      </c>
      <c r="AA22" s="267">
        <f t="shared" si="66"/>
        <v>23.794382727180334</v>
      </c>
      <c r="AB22" s="273"/>
      <c r="AC22" s="4">
        <f t="shared" si="67"/>
        <v>53.329252157198482</v>
      </c>
      <c r="AD22" s="4">
        <f t="shared" si="67"/>
        <v>23.259416155601496</v>
      </c>
      <c r="AE22" s="4">
        <f t="shared" si="68"/>
        <v>117.32435474583667</v>
      </c>
      <c r="AF22" s="267">
        <f t="shared" si="69"/>
        <v>47.588765454360669</v>
      </c>
      <c r="AG22" s="273"/>
      <c r="AH22" s="4">
        <f t="shared" si="70"/>
        <v>30.069836001596972</v>
      </c>
      <c r="AI22" s="4">
        <f t="shared" si="70"/>
        <v>46.518832311202992</v>
      </c>
      <c r="AJ22" s="4">
        <f t="shared" si="71"/>
        <v>66.15363920351335</v>
      </c>
      <c r="AK22" s="267">
        <f t="shared" si="72"/>
        <v>95.177530908721337</v>
      </c>
      <c r="AL22" s="273"/>
      <c r="AM22" s="4">
        <f t="shared" si="73"/>
        <v>22.316697283063149</v>
      </c>
      <c r="AN22" s="4">
        <f t="shared" si="73"/>
        <v>54.271971029736818</v>
      </c>
      <c r="AO22" s="4">
        <f t="shared" si="74"/>
        <v>49.096734022738936</v>
      </c>
      <c r="AP22" s="267">
        <f t="shared" si="75"/>
        <v>111.04045272684155</v>
      </c>
      <c r="AQ22" s="273"/>
      <c r="AR22" s="4">
        <f t="shared" si="76"/>
        <v>0</v>
      </c>
      <c r="AS22" s="4">
        <f t="shared" si="76"/>
        <v>76.588668312799982</v>
      </c>
      <c r="AT22" s="4">
        <f t="shared" si="77"/>
        <v>0</v>
      </c>
      <c r="AU22" s="267">
        <f t="shared" si="78"/>
        <v>156.7004153679888</v>
      </c>
    </row>
    <row r="23" spans="1:47" x14ac:dyDescent="0.4">
      <c r="A23" s="237">
        <f>A22/$E$75</f>
        <v>0.33416170667385958</v>
      </c>
      <c r="B23">
        <v>3</v>
      </c>
      <c r="C23" s="1">
        <v>2.7</v>
      </c>
      <c r="D23" s="1">
        <f t="shared" si="0"/>
        <v>2.5110000000000001</v>
      </c>
      <c r="E23" s="4">
        <v>111538</v>
      </c>
      <c r="F23" s="6">
        <v>0.22066894316792429</v>
      </c>
      <c r="H23" s="4">
        <f t="shared" si="54"/>
        <v>103.5322185681071</v>
      </c>
      <c r="I23" s="4">
        <f t="shared" si="55"/>
        <v>0</v>
      </c>
      <c r="J23" s="267">
        <f t="shared" si="56"/>
        <v>279.53699013388916</v>
      </c>
      <c r="K23" s="267">
        <f t="shared" si="27"/>
        <v>0</v>
      </c>
      <c r="L23" s="273"/>
      <c r="M23" s="4">
        <f t="shared" si="57"/>
        <v>103.5322185681071</v>
      </c>
      <c r="N23" s="4">
        <f t="shared" si="57"/>
        <v>0</v>
      </c>
      <c r="O23" s="4">
        <f t="shared" si="58"/>
        <v>279.53699013388916</v>
      </c>
      <c r="P23" s="267">
        <f t="shared" si="59"/>
        <v>0</v>
      </c>
      <c r="Q23" s="6">
        <f t="shared" si="60"/>
        <v>0.22066894316792429</v>
      </c>
      <c r="R23" s="273"/>
      <c r="S23" s="4">
        <f t="shared" si="61"/>
        <v>94.09962621376593</v>
      </c>
      <c r="T23" s="4">
        <f t="shared" si="61"/>
        <v>9.4325923543411676</v>
      </c>
      <c r="U23" s="4">
        <f t="shared" si="62"/>
        <v>254.06899077716804</v>
      </c>
      <c r="V23" s="267">
        <f t="shared" si="63"/>
        <v>23.685239401750675</v>
      </c>
      <c r="W23" s="273"/>
      <c r="X23" s="4">
        <f t="shared" si="64"/>
        <v>87.811231310871818</v>
      </c>
      <c r="Y23" s="4">
        <f t="shared" si="64"/>
        <v>15.720987257235278</v>
      </c>
      <c r="Z23" s="4">
        <f t="shared" si="65"/>
        <v>237.09032453935393</v>
      </c>
      <c r="AA23" s="267">
        <f t="shared" si="66"/>
        <v>39.475399002917783</v>
      </c>
      <c r="AB23" s="273"/>
      <c r="AC23" s="4">
        <f t="shared" si="67"/>
        <v>72.090244053636539</v>
      </c>
      <c r="AD23" s="4">
        <f t="shared" si="67"/>
        <v>31.441974514470555</v>
      </c>
      <c r="AE23" s="4">
        <f t="shared" si="68"/>
        <v>194.64365894481867</v>
      </c>
      <c r="AF23" s="267">
        <f t="shared" si="69"/>
        <v>78.950798005835566</v>
      </c>
      <c r="AG23" s="273"/>
      <c r="AH23" s="4">
        <f t="shared" si="70"/>
        <v>40.648269539165966</v>
      </c>
      <c r="AI23" s="4">
        <f t="shared" si="70"/>
        <v>62.88394902894111</v>
      </c>
      <c r="AJ23" s="4">
        <f t="shared" si="71"/>
        <v>109.75032775574812</v>
      </c>
      <c r="AK23" s="267">
        <f t="shared" si="72"/>
        <v>157.90159601167113</v>
      </c>
      <c r="AL23" s="273"/>
      <c r="AM23" s="4">
        <f t="shared" si="73"/>
        <v>30.167611367675796</v>
      </c>
      <c r="AN23" s="4">
        <f t="shared" si="73"/>
        <v>73.36460720043128</v>
      </c>
      <c r="AO23" s="4">
        <f t="shared" si="74"/>
        <v>81.452550692724657</v>
      </c>
      <c r="AP23" s="267">
        <f t="shared" si="75"/>
        <v>184.21852868028296</v>
      </c>
      <c r="AQ23" s="273"/>
      <c r="AR23" s="4">
        <f t="shared" si="76"/>
        <v>0</v>
      </c>
      <c r="AS23" s="4">
        <f t="shared" si="76"/>
        <v>103.5322185681071</v>
      </c>
      <c r="AT23" s="4">
        <f t="shared" si="77"/>
        <v>0</v>
      </c>
      <c r="AU23" s="267">
        <f t="shared" si="78"/>
        <v>259.96940082451692</v>
      </c>
    </row>
    <row r="24" spans="1:47" x14ac:dyDescent="0.4">
      <c r="B24">
        <v>3.5</v>
      </c>
      <c r="C24" s="1">
        <v>3</v>
      </c>
      <c r="D24" s="1">
        <f t="shared" si="0"/>
        <v>2.79</v>
      </c>
      <c r="E24" s="4">
        <v>50267</v>
      </c>
      <c r="F24" s="6">
        <v>9.944920803871371E-2</v>
      </c>
      <c r="H24" s="4">
        <f t="shared" si="54"/>
        <v>46.659022313140262</v>
      </c>
      <c r="I24" s="4">
        <f t="shared" si="55"/>
        <v>0</v>
      </c>
      <c r="J24" s="267">
        <f t="shared" si="56"/>
        <v>139.97706693942078</v>
      </c>
      <c r="K24" s="267">
        <f t="shared" si="27"/>
        <v>0</v>
      </c>
      <c r="L24" s="273"/>
      <c r="M24" s="4">
        <f t="shared" si="57"/>
        <v>46.659022313140262</v>
      </c>
      <c r="N24" s="4">
        <f t="shared" si="57"/>
        <v>0</v>
      </c>
      <c r="O24" s="4">
        <f t="shared" si="58"/>
        <v>139.97706693942078</v>
      </c>
      <c r="P24" s="267">
        <f t="shared" si="59"/>
        <v>0</v>
      </c>
      <c r="Q24" s="6">
        <f t="shared" si="60"/>
        <v>9.944920803871371E-2</v>
      </c>
      <c r="R24" s="273"/>
      <c r="S24" s="4">
        <f t="shared" si="61"/>
        <v>42.408021579079524</v>
      </c>
      <c r="T24" s="4">
        <f t="shared" si="61"/>
        <v>4.251000734060745</v>
      </c>
      <c r="U24" s="4">
        <f t="shared" si="62"/>
        <v>127.22406473723856</v>
      </c>
      <c r="V24" s="267">
        <f t="shared" si="63"/>
        <v>11.860292048029478</v>
      </c>
      <c r="W24" s="273"/>
      <c r="X24" s="4">
        <f t="shared" si="64"/>
        <v>39.574021089705688</v>
      </c>
      <c r="Y24" s="4">
        <f t="shared" si="64"/>
        <v>7.0850012234345749</v>
      </c>
      <c r="Z24" s="4">
        <f t="shared" si="65"/>
        <v>118.72206326911706</v>
      </c>
      <c r="AA24" s="267">
        <f t="shared" si="66"/>
        <v>19.767153413382463</v>
      </c>
      <c r="AB24" s="273"/>
      <c r="AC24" s="4">
        <f t="shared" si="67"/>
        <v>32.489019866271114</v>
      </c>
      <c r="AD24" s="4">
        <f t="shared" si="67"/>
        <v>14.17000244686915</v>
      </c>
      <c r="AE24" s="4">
        <f t="shared" si="68"/>
        <v>97.467059598813336</v>
      </c>
      <c r="AF24" s="267">
        <f t="shared" si="69"/>
        <v>39.534306826764926</v>
      </c>
      <c r="AG24" s="273"/>
      <c r="AH24" s="4">
        <f t="shared" si="70"/>
        <v>18.319017419401959</v>
      </c>
      <c r="AI24" s="4">
        <f t="shared" si="70"/>
        <v>28.3400048937383</v>
      </c>
      <c r="AJ24" s="4">
        <f t="shared" si="71"/>
        <v>54.957052258205877</v>
      </c>
      <c r="AK24" s="267">
        <f t="shared" si="72"/>
        <v>79.068613653529852</v>
      </c>
      <c r="AL24" s="273"/>
      <c r="AM24" s="4">
        <f t="shared" si="73"/>
        <v>13.595683270445582</v>
      </c>
      <c r="AN24" s="4">
        <f t="shared" si="73"/>
        <v>33.063339042694679</v>
      </c>
      <c r="AO24" s="4">
        <f t="shared" si="74"/>
        <v>40.787049811336743</v>
      </c>
      <c r="AP24" s="267">
        <f t="shared" si="75"/>
        <v>92.246715929118153</v>
      </c>
      <c r="AQ24" s="273"/>
      <c r="AR24" s="4">
        <f t="shared" si="76"/>
        <v>0</v>
      </c>
      <c r="AS24" s="4">
        <f t="shared" si="76"/>
        <v>46.659022313140262</v>
      </c>
      <c r="AT24" s="4">
        <f t="shared" si="77"/>
        <v>0</v>
      </c>
      <c r="AU24" s="267">
        <f t="shared" si="78"/>
        <v>130.17867225366135</v>
      </c>
    </row>
    <row r="25" spans="1:47" x14ac:dyDescent="0.4">
      <c r="B25">
        <v>4</v>
      </c>
      <c r="C25" s="1">
        <v>3.4</v>
      </c>
      <c r="D25" s="1">
        <f t="shared" si="0"/>
        <v>3.1619999999999999</v>
      </c>
      <c r="E25" s="4">
        <v>62294</v>
      </c>
      <c r="F25" s="6">
        <v>0.12324365817660954</v>
      </c>
      <c r="H25" s="4">
        <f t="shared" si="54"/>
        <v>57.82276913232856</v>
      </c>
      <c r="I25" s="4">
        <f t="shared" si="55"/>
        <v>0</v>
      </c>
      <c r="J25" s="267">
        <f t="shared" si="56"/>
        <v>196.59741504991709</v>
      </c>
      <c r="K25" s="267">
        <f t="shared" si="27"/>
        <v>0</v>
      </c>
      <c r="L25" s="273"/>
      <c r="M25" s="4">
        <f t="shared" si="57"/>
        <v>57.82276913232856</v>
      </c>
      <c r="N25" s="4">
        <f t="shared" si="57"/>
        <v>0</v>
      </c>
      <c r="O25" s="4">
        <f t="shared" si="58"/>
        <v>196.59741504991709</v>
      </c>
      <c r="P25" s="267">
        <f t="shared" si="59"/>
        <v>0</v>
      </c>
      <c r="Q25" s="6">
        <f t="shared" si="60"/>
        <v>0.12324365817660954</v>
      </c>
      <c r="R25" s="273"/>
      <c r="S25" s="4">
        <f t="shared" si="61"/>
        <v>52.554664019081699</v>
      </c>
      <c r="T25" s="4">
        <f t="shared" si="61"/>
        <v>5.2681051132468628</v>
      </c>
      <c r="U25" s="4">
        <f t="shared" si="62"/>
        <v>178.68585766487777</v>
      </c>
      <c r="V25" s="267">
        <f t="shared" si="63"/>
        <v>16.65774836808658</v>
      </c>
      <c r="W25" s="273"/>
      <c r="X25" s="4">
        <f t="shared" si="64"/>
        <v>49.042593943583789</v>
      </c>
      <c r="Y25" s="4">
        <f t="shared" si="64"/>
        <v>8.7801751887447708</v>
      </c>
      <c r="Z25" s="4">
        <f t="shared" si="65"/>
        <v>166.74481940818487</v>
      </c>
      <c r="AA25" s="267">
        <f t="shared" si="66"/>
        <v>27.762913946810965</v>
      </c>
      <c r="AB25" s="273"/>
      <c r="AC25" s="4">
        <f t="shared" si="67"/>
        <v>40.262418754839018</v>
      </c>
      <c r="AD25" s="4">
        <f t="shared" si="67"/>
        <v>17.560350377489542</v>
      </c>
      <c r="AE25" s="4">
        <f t="shared" si="68"/>
        <v>136.89222376645264</v>
      </c>
      <c r="AF25" s="267">
        <f t="shared" si="69"/>
        <v>55.52582789362193</v>
      </c>
      <c r="AG25" s="273"/>
      <c r="AH25" s="4">
        <f t="shared" si="70"/>
        <v>22.702068377349466</v>
      </c>
      <c r="AI25" s="4">
        <f t="shared" si="70"/>
        <v>35.120700754979083</v>
      </c>
      <c r="AJ25" s="4">
        <f t="shared" si="71"/>
        <v>77.187032482988187</v>
      </c>
      <c r="AK25" s="267">
        <f t="shared" si="72"/>
        <v>111.05165578724386</v>
      </c>
      <c r="AL25" s="273"/>
      <c r="AM25" s="4">
        <f t="shared" si="73"/>
        <v>16.848618251519625</v>
      </c>
      <c r="AN25" s="4">
        <f t="shared" si="73"/>
        <v>40.974150880808928</v>
      </c>
      <c r="AO25" s="4">
        <f t="shared" si="74"/>
        <v>57.285302055166724</v>
      </c>
      <c r="AP25" s="267">
        <f t="shared" si="75"/>
        <v>129.56026508511783</v>
      </c>
      <c r="AQ25" s="273"/>
      <c r="AR25" s="4">
        <f t="shared" si="76"/>
        <v>0</v>
      </c>
      <c r="AS25" s="4">
        <f t="shared" si="76"/>
        <v>57.82276913232856</v>
      </c>
      <c r="AT25" s="4">
        <f t="shared" si="77"/>
        <v>0</v>
      </c>
      <c r="AU25" s="267">
        <f t="shared" si="78"/>
        <v>182.83559599642291</v>
      </c>
    </row>
    <row r="26" spans="1:47" x14ac:dyDescent="0.4">
      <c r="B26">
        <v>5</v>
      </c>
      <c r="C26" s="1">
        <v>5.0999999999999996</v>
      </c>
      <c r="D26" s="1">
        <f t="shared" si="0"/>
        <v>4.7430000000000003</v>
      </c>
      <c r="E26" s="4">
        <v>43427</v>
      </c>
      <c r="F26" s="6">
        <v>8.5916819334697123E-2</v>
      </c>
      <c r="H26" s="4">
        <f t="shared" si="54"/>
        <v>40.309971989431283</v>
      </c>
      <c r="I26" s="4">
        <f t="shared" si="55"/>
        <v>0</v>
      </c>
      <c r="J26" s="267">
        <f t="shared" si="56"/>
        <v>205.58085714609953</v>
      </c>
      <c r="K26" s="267">
        <f t="shared" si="27"/>
        <v>0</v>
      </c>
      <c r="L26" s="273"/>
      <c r="M26" s="4">
        <f t="shared" si="57"/>
        <v>40.309971989431283</v>
      </c>
      <c r="N26" s="4">
        <f t="shared" si="57"/>
        <v>0</v>
      </c>
      <c r="O26" s="4">
        <f t="shared" si="58"/>
        <v>205.58085714609953</v>
      </c>
      <c r="P26" s="267">
        <f t="shared" si="59"/>
        <v>0</v>
      </c>
      <c r="Q26" s="6">
        <f t="shared" si="60"/>
        <v>8.5916819334697123E-2</v>
      </c>
      <c r="R26" s="273"/>
      <c r="S26" s="4">
        <f t="shared" si="61"/>
        <v>36.637419243533259</v>
      </c>
      <c r="T26" s="4">
        <f t="shared" si="61"/>
        <v>3.6725527458980243</v>
      </c>
      <c r="U26" s="4">
        <f t="shared" si="62"/>
        <v>186.8508381420196</v>
      </c>
      <c r="V26" s="267">
        <f t="shared" si="63"/>
        <v>17.418917673794329</v>
      </c>
      <c r="W26" s="273"/>
      <c r="X26" s="4">
        <f t="shared" si="64"/>
        <v>34.18905074626791</v>
      </c>
      <c r="Y26" s="4">
        <f t="shared" si="64"/>
        <v>6.1209212431633739</v>
      </c>
      <c r="Z26" s="4">
        <f t="shared" si="65"/>
        <v>174.36415880596633</v>
      </c>
      <c r="AA26" s="267">
        <f t="shared" si="66"/>
        <v>29.031529456323884</v>
      </c>
      <c r="AB26" s="273"/>
      <c r="AC26" s="4">
        <f t="shared" si="67"/>
        <v>28.068129503104537</v>
      </c>
      <c r="AD26" s="4">
        <f t="shared" si="67"/>
        <v>12.241842486326748</v>
      </c>
      <c r="AE26" s="4">
        <f t="shared" si="68"/>
        <v>143.14746046583312</v>
      </c>
      <c r="AF26" s="267">
        <f t="shared" si="69"/>
        <v>58.063058912647769</v>
      </c>
      <c r="AG26" s="273"/>
      <c r="AH26" s="4">
        <f t="shared" si="70"/>
        <v>15.826287016777783</v>
      </c>
      <c r="AI26" s="4">
        <f t="shared" si="70"/>
        <v>24.483684972653496</v>
      </c>
      <c r="AJ26" s="4">
        <f t="shared" si="71"/>
        <v>80.714063785566694</v>
      </c>
      <c r="AK26" s="267">
        <f t="shared" si="72"/>
        <v>116.12611782529554</v>
      </c>
      <c r="AL26" s="273"/>
      <c r="AM26" s="4">
        <f t="shared" si="73"/>
        <v>11.745672854668873</v>
      </c>
      <c r="AN26" s="4">
        <f t="shared" si="73"/>
        <v>28.564299134762404</v>
      </c>
      <c r="AO26" s="4">
        <f t="shared" si="74"/>
        <v>59.902931558811247</v>
      </c>
      <c r="AP26" s="267">
        <f t="shared" si="75"/>
        <v>135.48047079617808</v>
      </c>
      <c r="AQ26" s="273"/>
      <c r="AR26" s="4">
        <f t="shared" si="76"/>
        <v>0</v>
      </c>
      <c r="AS26" s="4">
        <f t="shared" si="76"/>
        <v>40.309971989431283</v>
      </c>
      <c r="AT26" s="4">
        <f t="shared" si="77"/>
        <v>0</v>
      </c>
      <c r="AU26" s="267">
        <f t="shared" si="78"/>
        <v>191.19019714587259</v>
      </c>
    </row>
    <row r="27" spans="1:47" x14ac:dyDescent="0.4">
      <c r="D27" s="1">
        <f t="shared" si="0"/>
        <v>0</v>
      </c>
      <c r="F27" s="6"/>
      <c r="G27" s="4">
        <f>機器台数４!D32</f>
        <v>105.20880439999999</v>
      </c>
      <c r="H27" s="4">
        <f>G27*(1-G$3)</f>
        <v>105.20880439999999</v>
      </c>
      <c r="I27" s="4">
        <f>G27*$G$3</f>
        <v>0</v>
      </c>
      <c r="J27" s="4">
        <f>SUM(J28:J34)</f>
        <v>328.99741060111126</v>
      </c>
      <c r="K27" s="267">
        <f t="shared" si="27"/>
        <v>0</v>
      </c>
      <c r="L27" s="273">
        <f>機器台数４!F32</f>
        <v>105.20880439999999</v>
      </c>
      <c r="M27" s="4">
        <f>L27*(1-L$3)</f>
        <v>105.20880439999999</v>
      </c>
      <c r="N27" s="4">
        <f>L27*$G$3</f>
        <v>0</v>
      </c>
      <c r="O27" s="4">
        <f>SUM(O28:O34)</f>
        <v>328.99741060111126</v>
      </c>
      <c r="P27" s="4">
        <f>SUM(P28:P34)</f>
        <v>0</v>
      </c>
      <c r="Q27" s="6"/>
      <c r="R27" s="273">
        <f>機器台数４!H32</f>
        <v>95.62346200399999</v>
      </c>
      <c r="S27" s="4">
        <f>R27*(1-R$3)</f>
        <v>95.62346200399999</v>
      </c>
      <c r="T27" s="4">
        <f>機器台数４!H42</f>
        <v>9.5853423959999997</v>
      </c>
      <c r="U27" s="4">
        <f>SUM(U28:U34)</f>
        <v>299.02318129593482</v>
      </c>
      <c r="V27" s="4">
        <f>SUM(V28:V34)</f>
        <v>27.876033253814054</v>
      </c>
      <c r="W27" s="273">
        <f>機器台数４!J32</f>
        <v>89.233233739999989</v>
      </c>
      <c r="X27" s="4">
        <f>W27*(1-W$3)</f>
        <v>89.233233739999989</v>
      </c>
      <c r="Y27" s="4">
        <f>機器台数４!J42</f>
        <v>15.975570659999999</v>
      </c>
      <c r="Z27" s="4">
        <f>SUM(Z28:Z34)</f>
        <v>279.04036175915058</v>
      </c>
      <c r="AA27" s="4">
        <f>SUM(AA28:AA34)</f>
        <v>46.460055423023427</v>
      </c>
      <c r="AB27" s="273"/>
      <c r="AC27" s="4">
        <f>機器台数４!L32</f>
        <v>73.25766308</v>
      </c>
      <c r="AD27" s="4">
        <f>機器台数４!L42</f>
        <v>31.951141319999998</v>
      </c>
      <c r="AE27" s="4">
        <f>SUM(AE28:AE34)</f>
        <v>229.08331291718991</v>
      </c>
      <c r="AF27" s="4">
        <f>SUM(AF28:AF34)</f>
        <v>92.920110846046853</v>
      </c>
      <c r="AG27" s="273">
        <f>機器台数４!N32</f>
        <v>41.306521759999988</v>
      </c>
      <c r="AH27" s="4">
        <f>機器台数４!N32</f>
        <v>41.306521759999988</v>
      </c>
      <c r="AI27" s="4">
        <f>機器台数４!N42</f>
        <v>63.902282639999996</v>
      </c>
      <c r="AJ27" s="4">
        <f>SUM(AJ28:AJ34)</f>
        <v>129.16921523326857</v>
      </c>
      <c r="AK27" s="4">
        <f>SUM(AK28:AK34)</f>
        <v>185.84022169209371</v>
      </c>
      <c r="AL27" s="273">
        <f>機器台数４!S32</f>
        <v>7.3999999999999996E-2</v>
      </c>
      <c r="AM27" s="4">
        <f>機器台数４!P32</f>
        <v>30.656141320000003</v>
      </c>
      <c r="AN27" s="4">
        <f>機器台数４!P42</f>
        <v>74.552663079999988</v>
      </c>
      <c r="AO27" s="4">
        <f>SUM(AO28:AO34)</f>
        <v>95.86451600529486</v>
      </c>
      <c r="AP27" s="4">
        <f>SUM(AP28:AP34)</f>
        <v>216.81359197410924</v>
      </c>
      <c r="AQ27" s="273">
        <f>機器台数４!X32</f>
        <v>0</v>
      </c>
      <c r="AR27" s="4">
        <f>機器台数４!R32</f>
        <v>0</v>
      </c>
      <c r="AS27" s="4">
        <f>機器台数４!R42</f>
        <v>105.20880439999999</v>
      </c>
      <c r="AT27" s="4">
        <f>SUM(AT28:AT34)</f>
        <v>0</v>
      </c>
      <c r="AU27" s="4">
        <f>SUM(AU28:AU34)</f>
        <v>305.96759185903346</v>
      </c>
    </row>
    <row r="28" spans="1:47" x14ac:dyDescent="0.4">
      <c r="A28" t="s">
        <v>6</v>
      </c>
      <c r="B28">
        <v>1.5</v>
      </c>
      <c r="C28" s="1">
        <v>2</v>
      </c>
      <c r="D28" s="1">
        <f t="shared" si="0"/>
        <v>1.86</v>
      </c>
      <c r="E28" s="4">
        <v>15724</v>
      </c>
      <c r="F28" s="6">
        <v>0.13545480389031986</v>
      </c>
      <c r="H28" s="4">
        <f t="shared" ref="H28:H34" si="79">F28*H$27</f>
        <v>14.25103796753702</v>
      </c>
      <c r="I28" s="4">
        <f t="shared" ref="I28:I34" si="80">$F28*I$27</f>
        <v>0</v>
      </c>
      <c r="J28" s="267">
        <f t="shared" ref="J28:J34" si="81">C28*H28</f>
        <v>28.502075935074039</v>
      </c>
      <c r="K28" s="267">
        <f t="shared" si="27"/>
        <v>0</v>
      </c>
      <c r="L28" s="273"/>
      <c r="M28" s="4">
        <f t="shared" ref="M28:N34" si="82">$F28*M$27</f>
        <v>14.25103796753702</v>
      </c>
      <c r="N28" s="4">
        <f t="shared" si="82"/>
        <v>0</v>
      </c>
      <c r="O28" s="4">
        <f t="shared" ref="O28:O34" si="83">$C28*$M28</f>
        <v>28.502075935074039</v>
      </c>
      <c r="P28" s="267">
        <f t="shared" ref="P28:P34" si="84">$D28*$N28</f>
        <v>0</v>
      </c>
      <c r="Q28" s="6">
        <f t="shared" ref="Q28:Q34" si="85">E28/$A$30</f>
        <v>0.13545480389031986</v>
      </c>
      <c r="R28" s="273">
        <f>SUM(S28:S34)</f>
        <v>95.623462004000004</v>
      </c>
      <c r="S28" s="4">
        <f t="shared" ref="S28:T34" si="86">$F28*S$27</f>
        <v>12.95265729306527</v>
      </c>
      <c r="T28" s="4">
        <f t="shared" si="86"/>
        <v>1.2983806744717485</v>
      </c>
      <c r="U28" s="4">
        <f t="shared" ref="U28:U34" si="87">$C28*S28</f>
        <v>25.90531458613054</v>
      </c>
      <c r="V28" s="267">
        <f t="shared" ref="V28:V34" si="88">$D28*T28</f>
        <v>2.4149880545174525</v>
      </c>
      <c r="W28" s="273">
        <f>SUM(X28:X34)</f>
        <v>89.233233740000003</v>
      </c>
      <c r="X28" s="4">
        <f t="shared" ref="X28:Y34" si="89">$F28*X$27</f>
        <v>12.087070176750771</v>
      </c>
      <c r="Y28" s="4">
        <f t="shared" si="89"/>
        <v>2.1639677907862476</v>
      </c>
      <c r="Z28" s="4">
        <f t="shared" ref="Z28:Z34" si="90">$C28*X28</f>
        <v>24.174140353501542</v>
      </c>
      <c r="AA28" s="267">
        <f t="shared" ref="AA28:AA34" si="91">$D28*Y28</f>
        <v>4.0249800908624209</v>
      </c>
      <c r="AB28" s="273">
        <f>SUM(AC28:AC34)</f>
        <v>73.25766308</v>
      </c>
      <c r="AC28" s="4">
        <f t="shared" ref="AC28:AD34" si="92">$F28*AC$27</f>
        <v>9.9231023859645262</v>
      </c>
      <c r="AD28" s="4">
        <f t="shared" si="92"/>
        <v>4.3279355815724951</v>
      </c>
      <c r="AE28" s="4">
        <f t="shared" ref="AE28:AE34" si="93">$C28*AC28</f>
        <v>19.846204771929052</v>
      </c>
      <c r="AF28" s="267">
        <f t="shared" ref="AF28:AF34" si="94">$D28*AD28</f>
        <v>8.0499601817248418</v>
      </c>
      <c r="AG28" s="273">
        <f>SUM(AH28:AH34)</f>
        <v>41.306521759999988</v>
      </c>
      <c r="AH28" s="4">
        <f t="shared" ref="AH28:AI34" si="95">$F28*AH$27</f>
        <v>5.5951668043920284</v>
      </c>
      <c r="AI28" s="4">
        <f t="shared" si="95"/>
        <v>8.6558711631449903</v>
      </c>
      <c r="AJ28" s="4">
        <f t="shared" ref="AJ28:AJ34" si="96">$C28*AH28</f>
        <v>11.190333608784057</v>
      </c>
      <c r="AK28" s="267">
        <f t="shared" ref="AK28:AK34" si="97">$D28*AI28</f>
        <v>16.099920363449684</v>
      </c>
      <c r="AL28" s="273">
        <f>SUM(AM28:AM34)</f>
        <v>30.656141320000003</v>
      </c>
      <c r="AM28" s="4">
        <f t="shared" ref="AM28:AN34" si="98">$F28*AM$27</f>
        <v>4.1525216105345315</v>
      </c>
      <c r="AN28" s="4">
        <f t="shared" si="98"/>
        <v>10.098516357002488</v>
      </c>
      <c r="AO28" s="4">
        <f t="shared" ref="AO28:AO34" si="99">$C28*AM28</f>
        <v>8.305043221069063</v>
      </c>
      <c r="AP28" s="267">
        <f t="shared" ref="AP28:AP34" si="100">$D28*AN28</f>
        <v>18.78324042402463</v>
      </c>
      <c r="AQ28" s="273">
        <f>SUM(AR28:AR34)</f>
        <v>0</v>
      </c>
      <c r="AR28" s="4">
        <f t="shared" ref="AR28:AS34" si="101">$F28*AR$27</f>
        <v>0</v>
      </c>
      <c r="AS28" s="4">
        <f t="shared" si="101"/>
        <v>14.25103796753702</v>
      </c>
      <c r="AT28" s="4">
        <f t="shared" ref="AT28:AT34" si="102">$C28*AR28</f>
        <v>0</v>
      </c>
      <c r="AU28" s="267">
        <f t="shared" ref="AU28:AU34" si="103">$D28*AS28</f>
        <v>26.506930619618856</v>
      </c>
    </row>
    <row r="29" spans="1:47" x14ac:dyDescent="0.4">
      <c r="A29" t="s">
        <v>7</v>
      </c>
      <c r="B29">
        <v>2</v>
      </c>
      <c r="C29" s="1">
        <v>2</v>
      </c>
      <c r="D29" s="1">
        <f t="shared" si="0"/>
        <v>1.86</v>
      </c>
      <c r="E29" s="4">
        <v>30745</v>
      </c>
      <c r="F29" s="6">
        <v>0.26485359613380083</v>
      </c>
      <c r="H29" s="4">
        <f t="shared" si="79"/>
        <v>27.864930190277644</v>
      </c>
      <c r="I29" s="4">
        <f t="shared" si="80"/>
        <v>0</v>
      </c>
      <c r="J29" s="267">
        <f t="shared" si="81"/>
        <v>55.729860380555287</v>
      </c>
      <c r="K29" s="267">
        <f t="shared" si="27"/>
        <v>0</v>
      </c>
      <c r="L29" s="273"/>
      <c r="M29" s="4">
        <f t="shared" si="82"/>
        <v>27.864930190277644</v>
      </c>
      <c r="N29" s="4">
        <f t="shared" si="82"/>
        <v>0</v>
      </c>
      <c r="O29" s="4">
        <f t="shared" si="83"/>
        <v>55.729860380555287</v>
      </c>
      <c r="P29" s="267">
        <f t="shared" si="84"/>
        <v>0</v>
      </c>
      <c r="Q29" s="6">
        <f t="shared" si="85"/>
        <v>0.26485359613380083</v>
      </c>
      <c r="R29" s="273"/>
      <c r="S29" s="4">
        <f t="shared" si="86"/>
        <v>25.326217786523262</v>
      </c>
      <c r="T29" s="4">
        <f t="shared" si="86"/>
        <v>2.5387124037543827</v>
      </c>
      <c r="U29" s="4">
        <f t="shared" si="87"/>
        <v>50.652435573046525</v>
      </c>
      <c r="V29" s="267">
        <f t="shared" si="88"/>
        <v>4.722005070983152</v>
      </c>
      <c r="W29" s="273"/>
      <c r="X29" s="4">
        <f t="shared" si="89"/>
        <v>23.633742850687007</v>
      </c>
      <c r="Y29" s="4">
        <f t="shared" si="89"/>
        <v>4.2311873395906376</v>
      </c>
      <c r="Z29" s="4">
        <f t="shared" si="90"/>
        <v>47.267485701374014</v>
      </c>
      <c r="AA29" s="267">
        <f t="shared" si="91"/>
        <v>7.8700084516385864</v>
      </c>
      <c r="AB29" s="273"/>
      <c r="AC29" s="4">
        <f t="shared" si="92"/>
        <v>19.40255551109637</v>
      </c>
      <c r="AD29" s="4">
        <f t="shared" si="92"/>
        <v>8.4623746791812753</v>
      </c>
      <c r="AE29" s="4">
        <f t="shared" si="93"/>
        <v>38.80511102219274</v>
      </c>
      <c r="AF29" s="267">
        <f t="shared" si="94"/>
        <v>15.740016903277173</v>
      </c>
      <c r="AG29" s="273"/>
      <c r="AH29" s="4">
        <f t="shared" si="95"/>
        <v>10.940180831915093</v>
      </c>
      <c r="AI29" s="4">
        <f t="shared" si="95"/>
        <v>16.924749358362551</v>
      </c>
      <c r="AJ29" s="4">
        <f t="shared" si="96"/>
        <v>21.880361663830186</v>
      </c>
      <c r="AK29" s="267">
        <f t="shared" si="97"/>
        <v>31.480033806554346</v>
      </c>
      <c r="AL29" s="273"/>
      <c r="AM29" s="4">
        <f t="shared" si="98"/>
        <v>8.1193892721880054</v>
      </c>
      <c r="AN29" s="4">
        <f t="shared" si="98"/>
        <v>19.745540918089642</v>
      </c>
      <c r="AO29" s="4">
        <f t="shared" si="99"/>
        <v>16.238778544376011</v>
      </c>
      <c r="AP29" s="267">
        <f t="shared" si="100"/>
        <v>36.726706107646734</v>
      </c>
      <c r="AQ29" s="273"/>
      <c r="AR29" s="4">
        <f t="shared" si="101"/>
        <v>0</v>
      </c>
      <c r="AS29" s="4">
        <f t="shared" si="101"/>
        <v>27.864930190277644</v>
      </c>
      <c r="AT29" s="4">
        <f t="shared" si="102"/>
        <v>0</v>
      </c>
      <c r="AU29" s="267">
        <f t="shared" si="103"/>
        <v>51.828770153916423</v>
      </c>
    </row>
    <row r="30" spans="1:47" x14ac:dyDescent="0.4">
      <c r="A30" s="5">
        <f>SUM(E28:E34)</f>
        <v>116083</v>
      </c>
      <c r="B30">
        <v>2.5</v>
      </c>
      <c r="C30" s="1">
        <v>2.9</v>
      </c>
      <c r="D30" s="1">
        <f t="shared" si="0"/>
        <v>2.6970000000000001</v>
      </c>
      <c r="E30" s="4">
        <v>18615</v>
      </c>
      <c r="F30" s="6">
        <v>0.16035939801693616</v>
      </c>
      <c r="H30" s="4">
        <f t="shared" si="79"/>
        <v>16.871220539665583</v>
      </c>
      <c r="I30" s="4">
        <f t="shared" si="80"/>
        <v>0</v>
      </c>
      <c r="J30" s="267">
        <f t="shared" si="81"/>
        <v>48.92653956503019</v>
      </c>
      <c r="K30" s="267">
        <f t="shared" si="27"/>
        <v>0</v>
      </c>
      <c r="L30" s="273"/>
      <c r="M30" s="4">
        <f t="shared" si="82"/>
        <v>16.871220539665583</v>
      </c>
      <c r="N30" s="4">
        <f t="shared" si="82"/>
        <v>0</v>
      </c>
      <c r="O30" s="4">
        <f t="shared" si="83"/>
        <v>48.92653956503019</v>
      </c>
      <c r="P30" s="267">
        <f t="shared" si="84"/>
        <v>0</v>
      </c>
      <c r="Q30" s="6">
        <f t="shared" si="85"/>
        <v>0.16035939801693616</v>
      </c>
      <c r="R30" s="273"/>
      <c r="S30" s="4">
        <f t="shared" si="86"/>
        <v>15.334120803256805</v>
      </c>
      <c r="T30" s="4">
        <f t="shared" si="86"/>
        <v>1.5370997364087764</v>
      </c>
      <c r="U30" s="4">
        <f t="shared" si="87"/>
        <v>44.468950329444738</v>
      </c>
      <c r="V30" s="267">
        <f t="shared" si="88"/>
        <v>4.1455579890944696</v>
      </c>
      <c r="W30" s="273"/>
      <c r="X30" s="4">
        <f t="shared" si="89"/>
        <v>14.309387645650956</v>
      </c>
      <c r="Y30" s="4">
        <f t="shared" si="89"/>
        <v>2.5618328940146275</v>
      </c>
      <c r="Z30" s="4">
        <f t="shared" si="90"/>
        <v>41.497224172387767</v>
      </c>
      <c r="AA30" s="267">
        <f t="shared" si="91"/>
        <v>6.9092633151574505</v>
      </c>
      <c r="AB30" s="273"/>
      <c r="AC30" s="4">
        <f t="shared" si="92"/>
        <v>11.747554751636329</v>
      </c>
      <c r="AD30" s="4">
        <f t="shared" si="92"/>
        <v>5.1236657880292551</v>
      </c>
      <c r="AE30" s="4">
        <f t="shared" si="93"/>
        <v>34.067908779745352</v>
      </c>
      <c r="AF30" s="267">
        <f t="shared" si="94"/>
        <v>13.818526630314901</v>
      </c>
      <c r="AG30" s="273"/>
      <c r="AH30" s="4">
        <f t="shared" si="95"/>
        <v>6.6238889636070724</v>
      </c>
      <c r="AI30" s="4">
        <f t="shared" si="95"/>
        <v>10.24733157605851</v>
      </c>
      <c r="AJ30" s="4">
        <f t="shared" si="96"/>
        <v>19.209277994460511</v>
      </c>
      <c r="AK30" s="267">
        <f t="shared" si="97"/>
        <v>27.637053260629802</v>
      </c>
      <c r="AL30" s="273"/>
      <c r="AM30" s="4">
        <f t="shared" si="98"/>
        <v>4.9160003675973236</v>
      </c>
      <c r="AN30" s="4">
        <f t="shared" si="98"/>
        <v>11.955220172068259</v>
      </c>
      <c r="AO30" s="4">
        <f t="shared" si="99"/>
        <v>14.256401066032238</v>
      </c>
      <c r="AP30" s="267">
        <f t="shared" si="100"/>
        <v>32.243228804068096</v>
      </c>
      <c r="AQ30" s="273"/>
      <c r="AR30" s="4">
        <f t="shared" si="101"/>
        <v>0</v>
      </c>
      <c r="AS30" s="4">
        <f t="shared" si="101"/>
        <v>16.871220539665583</v>
      </c>
      <c r="AT30" s="4">
        <f t="shared" si="102"/>
        <v>0</v>
      </c>
      <c r="AU30" s="267">
        <f t="shared" si="103"/>
        <v>45.501681795478078</v>
      </c>
    </row>
    <row r="31" spans="1:47" x14ac:dyDescent="0.4">
      <c r="A31" s="237">
        <f>A30/$E$75</f>
        <v>7.6743864715328472E-2</v>
      </c>
      <c r="B31">
        <v>3</v>
      </c>
      <c r="C31" s="1">
        <v>2.9</v>
      </c>
      <c r="D31" s="1">
        <f t="shared" si="0"/>
        <v>2.6970000000000001</v>
      </c>
      <c r="E31" s="4">
        <v>22438</v>
      </c>
      <c r="F31" s="6">
        <v>0.19329273020166604</v>
      </c>
      <c r="H31" s="4">
        <f t="shared" si="79"/>
        <v>20.336097043729055</v>
      </c>
      <c r="I31" s="4">
        <f t="shared" si="80"/>
        <v>0</v>
      </c>
      <c r="J31" s="267">
        <f t="shared" si="81"/>
        <v>58.974681426814257</v>
      </c>
      <c r="K31" s="267">
        <f t="shared" si="27"/>
        <v>0</v>
      </c>
      <c r="L31" s="273"/>
      <c r="M31" s="4">
        <f t="shared" si="82"/>
        <v>20.336097043729055</v>
      </c>
      <c r="N31" s="4">
        <f t="shared" si="82"/>
        <v>0</v>
      </c>
      <c r="O31" s="4">
        <f t="shared" si="83"/>
        <v>58.974681426814257</v>
      </c>
      <c r="P31" s="267">
        <f t="shared" si="84"/>
        <v>0</v>
      </c>
      <c r="Q31" s="6">
        <f t="shared" si="85"/>
        <v>0.19329273020166604</v>
      </c>
      <c r="R31" s="273"/>
      <c r="S31" s="4">
        <f t="shared" si="86"/>
        <v>18.483320042088433</v>
      </c>
      <c r="T31" s="4">
        <f t="shared" si="86"/>
        <v>1.8527770016406191</v>
      </c>
      <c r="U31" s="4">
        <f t="shared" si="87"/>
        <v>53.601628122056454</v>
      </c>
      <c r="V31" s="267">
        <f t="shared" si="88"/>
        <v>4.9969395734247497</v>
      </c>
      <c r="W31" s="273"/>
      <c r="X31" s="4">
        <f t="shared" si="89"/>
        <v>17.248135374328022</v>
      </c>
      <c r="Y31" s="4">
        <f t="shared" si="89"/>
        <v>3.0879616694010319</v>
      </c>
      <c r="Z31" s="4">
        <f t="shared" si="90"/>
        <v>50.019592585551266</v>
      </c>
      <c r="AA31" s="267">
        <f t="shared" si="91"/>
        <v>8.3282326223745837</v>
      </c>
      <c r="AB31" s="273"/>
      <c r="AC31" s="4">
        <f t="shared" si="92"/>
        <v>14.160173704926992</v>
      </c>
      <c r="AD31" s="4">
        <f t="shared" si="92"/>
        <v>6.1759233388020638</v>
      </c>
      <c r="AE31" s="4">
        <f t="shared" si="93"/>
        <v>41.064503744288274</v>
      </c>
      <c r="AF31" s="267">
        <f t="shared" si="94"/>
        <v>16.656465244749167</v>
      </c>
      <c r="AG31" s="273"/>
      <c r="AH31" s="4">
        <f t="shared" si="95"/>
        <v>7.9842503661249253</v>
      </c>
      <c r="AI31" s="4">
        <f t="shared" si="95"/>
        <v>12.351846677604128</v>
      </c>
      <c r="AJ31" s="4">
        <f t="shared" si="96"/>
        <v>23.154326061762283</v>
      </c>
      <c r="AK31" s="267">
        <f t="shared" si="97"/>
        <v>33.312930489498335</v>
      </c>
      <c r="AL31" s="273"/>
      <c r="AM31" s="4">
        <f t="shared" si="98"/>
        <v>5.925609253190907</v>
      </c>
      <c r="AN31" s="4">
        <f t="shared" si="98"/>
        <v>14.410487790538147</v>
      </c>
      <c r="AO31" s="4">
        <f t="shared" si="99"/>
        <v>17.184266834253631</v>
      </c>
      <c r="AP31" s="267">
        <f t="shared" si="100"/>
        <v>38.86508557108138</v>
      </c>
      <c r="AQ31" s="273"/>
      <c r="AR31" s="4">
        <f t="shared" si="101"/>
        <v>0</v>
      </c>
      <c r="AS31" s="4">
        <f t="shared" si="101"/>
        <v>20.336097043729055</v>
      </c>
      <c r="AT31" s="4">
        <f t="shared" si="102"/>
        <v>0</v>
      </c>
      <c r="AU31" s="267">
        <f t="shared" si="103"/>
        <v>54.846453726937263</v>
      </c>
    </row>
    <row r="32" spans="1:47" x14ac:dyDescent="0.4">
      <c r="B32">
        <v>3.5</v>
      </c>
      <c r="C32" s="1">
        <v>5</v>
      </c>
      <c r="D32" s="1">
        <f t="shared" si="0"/>
        <v>4.6500000000000004</v>
      </c>
      <c r="E32" s="4">
        <v>9244</v>
      </c>
      <c r="F32" s="6">
        <v>7.9632676619315487E-2</v>
      </c>
      <c r="H32" s="4">
        <f t="shared" si="79"/>
        <v>8.3780586982900154</v>
      </c>
      <c r="I32" s="4">
        <f t="shared" si="80"/>
        <v>0</v>
      </c>
      <c r="J32" s="267">
        <f t="shared" si="81"/>
        <v>41.89029349145008</v>
      </c>
      <c r="K32" s="267">
        <f t="shared" si="27"/>
        <v>0</v>
      </c>
      <c r="L32" s="273"/>
      <c r="M32" s="4">
        <f t="shared" si="82"/>
        <v>8.3780586982900154</v>
      </c>
      <c r="N32" s="4">
        <f t="shared" si="82"/>
        <v>0</v>
      </c>
      <c r="O32" s="4">
        <f t="shared" si="83"/>
        <v>41.89029349145008</v>
      </c>
      <c r="P32" s="267">
        <f t="shared" si="84"/>
        <v>0</v>
      </c>
      <c r="Q32" s="6">
        <f t="shared" si="85"/>
        <v>7.9632676619315487E-2</v>
      </c>
      <c r="R32" s="273"/>
      <c r="S32" s="4">
        <f t="shared" si="86"/>
        <v>7.6147522269839332</v>
      </c>
      <c r="T32" s="4">
        <f t="shared" si="86"/>
        <v>0.76330647130608265</v>
      </c>
      <c r="U32" s="4">
        <f t="shared" si="87"/>
        <v>38.073761134919664</v>
      </c>
      <c r="V32" s="267">
        <f t="shared" si="88"/>
        <v>3.5493750915732845</v>
      </c>
      <c r="W32" s="273"/>
      <c r="X32" s="4">
        <f t="shared" si="89"/>
        <v>7.1058812461132108</v>
      </c>
      <c r="Y32" s="4">
        <f t="shared" si="89"/>
        <v>1.2721774521768043</v>
      </c>
      <c r="Z32" s="4">
        <f t="shared" si="90"/>
        <v>35.529406230566053</v>
      </c>
      <c r="AA32" s="267">
        <f t="shared" si="91"/>
        <v>5.9156251526221402</v>
      </c>
      <c r="AB32" s="273"/>
      <c r="AC32" s="4">
        <f t="shared" si="92"/>
        <v>5.8337037939364071</v>
      </c>
      <c r="AD32" s="4">
        <f t="shared" si="92"/>
        <v>2.5443549043536087</v>
      </c>
      <c r="AE32" s="4">
        <f t="shared" si="93"/>
        <v>29.168518969682037</v>
      </c>
      <c r="AF32" s="267">
        <f t="shared" si="94"/>
        <v>11.83125030524428</v>
      </c>
      <c r="AG32" s="273"/>
      <c r="AH32" s="4">
        <f t="shared" si="95"/>
        <v>3.2893488895827976</v>
      </c>
      <c r="AI32" s="4">
        <f t="shared" si="95"/>
        <v>5.0887098087072173</v>
      </c>
      <c r="AJ32" s="4">
        <f t="shared" si="96"/>
        <v>16.446744447913989</v>
      </c>
      <c r="AK32" s="267">
        <f t="shared" si="97"/>
        <v>23.662500610488561</v>
      </c>
      <c r="AL32" s="273"/>
      <c r="AM32" s="4">
        <f t="shared" si="98"/>
        <v>2.4412305881315959</v>
      </c>
      <c r="AN32" s="4">
        <f t="shared" si="98"/>
        <v>5.9368281101584204</v>
      </c>
      <c r="AO32" s="4">
        <f t="shared" si="99"/>
        <v>12.206152940657979</v>
      </c>
      <c r="AP32" s="267">
        <f t="shared" si="100"/>
        <v>27.606250712236658</v>
      </c>
      <c r="AQ32" s="273"/>
      <c r="AR32" s="4">
        <f t="shared" si="101"/>
        <v>0</v>
      </c>
      <c r="AS32" s="4">
        <f t="shared" si="101"/>
        <v>8.3780586982900154</v>
      </c>
      <c r="AT32" s="4">
        <f t="shared" si="102"/>
        <v>0</v>
      </c>
      <c r="AU32" s="267">
        <f t="shared" si="103"/>
        <v>38.957972947048574</v>
      </c>
    </row>
    <row r="33" spans="1:47" x14ac:dyDescent="0.4">
      <c r="B33">
        <v>4</v>
      </c>
      <c r="C33" s="1">
        <v>5.0999999999999996</v>
      </c>
      <c r="D33" s="1">
        <f t="shared" si="0"/>
        <v>4.7430000000000003</v>
      </c>
      <c r="E33" s="4">
        <v>11475</v>
      </c>
      <c r="F33" s="6">
        <v>9.8851683709070229E-2</v>
      </c>
      <c r="H33" s="4">
        <f t="shared" si="79"/>
        <v>10.400067455958235</v>
      </c>
      <c r="I33" s="4">
        <f t="shared" si="80"/>
        <v>0</v>
      </c>
      <c r="J33" s="267">
        <f t="shared" si="81"/>
        <v>53.040344025386993</v>
      </c>
      <c r="K33" s="267">
        <f t="shared" si="27"/>
        <v>0</v>
      </c>
      <c r="L33" s="273"/>
      <c r="M33" s="4">
        <f t="shared" si="82"/>
        <v>10.400067455958235</v>
      </c>
      <c r="N33" s="4">
        <f t="shared" si="82"/>
        <v>0</v>
      </c>
      <c r="O33" s="4">
        <f t="shared" si="83"/>
        <v>53.040344025386993</v>
      </c>
      <c r="P33" s="267">
        <f t="shared" si="84"/>
        <v>0</v>
      </c>
      <c r="Q33" s="6">
        <f t="shared" si="85"/>
        <v>9.8851683709070229E-2</v>
      </c>
      <c r="R33" s="273"/>
      <c r="S33" s="4">
        <f t="shared" si="86"/>
        <v>9.4525402211857017</v>
      </c>
      <c r="T33" s="4">
        <f t="shared" si="86"/>
        <v>0.94752723477253331</v>
      </c>
      <c r="U33" s="4">
        <f t="shared" si="87"/>
        <v>48.207955128047075</v>
      </c>
      <c r="V33" s="267">
        <f t="shared" si="88"/>
        <v>4.4941216745261254</v>
      </c>
      <c r="W33" s="273"/>
      <c r="X33" s="4">
        <f t="shared" si="89"/>
        <v>8.8208553980040136</v>
      </c>
      <c r="Y33" s="4">
        <f t="shared" si="89"/>
        <v>1.5792120579542221</v>
      </c>
      <c r="Z33" s="4">
        <f t="shared" si="90"/>
        <v>44.986362529820468</v>
      </c>
      <c r="AA33" s="267">
        <f t="shared" si="91"/>
        <v>7.490202790876876</v>
      </c>
      <c r="AB33" s="273"/>
      <c r="AC33" s="4">
        <f t="shared" si="92"/>
        <v>7.2416433400497917</v>
      </c>
      <c r="AD33" s="4">
        <f t="shared" si="92"/>
        <v>3.1584241159084443</v>
      </c>
      <c r="AE33" s="4">
        <f t="shared" si="93"/>
        <v>36.932381034253936</v>
      </c>
      <c r="AF33" s="267">
        <f t="shared" si="94"/>
        <v>14.980405581753752</v>
      </c>
      <c r="AG33" s="273"/>
      <c r="AH33" s="4">
        <f t="shared" si="95"/>
        <v>4.0832192241413461</v>
      </c>
      <c r="AI33" s="4">
        <f t="shared" si="95"/>
        <v>6.3168482318168886</v>
      </c>
      <c r="AJ33" s="4">
        <f t="shared" si="96"/>
        <v>20.824418043120865</v>
      </c>
      <c r="AK33" s="267">
        <f t="shared" si="97"/>
        <v>29.960811163507504</v>
      </c>
      <c r="AL33" s="273"/>
      <c r="AM33" s="4">
        <f t="shared" si="98"/>
        <v>3.0304111855051992</v>
      </c>
      <c r="AN33" s="4">
        <f t="shared" si="98"/>
        <v>7.369656270453036</v>
      </c>
      <c r="AO33" s="4">
        <f t="shared" si="99"/>
        <v>15.455097046076515</v>
      </c>
      <c r="AP33" s="267">
        <f t="shared" si="100"/>
        <v>34.954279690758753</v>
      </c>
      <c r="AQ33" s="273"/>
      <c r="AR33" s="4">
        <f t="shared" si="101"/>
        <v>0</v>
      </c>
      <c r="AS33" s="4">
        <f t="shared" si="101"/>
        <v>10.400067455958235</v>
      </c>
      <c r="AT33" s="4">
        <f t="shared" si="102"/>
        <v>0</v>
      </c>
      <c r="AU33" s="267">
        <f t="shared" si="103"/>
        <v>49.327519943609907</v>
      </c>
    </row>
    <row r="34" spans="1:47" x14ac:dyDescent="0.4">
      <c r="B34">
        <v>5</v>
      </c>
      <c r="C34" s="1">
        <v>5.9</v>
      </c>
      <c r="D34" s="1">
        <f t="shared" si="0"/>
        <v>5.487000000000001</v>
      </c>
      <c r="E34" s="4">
        <v>7842</v>
      </c>
      <c r="F34" s="6">
        <v>6.7555111428891396E-2</v>
      </c>
      <c r="H34" s="4">
        <f t="shared" si="79"/>
        <v>7.1073925045424389</v>
      </c>
      <c r="I34" s="4">
        <f t="shared" si="80"/>
        <v>0</v>
      </c>
      <c r="J34" s="267">
        <f t="shared" si="81"/>
        <v>41.933615776800394</v>
      </c>
      <c r="K34" s="267">
        <f t="shared" si="27"/>
        <v>0</v>
      </c>
      <c r="L34" s="273"/>
      <c r="M34" s="4">
        <f t="shared" si="82"/>
        <v>7.1073925045424389</v>
      </c>
      <c r="N34" s="4">
        <f t="shared" si="82"/>
        <v>0</v>
      </c>
      <c r="O34" s="4">
        <f t="shared" si="83"/>
        <v>41.933615776800394</v>
      </c>
      <c r="P34" s="267">
        <f t="shared" si="84"/>
        <v>0</v>
      </c>
      <c r="Q34" s="6">
        <f t="shared" si="85"/>
        <v>6.7555111428891396E-2</v>
      </c>
      <c r="R34" s="273"/>
      <c r="S34" s="4">
        <f t="shared" si="86"/>
        <v>6.4598536308965819</v>
      </c>
      <c r="T34" s="4">
        <f t="shared" si="86"/>
        <v>0.64753887364585683</v>
      </c>
      <c r="U34" s="4">
        <f t="shared" si="87"/>
        <v>38.113136422289834</v>
      </c>
      <c r="V34" s="267">
        <f t="shared" si="88"/>
        <v>3.553045799694817</v>
      </c>
      <c r="W34" s="273"/>
      <c r="X34" s="4">
        <f t="shared" si="89"/>
        <v>6.0281610484660106</v>
      </c>
      <c r="Y34" s="4">
        <f t="shared" si="89"/>
        <v>1.079231456076428</v>
      </c>
      <c r="Z34" s="4">
        <f t="shared" si="90"/>
        <v>35.566150185949468</v>
      </c>
      <c r="AA34" s="267">
        <f t="shared" si="91"/>
        <v>5.9217429994913617</v>
      </c>
      <c r="AB34" s="273"/>
      <c r="AC34" s="4">
        <f t="shared" si="92"/>
        <v>4.9489295923895833</v>
      </c>
      <c r="AD34" s="4">
        <f t="shared" si="92"/>
        <v>2.158462912152856</v>
      </c>
      <c r="AE34" s="4">
        <f t="shared" si="93"/>
        <v>29.198684595098545</v>
      </c>
      <c r="AF34" s="267">
        <f t="shared" si="94"/>
        <v>11.843485998982723</v>
      </c>
      <c r="AG34" s="273"/>
      <c r="AH34" s="4">
        <f t="shared" si="95"/>
        <v>2.7904666802367264</v>
      </c>
      <c r="AI34" s="4">
        <f t="shared" si="95"/>
        <v>4.316925824305712</v>
      </c>
      <c r="AJ34" s="4">
        <f t="shared" si="96"/>
        <v>16.463753413396688</v>
      </c>
      <c r="AK34" s="267">
        <f t="shared" si="97"/>
        <v>23.686971997965447</v>
      </c>
      <c r="AL34" s="273"/>
      <c r="AM34" s="4">
        <f t="shared" si="98"/>
        <v>2.0709790428524419</v>
      </c>
      <c r="AN34" s="4">
        <f t="shared" si="98"/>
        <v>5.0364134616899969</v>
      </c>
      <c r="AO34" s="4">
        <f t="shared" si="99"/>
        <v>12.218776352829408</v>
      </c>
      <c r="AP34" s="267">
        <f t="shared" si="100"/>
        <v>27.634800664293017</v>
      </c>
      <c r="AQ34" s="273"/>
      <c r="AR34" s="4">
        <f t="shared" si="101"/>
        <v>0</v>
      </c>
      <c r="AS34" s="4">
        <f t="shared" si="101"/>
        <v>7.1073925045424389</v>
      </c>
      <c r="AT34" s="4">
        <f t="shared" si="102"/>
        <v>0</v>
      </c>
      <c r="AU34" s="267">
        <f t="shared" si="103"/>
        <v>38.998262672424367</v>
      </c>
    </row>
    <row r="35" spans="1:47" x14ac:dyDescent="0.4">
      <c r="D35" s="1">
        <f t="shared" si="0"/>
        <v>0</v>
      </c>
      <c r="F35" s="6"/>
      <c r="G35" s="4">
        <f>機器台数４!D33</f>
        <v>56.869623999999995</v>
      </c>
      <c r="H35" s="4">
        <f>G35*(1-G$3)</f>
        <v>56.869623999999995</v>
      </c>
      <c r="I35" s="4">
        <f>G35*$G$3</f>
        <v>0</v>
      </c>
      <c r="J35" s="4">
        <f>SUM(J36:J42)</f>
        <v>197.88871016899643</v>
      </c>
      <c r="K35" s="267">
        <f t="shared" si="27"/>
        <v>0</v>
      </c>
      <c r="L35" s="273">
        <f>機器台数４!F33</f>
        <v>56.869623999999995</v>
      </c>
      <c r="M35" s="4">
        <f>L35*(1-L$3)</f>
        <v>56.869623999999995</v>
      </c>
      <c r="N35" s="4">
        <f>L35*$G$3</f>
        <v>0</v>
      </c>
      <c r="O35" s="4">
        <f>SUM(O36:O42)</f>
        <v>197.88871016899643</v>
      </c>
      <c r="P35" s="4">
        <f>SUM(P36:P42)</f>
        <v>0</v>
      </c>
      <c r="Q35" s="6"/>
      <c r="R35" s="273">
        <f>機器台数４!H33</f>
        <v>51.688357840000002</v>
      </c>
      <c r="S35" s="4">
        <f>R35*(1-R$3)</f>
        <v>51.688357840000002</v>
      </c>
      <c r="T35" s="4">
        <f>機器台数４!H43</f>
        <v>5.1812661599999998</v>
      </c>
      <c r="U35" s="4">
        <f>SUM(U36:U42)</f>
        <v>179.85950573035507</v>
      </c>
      <c r="V35" s="4">
        <f>SUM(V36:V42)</f>
        <v>16.767160127936531</v>
      </c>
      <c r="W35" s="273">
        <f>機器台数４!J33</f>
        <v>48.2341804</v>
      </c>
      <c r="X35" s="4">
        <f>W35*(1-W$3)</f>
        <v>48.2341804</v>
      </c>
      <c r="Y35" s="4">
        <f>機器台数４!J43</f>
        <v>8.6354436000000003</v>
      </c>
      <c r="Z35" s="4">
        <f>SUM(Z36:Z42)</f>
        <v>167.84003610459408</v>
      </c>
      <c r="AA35" s="4">
        <f>SUM(AA36:AA42)</f>
        <v>27.94526687989422</v>
      </c>
      <c r="AB35" s="273"/>
      <c r="AC35" s="4">
        <f>機器台数４!L33</f>
        <v>56.869623999999995</v>
      </c>
      <c r="AD35" s="4">
        <f>機器台数４!L43</f>
        <v>17.270887200000001</v>
      </c>
      <c r="AE35" s="4">
        <f>SUM(AE36:AE42)</f>
        <v>197.88871016899643</v>
      </c>
      <c r="AF35" s="4">
        <f>SUM(AF36:AF42)</f>
        <v>55.89053375978844</v>
      </c>
      <c r="AG35" s="273">
        <f>機器台数４!N33</f>
        <v>22.327849599999997</v>
      </c>
      <c r="AH35" s="4">
        <f>機器台数４!N33</f>
        <v>22.327849599999997</v>
      </c>
      <c r="AI35" s="4">
        <f>機器台数４!N43</f>
        <v>34.541774400000001</v>
      </c>
      <c r="AJ35" s="4">
        <f>SUM(AJ36:AJ42)</f>
        <v>77.694013911386904</v>
      </c>
      <c r="AK35" s="4">
        <f>SUM(AK36:AK42)</f>
        <v>111.78106751957688</v>
      </c>
      <c r="AL35" s="273">
        <f>機器台数４!S33</f>
        <v>0.04</v>
      </c>
      <c r="AM35" s="4">
        <f>機器台数４!P33</f>
        <v>16.570887200000001</v>
      </c>
      <c r="AN35" s="4">
        <f>機器台数４!P43</f>
        <v>40.298736799999993</v>
      </c>
      <c r="AO35" s="4">
        <f>SUM(AO36:AO42)</f>
        <v>57.661564535118671</v>
      </c>
      <c r="AP35" s="4">
        <f>SUM(AP36:AP42)</f>
        <v>130.41124543950636</v>
      </c>
      <c r="AQ35" s="273">
        <f>機器台数４!X33</f>
        <v>0</v>
      </c>
      <c r="AR35" s="4">
        <f>機器台数４!R33</f>
        <v>0</v>
      </c>
      <c r="AS35" s="4">
        <f>機器台数４!R43</f>
        <v>56.869623999999995</v>
      </c>
      <c r="AT35" s="4">
        <f>SUM(AT36:AT42)</f>
        <v>0</v>
      </c>
      <c r="AU35" s="4">
        <f>SUM(AU36:AU42)</f>
        <v>184.03650045716674</v>
      </c>
    </row>
    <row r="36" spans="1:47" x14ac:dyDescent="0.4">
      <c r="A36" t="s">
        <v>6</v>
      </c>
      <c r="B36">
        <v>1.5</v>
      </c>
      <c r="C36" s="1">
        <v>1.8</v>
      </c>
      <c r="D36" s="1">
        <f t="shared" ref="D36:D67" si="104">C36*$D$1</f>
        <v>1.6740000000000002</v>
      </c>
      <c r="E36" s="4">
        <v>2328</v>
      </c>
      <c r="F36" s="6">
        <v>3.8079659769362888E-2</v>
      </c>
      <c r="H36" s="4">
        <f t="shared" ref="H36:H42" si="105">F36*H$35</f>
        <v>2.1655759331315938</v>
      </c>
      <c r="I36" s="4">
        <f t="shared" ref="I36:I42" si="106">$F36*I$35</f>
        <v>0</v>
      </c>
      <c r="J36" s="267">
        <f t="shared" ref="J36:J42" si="107">C36*H36</f>
        <v>3.8980366796368688</v>
      </c>
      <c r="K36" s="267">
        <f t="shared" si="27"/>
        <v>0</v>
      </c>
      <c r="L36" s="273"/>
      <c r="M36" s="4">
        <f t="shared" ref="M36:N42" si="108">$F36*M$35</f>
        <v>2.1655759331315938</v>
      </c>
      <c r="N36" s="4">
        <f t="shared" si="108"/>
        <v>0</v>
      </c>
      <c r="O36" s="4">
        <f t="shared" ref="O36:O42" si="109">$C36*$M36</f>
        <v>3.8980366796368688</v>
      </c>
      <c r="P36" s="267">
        <f t="shared" ref="P36:P42" si="110">$D36*$N36</f>
        <v>0</v>
      </c>
      <c r="Q36" s="6">
        <f t="shared" ref="Q36:Q42" si="111">E36/$A$38</f>
        <v>3.8079659769362888E-2</v>
      </c>
      <c r="R36" s="273">
        <f>SUM(S36:S42)</f>
        <v>51.688357840000002</v>
      </c>
      <c r="S36" s="4">
        <f t="shared" ref="S36:T42" si="112">$F36*S$35</f>
        <v>1.9682750805842808</v>
      </c>
      <c r="T36" s="4">
        <f t="shared" si="112"/>
        <v>0.19730085254731333</v>
      </c>
      <c r="U36" s="4">
        <f t="shared" ref="U36:U42" si="113">$C36*S36</f>
        <v>3.5428951450517054</v>
      </c>
      <c r="V36" s="267">
        <f t="shared" ref="V36:V42" si="114">$D36*T36</f>
        <v>0.33028162716420256</v>
      </c>
      <c r="W36" s="273">
        <f>SUM(X36:X42)</f>
        <v>48.2341804</v>
      </c>
      <c r="X36" s="4">
        <f t="shared" ref="X36:Y42" si="115">$F36*X$35</f>
        <v>1.8367411788860719</v>
      </c>
      <c r="Y36" s="4">
        <f t="shared" si="115"/>
        <v>0.32883475424552222</v>
      </c>
      <c r="Z36" s="4">
        <f t="shared" ref="Z36:Z42" si="116">$C36*X36</f>
        <v>3.3061341219949294</v>
      </c>
      <c r="AA36" s="267">
        <f t="shared" ref="AA36:AA42" si="117">$D36*Y36</f>
        <v>0.55046937860700429</v>
      </c>
      <c r="AB36" s="273">
        <f>SUM(AC36:AC42)</f>
        <v>56.869624000000002</v>
      </c>
      <c r="AC36" s="4">
        <f t="shared" ref="AC36:AD42" si="118">$F36*AC$35</f>
        <v>2.1655759331315938</v>
      </c>
      <c r="AD36" s="4">
        <f t="shared" si="118"/>
        <v>0.65766950849104444</v>
      </c>
      <c r="AE36" s="4">
        <f t="shared" ref="AE36:AE42" si="119">$C36*AC36</f>
        <v>3.8980366796368688</v>
      </c>
      <c r="AF36" s="267">
        <f t="shared" ref="AF36:AF42" si="120">$D36*AD36</f>
        <v>1.1009387572140086</v>
      </c>
      <c r="AG36" s="273">
        <f>SUM(AH36:AH42)</f>
        <v>22.3278496</v>
      </c>
      <c r="AH36" s="4">
        <f t="shared" ref="AH36:AI42" si="121">$F36*AH$35</f>
        <v>0.85023691614950514</v>
      </c>
      <c r="AI36" s="4">
        <f t="shared" si="121"/>
        <v>1.3153390169820889</v>
      </c>
      <c r="AJ36" s="4">
        <f t="shared" ref="AJ36:AJ42" si="122">$C36*AH36</f>
        <v>1.5304264490691093</v>
      </c>
      <c r="AK36" s="267">
        <f t="shared" ref="AK36:AK42" si="123">$D36*AI36</f>
        <v>2.2018775144280172</v>
      </c>
      <c r="AL36" s="273">
        <f>SUM(AM36:AM42)</f>
        <v>16.570887200000001</v>
      </c>
      <c r="AM36" s="4">
        <f t="shared" ref="AM36:AN42" si="124">$F36*AM$35</f>
        <v>0.63101374665249044</v>
      </c>
      <c r="AN36" s="4">
        <f t="shared" si="124"/>
        <v>1.5345621864791035</v>
      </c>
      <c r="AO36" s="4">
        <f t="shared" ref="AO36:AO42" si="125">$C36*AM36</f>
        <v>1.1358247439744829</v>
      </c>
      <c r="AP36" s="267">
        <f t="shared" ref="AP36:AP42" si="126">$D36*AN36</f>
        <v>2.5688571001660194</v>
      </c>
      <c r="AQ36" s="273">
        <f>SUM(AR36:AR42)</f>
        <v>0</v>
      </c>
      <c r="AR36" s="4">
        <f t="shared" ref="AR36:AS42" si="127">$F36*AR$35</f>
        <v>0</v>
      </c>
      <c r="AS36" s="4">
        <f t="shared" si="127"/>
        <v>2.1655759331315938</v>
      </c>
      <c r="AT36" s="4">
        <f t="shared" ref="AT36:AT42" si="128">$C36*AR36</f>
        <v>0</v>
      </c>
      <c r="AU36" s="267">
        <f t="shared" ref="AU36:AU42" si="129">$D36*AS36</f>
        <v>3.6251741120622882</v>
      </c>
    </row>
    <row r="37" spans="1:47" x14ac:dyDescent="0.4">
      <c r="A37" t="s">
        <v>5</v>
      </c>
      <c r="B37">
        <v>2</v>
      </c>
      <c r="C37" s="1">
        <v>2</v>
      </c>
      <c r="D37" s="1">
        <f t="shared" si="104"/>
        <v>1.86</v>
      </c>
      <c r="E37" s="4">
        <v>11267</v>
      </c>
      <c r="F37" s="6">
        <v>0.1842970475177885</v>
      </c>
      <c r="H37" s="4">
        <f t="shared" si="105"/>
        <v>10.480903796646764</v>
      </c>
      <c r="I37" s="4">
        <f t="shared" si="106"/>
        <v>0</v>
      </c>
      <c r="J37" s="267">
        <f t="shared" si="107"/>
        <v>20.961807593293528</v>
      </c>
      <c r="K37" s="267">
        <f t="shared" si="27"/>
        <v>0</v>
      </c>
      <c r="L37" s="273"/>
      <c r="M37" s="4">
        <f t="shared" si="108"/>
        <v>10.480903796646764</v>
      </c>
      <c r="N37" s="4">
        <f t="shared" si="108"/>
        <v>0</v>
      </c>
      <c r="O37" s="4">
        <f t="shared" si="109"/>
        <v>20.961807593293528</v>
      </c>
      <c r="P37" s="267">
        <f t="shared" si="110"/>
        <v>0</v>
      </c>
      <c r="Q37" s="6">
        <f t="shared" si="111"/>
        <v>0.1842970475177885</v>
      </c>
      <c r="R37" s="273"/>
      <c r="S37" s="4">
        <f t="shared" si="112"/>
        <v>9.5260117409549352</v>
      </c>
      <c r="T37" s="4">
        <f t="shared" si="112"/>
        <v>0.95489205569182956</v>
      </c>
      <c r="U37" s="4">
        <f t="shared" si="113"/>
        <v>19.05202348190987</v>
      </c>
      <c r="V37" s="267">
        <f t="shared" si="114"/>
        <v>1.7760992235868032</v>
      </c>
      <c r="W37" s="273"/>
      <c r="X37" s="4">
        <f t="shared" si="115"/>
        <v>8.8894170371603831</v>
      </c>
      <c r="Y37" s="4">
        <f t="shared" si="115"/>
        <v>1.5914867594863826</v>
      </c>
      <c r="Z37" s="4">
        <f t="shared" si="116"/>
        <v>17.778834074320766</v>
      </c>
      <c r="AA37" s="267">
        <f t="shared" si="117"/>
        <v>2.9601653726446719</v>
      </c>
      <c r="AB37" s="273"/>
      <c r="AC37" s="4">
        <f t="shared" si="118"/>
        <v>10.480903796646764</v>
      </c>
      <c r="AD37" s="4">
        <f t="shared" si="118"/>
        <v>3.1829735189727653</v>
      </c>
      <c r="AE37" s="4">
        <f t="shared" si="119"/>
        <v>20.961807593293528</v>
      </c>
      <c r="AF37" s="267">
        <f t="shared" si="120"/>
        <v>5.9203307452893439</v>
      </c>
      <c r="AG37" s="273"/>
      <c r="AH37" s="4">
        <f t="shared" si="121"/>
        <v>4.1149567587012346</v>
      </c>
      <c r="AI37" s="4">
        <f t="shared" si="121"/>
        <v>6.3659470379455305</v>
      </c>
      <c r="AJ37" s="4">
        <f t="shared" si="122"/>
        <v>8.2299135174024691</v>
      </c>
      <c r="AK37" s="267">
        <f t="shared" si="123"/>
        <v>11.840661490578688</v>
      </c>
      <c r="AL37" s="273"/>
      <c r="AM37" s="4">
        <f t="shared" si="124"/>
        <v>3.0539655857103134</v>
      </c>
      <c r="AN37" s="4">
        <f t="shared" si="124"/>
        <v>7.4269382109364503</v>
      </c>
      <c r="AO37" s="4">
        <f t="shared" si="125"/>
        <v>6.1079311714206268</v>
      </c>
      <c r="AP37" s="267">
        <f t="shared" si="126"/>
        <v>13.814105072341798</v>
      </c>
      <c r="AQ37" s="273"/>
      <c r="AR37" s="4">
        <f t="shared" si="127"/>
        <v>0</v>
      </c>
      <c r="AS37" s="4">
        <f t="shared" si="127"/>
        <v>10.480903796646764</v>
      </c>
      <c r="AT37" s="4">
        <f t="shared" si="128"/>
        <v>0</v>
      </c>
      <c r="AU37" s="267">
        <f t="shared" si="129"/>
        <v>19.494481061762983</v>
      </c>
    </row>
    <row r="38" spans="1:47" x14ac:dyDescent="0.4">
      <c r="A38" s="5">
        <f>SUM(E36:E42)</f>
        <v>61135</v>
      </c>
      <c r="B38">
        <v>2.5</v>
      </c>
      <c r="C38" s="1">
        <v>2.9</v>
      </c>
      <c r="D38" s="1">
        <f t="shared" si="104"/>
        <v>2.6970000000000001</v>
      </c>
      <c r="E38" s="4">
        <v>12189</v>
      </c>
      <c r="F38" s="6">
        <v>0.19937842479757914</v>
      </c>
      <c r="H38" s="4">
        <f t="shared" si="105"/>
        <v>11.3385760519506</v>
      </c>
      <c r="I38" s="4">
        <f t="shared" si="106"/>
        <v>0</v>
      </c>
      <c r="J38" s="267">
        <f t="shared" si="107"/>
        <v>32.881870550656743</v>
      </c>
      <c r="K38" s="267">
        <f t="shared" si="27"/>
        <v>0</v>
      </c>
      <c r="L38" s="273"/>
      <c r="M38" s="4">
        <f t="shared" si="108"/>
        <v>11.3385760519506</v>
      </c>
      <c r="N38" s="4">
        <f t="shared" si="108"/>
        <v>0</v>
      </c>
      <c r="O38" s="4">
        <f t="shared" si="109"/>
        <v>32.881870550656743</v>
      </c>
      <c r="P38" s="267">
        <f t="shared" si="110"/>
        <v>0</v>
      </c>
      <c r="Q38" s="6">
        <f t="shared" si="111"/>
        <v>0.19937842479757914</v>
      </c>
      <c r="R38" s="273"/>
      <c r="S38" s="4">
        <f t="shared" si="112"/>
        <v>10.305543366512801</v>
      </c>
      <c r="T38" s="4">
        <f t="shared" si="112"/>
        <v>1.0330326854378016</v>
      </c>
      <c r="U38" s="4">
        <f t="shared" si="113"/>
        <v>29.886075762887121</v>
      </c>
      <c r="V38" s="267">
        <f t="shared" si="114"/>
        <v>2.7860891526257507</v>
      </c>
      <c r="W38" s="273"/>
      <c r="X38" s="4">
        <f t="shared" si="115"/>
        <v>9.6168549095542648</v>
      </c>
      <c r="Y38" s="4">
        <f t="shared" si="115"/>
        <v>1.7217211423963361</v>
      </c>
      <c r="Z38" s="4">
        <f t="shared" si="116"/>
        <v>27.888879237707368</v>
      </c>
      <c r="AA38" s="267">
        <f t="shared" si="117"/>
        <v>4.6434819210429188</v>
      </c>
      <c r="AB38" s="273"/>
      <c r="AC38" s="4">
        <f t="shared" si="118"/>
        <v>11.3385760519506</v>
      </c>
      <c r="AD38" s="4">
        <f t="shared" si="118"/>
        <v>3.4434422847926722</v>
      </c>
      <c r="AE38" s="4">
        <f t="shared" si="119"/>
        <v>32.881870550656743</v>
      </c>
      <c r="AF38" s="267">
        <f t="shared" si="120"/>
        <v>9.2869638420858376</v>
      </c>
      <c r="AG38" s="273"/>
      <c r="AH38" s="4">
        <f t="shared" si="121"/>
        <v>4.4516914823652565</v>
      </c>
      <c r="AI38" s="4">
        <f t="shared" si="121"/>
        <v>6.8868845695853445</v>
      </c>
      <c r="AJ38" s="4">
        <f t="shared" si="122"/>
        <v>12.909905298859243</v>
      </c>
      <c r="AK38" s="267">
        <f t="shared" si="123"/>
        <v>18.573927684171675</v>
      </c>
      <c r="AL38" s="273"/>
      <c r="AM38" s="4">
        <f t="shared" si="124"/>
        <v>3.3038773874343672</v>
      </c>
      <c r="AN38" s="4">
        <f t="shared" si="124"/>
        <v>8.0346986645162328</v>
      </c>
      <c r="AO38" s="4">
        <f t="shared" si="125"/>
        <v>9.5812444235596654</v>
      </c>
      <c r="AP38" s="267">
        <f t="shared" si="126"/>
        <v>21.669582298200279</v>
      </c>
      <c r="AQ38" s="273"/>
      <c r="AR38" s="4">
        <f t="shared" si="127"/>
        <v>0</v>
      </c>
      <c r="AS38" s="4">
        <f t="shared" si="127"/>
        <v>11.3385760519506</v>
      </c>
      <c r="AT38" s="4">
        <f t="shared" si="128"/>
        <v>0</v>
      </c>
      <c r="AU38" s="267">
        <f t="shared" si="129"/>
        <v>30.58013961211077</v>
      </c>
    </row>
    <row r="39" spans="1:47" x14ac:dyDescent="0.4">
      <c r="A39" s="237">
        <f>A38/$E$75</f>
        <v>4.041708234083894E-2</v>
      </c>
      <c r="B39">
        <v>3</v>
      </c>
      <c r="C39" s="1">
        <v>2.9</v>
      </c>
      <c r="D39" s="1">
        <f t="shared" si="104"/>
        <v>2.6970000000000001</v>
      </c>
      <c r="E39" s="4">
        <v>15247</v>
      </c>
      <c r="F39" s="6">
        <v>0.24939887135029035</v>
      </c>
      <c r="H39" s="4">
        <f t="shared" si="105"/>
        <v>14.183220039715383</v>
      </c>
      <c r="I39" s="4">
        <f t="shared" si="106"/>
        <v>0</v>
      </c>
      <c r="J39" s="267">
        <f t="shared" si="107"/>
        <v>41.131338115174607</v>
      </c>
      <c r="K39" s="267">
        <f t="shared" si="27"/>
        <v>0</v>
      </c>
      <c r="L39" s="273"/>
      <c r="M39" s="4">
        <f t="shared" si="108"/>
        <v>14.183220039715383</v>
      </c>
      <c r="N39" s="4">
        <f t="shared" si="108"/>
        <v>0</v>
      </c>
      <c r="O39" s="4">
        <f t="shared" si="109"/>
        <v>41.131338115174607</v>
      </c>
      <c r="P39" s="267">
        <f t="shared" si="110"/>
        <v>0</v>
      </c>
      <c r="Q39" s="6">
        <f t="shared" si="111"/>
        <v>0.24939887135029035</v>
      </c>
      <c r="R39" s="273"/>
      <c r="S39" s="4">
        <f t="shared" si="112"/>
        <v>12.891018107245932</v>
      </c>
      <c r="T39" s="4">
        <f t="shared" si="112"/>
        <v>1.2922019324694529</v>
      </c>
      <c r="U39" s="4">
        <f t="shared" si="113"/>
        <v>37.383952511013199</v>
      </c>
      <c r="V39" s="267">
        <f t="shared" si="114"/>
        <v>3.4850686118701146</v>
      </c>
      <c r="W39" s="273"/>
      <c r="X39" s="4">
        <f t="shared" si="115"/>
        <v>12.029550152266296</v>
      </c>
      <c r="Y39" s="4">
        <f t="shared" si="115"/>
        <v>2.1536698874490883</v>
      </c>
      <c r="Z39" s="4">
        <f t="shared" si="116"/>
        <v>34.88569544157226</v>
      </c>
      <c r="AA39" s="267">
        <f t="shared" si="117"/>
        <v>5.808447686450191</v>
      </c>
      <c r="AB39" s="273"/>
      <c r="AC39" s="4">
        <f t="shared" si="118"/>
        <v>14.183220039715383</v>
      </c>
      <c r="AD39" s="4">
        <f t="shared" si="118"/>
        <v>4.3073397748981765</v>
      </c>
      <c r="AE39" s="4">
        <f t="shared" si="119"/>
        <v>41.131338115174607</v>
      </c>
      <c r="AF39" s="267">
        <f t="shared" si="120"/>
        <v>11.616895372900382</v>
      </c>
      <c r="AG39" s="273"/>
      <c r="AH39" s="4">
        <f t="shared" si="121"/>
        <v>5.5685404899190312</v>
      </c>
      <c r="AI39" s="4">
        <f t="shared" si="121"/>
        <v>8.6146795497963531</v>
      </c>
      <c r="AJ39" s="4">
        <f t="shared" si="122"/>
        <v>16.148767420765189</v>
      </c>
      <c r="AK39" s="267">
        <f t="shared" si="123"/>
        <v>23.233790745800764</v>
      </c>
      <c r="AL39" s="273"/>
      <c r="AM39" s="4">
        <f t="shared" si="124"/>
        <v>4.1327605649529735</v>
      </c>
      <c r="AN39" s="4">
        <f t="shared" si="124"/>
        <v>10.050459474762409</v>
      </c>
      <c r="AO39" s="4">
        <f t="shared" si="125"/>
        <v>11.985005638363623</v>
      </c>
      <c r="AP39" s="267">
        <f t="shared" si="126"/>
        <v>27.106089203434216</v>
      </c>
      <c r="AQ39" s="273"/>
      <c r="AR39" s="4">
        <f t="shared" si="127"/>
        <v>0</v>
      </c>
      <c r="AS39" s="4">
        <f t="shared" si="127"/>
        <v>14.183220039715383</v>
      </c>
      <c r="AT39" s="4">
        <f t="shared" si="128"/>
        <v>0</v>
      </c>
      <c r="AU39" s="267">
        <f t="shared" si="129"/>
        <v>38.252144447112393</v>
      </c>
    </row>
    <row r="40" spans="1:47" x14ac:dyDescent="0.4">
      <c r="B40">
        <v>3.5</v>
      </c>
      <c r="C40" s="1">
        <v>5</v>
      </c>
      <c r="D40" s="1">
        <f t="shared" si="104"/>
        <v>4.6500000000000004</v>
      </c>
      <c r="E40" s="4">
        <v>6555</v>
      </c>
      <c r="F40" s="6">
        <v>0.10722172241760039</v>
      </c>
      <c r="H40" s="4">
        <f t="shared" si="105"/>
        <v>6.0976590385213045</v>
      </c>
      <c r="I40" s="4">
        <f t="shared" si="106"/>
        <v>0</v>
      </c>
      <c r="J40" s="267">
        <f t="shared" si="107"/>
        <v>30.488295192606522</v>
      </c>
      <c r="K40" s="267">
        <f t="shared" si="27"/>
        <v>0</v>
      </c>
      <c r="L40" s="273"/>
      <c r="M40" s="4">
        <f t="shared" si="108"/>
        <v>6.0976590385213045</v>
      </c>
      <c r="N40" s="4">
        <f t="shared" si="108"/>
        <v>0</v>
      </c>
      <c r="O40" s="4">
        <f t="shared" si="109"/>
        <v>30.488295192606522</v>
      </c>
      <c r="P40" s="267">
        <f t="shared" si="110"/>
        <v>0</v>
      </c>
      <c r="Q40" s="6">
        <f t="shared" si="111"/>
        <v>0.10722172241760039</v>
      </c>
      <c r="R40" s="273"/>
      <c r="S40" s="4">
        <f t="shared" si="112"/>
        <v>5.5421147565420794</v>
      </c>
      <c r="T40" s="4">
        <f t="shared" si="112"/>
        <v>0.55554428197922623</v>
      </c>
      <c r="U40" s="4">
        <f t="shared" si="113"/>
        <v>27.710573782710398</v>
      </c>
      <c r="V40" s="267">
        <f t="shared" si="114"/>
        <v>2.5832809112034023</v>
      </c>
      <c r="W40" s="273"/>
      <c r="X40" s="4">
        <f t="shared" si="115"/>
        <v>5.1717519018892615</v>
      </c>
      <c r="Y40" s="4">
        <f t="shared" si="115"/>
        <v>0.92590713663204383</v>
      </c>
      <c r="Z40" s="4">
        <f t="shared" si="116"/>
        <v>25.858759509446308</v>
      </c>
      <c r="AA40" s="267">
        <f t="shared" si="117"/>
        <v>4.305468185339004</v>
      </c>
      <c r="AB40" s="273"/>
      <c r="AC40" s="4">
        <f t="shared" si="118"/>
        <v>6.0976590385213045</v>
      </c>
      <c r="AD40" s="4">
        <f t="shared" si="118"/>
        <v>1.8518142732640877</v>
      </c>
      <c r="AE40" s="4">
        <f t="shared" si="119"/>
        <v>30.488295192606522</v>
      </c>
      <c r="AF40" s="267">
        <f t="shared" si="120"/>
        <v>8.610936370678008</v>
      </c>
      <c r="AG40" s="273"/>
      <c r="AH40" s="4">
        <f t="shared" si="121"/>
        <v>2.3940304919931297</v>
      </c>
      <c r="AI40" s="4">
        <f t="shared" si="121"/>
        <v>3.7036285465281753</v>
      </c>
      <c r="AJ40" s="4">
        <f t="shared" si="122"/>
        <v>11.970152459965648</v>
      </c>
      <c r="AK40" s="267">
        <f t="shared" si="123"/>
        <v>17.221872741356016</v>
      </c>
      <c r="AL40" s="273"/>
      <c r="AM40" s="4">
        <f t="shared" si="124"/>
        <v>1.7767590675717675</v>
      </c>
      <c r="AN40" s="4">
        <f t="shared" si="124"/>
        <v>4.3208999709495375</v>
      </c>
      <c r="AO40" s="4">
        <f t="shared" si="125"/>
        <v>8.883795337858837</v>
      </c>
      <c r="AP40" s="267">
        <f t="shared" si="126"/>
        <v>20.09218486491535</v>
      </c>
      <c r="AQ40" s="273"/>
      <c r="AR40" s="4">
        <f t="shared" si="127"/>
        <v>0</v>
      </c>
      <c r="AS40" s="4">
        <f t="shared" si="127"/>
        <v>6.0976590385213045</v>
      </c>
      <c r="AT40" s="4">
        <f t="shared" si="128"/>
        <v>0</v>
      </c>
      <c r="AU40" s="267">
        <f t="shared" si="129"/>
        <v>28.354114529124068</v>
      </c>
    </row>
    <row r="41" spans="1:47" x14ac:dyDescent="0.4">
      <c r="B41">
        <v>4</v>
      </c>
      <c r="C41" s="1">
        <v>5.0999999999999996</v>
      </c>
      <c r="D41" s="1">
        <f t="shared" si="104"/>
        <v>4.7430000000000003</v>
      </c>
      <c r="E41" s="4">
        <v>7840</v>
      </c>
      <c r="F41" s="6">
        <v>0.12824077860472724</v>
      </c>
      <c r="H41" s="4">
        <f t="shared" si="105"/>
        <v>7.2930048607180824</v>
      </c>
      <c r="I41" s="4">
        <f t="shared" si="106"/>
        <v>0</v>
      </c>
      <c r="J41" s="267">
        <f t="shared" si="107"/>
        <v>37.194324789662218</v>
      </c>
      <c r="K41" s="267">
        <f t="shared" si="27"/>
        <v>0</v>
      </c>
      <c r="L41" s="273"/>
      <c r="M41" s="4">
        <f t="shared" si="108"/>
        <v>7.2930048607180824</v>
      </c>
      <c r="N41" s="4">
        <f t="shared" si="108"/>
        <v>0</v>
      </c>
      <c r="O41" s="4">
        <f t="shared" si="109"/>
        <v>37.194324789662218</v>
      </c>
      <c r="P41" s="267">
        <f t="shared" si="110"/>
        <v>0</v>
      </c>
      <c r="Q41" s="6">
        <f t="shared" si="111"/>
        <v>0.12824077860472724</v>
      </c>
      <c r="R41" s="273"/>
      <c r="S41" s="4">
        <f t="shared" si="112"/>
        <v>6.6285552542013582</v>
      </c>
      <c r="T41" s="4">
        <f t="shared" si="112"/>
        <v>0.66444960651672524</v>
      </c>
      <c r="U41" s="4">
        <f t="shared" si="113"/>
        <v>33.805631796426923</v>
      </c>
      <c r="V41" s="267">
        <f t="shared" si="114"/>
        <v>3.1514844837088281</v>
      </c>
      <c r="W41" s="273"/>
      <c r="X41" s="4">
        <f t="shared" si="115"/>
        <v>6.1855888498568738</v>
      </c>
      <c r="Y41" s="4">
        <f t="shared" si="115"/>
        <v>1.1074160108612088</v>
      </c>
      <c r="Z41" s="4">
        <f t="shared" si="116"/>
        <v>31.546503134270054</v>
      </c>
      <c r="AA41" s="267">
        <f t="shared" si="117"/>
        <v>5.2524741395147139</v>
      </c>
      <c r="AB41" s="273"/>
      <c r="AC41" s="4">
        <f t="shared" si="118"/>
        <v>7.2930048607180824</v>
      </c>
      <c r="AD41" s="4">
        <f t="shared" si="118"/>
        <v>2.2148320217224176</v>
      </c>
      <c r="AE41" s="4">
        <f t="shared" si="119"/>
        <v>37.194324789662218</v>
      </c>
      <c r="AF41" s="267">
        <f t="shared" si="120"/>
        <v>10.504948279029428</v>
      </c>
      <c r="AG41" s="273"/>
      <c r="AH41" s="4">
        <f t="shared" si="121"/>
        <v>2.8633408172732473</v>
      </c>
      <c r="AI41" s="4">
        <f t="shared" si="121"/>
        <v>4.4296640434448351</v>
      </c>
      <c r="AJ41" s="4">
        <f t="shared" si="122"/>
        <v>14.60303816809356</v>
      </c>
      <c r="AK41" s="267">
        <f t="shared" si="123"/>
        <v>21.009896558058855</v>
      </c>
      <c r="AL41" s="273"/>
      <c r="AM41" s="4">
        <f t="shared" si="124"/>
        <v>2.1250634766991086</v>
      </c>
      <c r="AN41" s="4">
        <f t="shared" si="124"/>
        <v>5.1679413840189738</v>
      </c>
      <c r="AO41" s="4">
        <f t="shared" si="125"/>
        <v>10.837823731165454</v>
      </c>
      <c r="AP41" s="267">
        <f t="shared" si="126"/>
        <v>24.511545984401995</v>
      </c>
      <c r="AQ41" s="273"/>
      <c r="AR41" s="4">
        <f t="shared" si="127"/>
        <v>0</v>
      </c>
      <c r="AS41" s="4">
        <f t="shared" si="127"/>
        <v>7.2930048607180824</v>
      </c>
      <c r="AT41" s="4">
        <f t="shared" si="128"/>
        <v>0</v>
      </c>
      <c r="AU41" s="267">
        <f t="shared" si="129"/>
        <v>34.590722054385864</v>
      </c>
    </row>
    <row r="42" spans="1:47" x14ac:dyDescent="0.4">
      <c r="B42">
        <v>5</v>
      </c>
      <c r="C42" s="1">
        <v>5.9</v>
      </c>
      <c r="D42" s="1">
        <f t="shared" si="104"/>
        <v>5.487000000000001</v>
      </c>
      <c r="E42" s="4">
        <v>5709</v>
      </c>
      <c r="F42" s="6">
        <v>9.3383495542651504E-2</v>
      </c>
      <c r="H42" s="4">
        <f t="shared" si="105"/>
        <v>5.3106842793162663</v>
      </c>
      <c r="I42" s="4">
        <f t="shared" si="106"/>
        <v>0</v>
      </c>
      <c r="J42" s="267">
        <f t="shared" si="107"/>
        <v>31.333037247965972</v>
      </c>
      <c r="K42" s="267">
        <f t="shared" si="27"/>
        <v>0</v>
      </c>
      <c r="L42" s="273"/>
      <c r="M42" s="4">
        <f t="shared" si="108"/>
        <v>5.3106842793162663</v>
      </c>
      <c r="N42" s="4">
        <f t="shared" si="108"/>
        <v>0</v>
      </c>
      <c r="O42" s="4">
        <f t="shared" si="109"/>
        <v>31.333037247965972</v>
      </c>
      <c r="P42" s="267">
        <f t="shared" si="110"/>
        <v>0</v>
      </c>
      <c r="Q42" s="6">
        <f t="shared" si="111"/>
        <v>9.3383495542651504E-2</v>
      </c>
      <c r="R42" s="273"/>
      <c r="S42" s="4">
        <f t="shared" si="112"/>
        <v>4.8268395339586165</v>
      </c>
      <c r="T42" s="4">
        <f t="shared" si="112"/>
        <v>0.48384474535765104</v>
      </c>
      <c r="U42" s="4">
        <f t="shared" si="113"/>
        <v>28.478353250355838</v>
      </c>
      <c r="V42" s="267">
        <f t="shared" si="114"/>
        <v>2.6548561177774319</v>
      </c>
      <c r="W42" s="273"/>
      <c r="X42" s="4">
        <f t="shared" si="115"/>
        <v>4.5042763703868482</v>
      </c>
      <c r="Y42" s="4">
        <f t="shared" si="115"/>
        <v>0.80640790892941849</v>
      </c>
      <c r="Z42" s="4">
        <f t="shared" si="116"/>
        <v>26.575230585282405</v>
      </c>
      <c r="AA42" s="267">
        <f t="shared" si="117"/>
        <v>4.4247601962957201</v>
      </c>
      <c r="AB42" s="273"/>
      <c r="AC42" s="4">
        <f t="shared" si="118"/>
        <v>5.3106842793162663</v>
      </c>
      <c r="AD42" s="4">
        <f t="shared" si="118"/>
        <v>1.612815817858837</v>
      </c>
      <c r="AE42" s="4">
        <f t="shared" si="119"/>
        <v>31.333037247965972</v>
      </c>
      <c r="AF42" s="267">
        <f t="shared" si="120"/>
        <v>8.8495203925914403</v>
      </c>
      <c r="AG42" s="273"/>
      <c r="AH42" s="4">
        <f t="shared" si="121"/>
        <v>2.0850526435985928</v>
      </c>
      <c r="AI42" s="4">
        <f t="shared" si="121"/>
        <v>3.225631635717674</v>
      </c>
      <c r="AJ42" s="4">
        <f t="shared" si="122"/>
        <v>12.301810597231698</v>
      </c>
      <c r="AK42" s="267">
        <f t="shared" si="123"/>
        <v>17.699040785182881</v>
      </c>
      <c r="AL42" s="273"/>
      <c r="AM42" s="4">
        <f t="shared" si="124"/>
        <v>1.5474473709789809</v>
      </c>
      <c r="AN42" s="4">
        <f t="shared" si="124"/>
        <v>3.7632369083372854</v>
      </c>
      <c r="AO42" s="4">
        <f t="shared" si="125"/>
        <v>9.129939488775987</v>
      </c>
      <c r="AP42" s="267">
        <f t="shared" si="126"/>
        <v>20.648880916046689</v>
      </c>
      <c r="AQ42" s="273"/>
      <c r="AR42" s="4">
        <f t="shared" si="127"/>
        <v>0</v>
      </c>
      <c r="AS42" s="4">
        <f t="shared" si="127"/>
        <v>5.3106842793162663</v>
      </c>
      <c r="AT42" s="4">
        <f t="shared" si="128"/>
        <v>0</v>
      </c>
      <c r="AU42" s="267">
        <f t="shared" si="129"/>
        <v>29.139724640608357</v>
      </c>
    </row>
    <row r="43" spans="1:47" x14ac:dyDescent="0.4">
      <c r="D43" s="1">
        <f t="shared" si="104"/>
        <v>0</v>
      </c>
      <c r="F43" s="6"/>
      <c r="G43" s="4">
        <f>機器台数４!D34</f>
        <v>113.73924799999999</v>
      </c>
      <c r="H43" s="4">
        <f>G43*(1-G$3)</f>
        <v>113.73924799999999</v>
      </c>
      <c r="I43" s="4">
        <f>G43*$G$3</f>
        <v>0</v>
      </c>
      <c r="J43" s="4">
        <f>SUM(J44:J47)</f>
        <v>242.13704279077521</v>
      </c>
      <c r="K43" s="267">
        <f t="shared" ref="K43:K73" si="130">D43*I43</f>
        <v>0</v>
      </c>
      <c r="L43" s="273">
        <f>機器台数４!F34</f>
        <v>113.73924799999999</v>
      </c>
      <c r="M43" s="4">
        <f>L43*(1-L$3)</f>
        <v>113.73924799999999</v>
      </c>
      <c r="N43" s="4">
        <f>L43*$G$3</f>
        <v>0</v>
      </c>
      <c r="O43" s="4">
        <f>SUM(O44:O47)</f>
        <v>242.13704279077521</v>
      </c>
      <c r="P43" s="4">
        <f>SUM(P44:P47)</f>
        <v>0</v>
      </c>
      <c r="Q43" s="6"/>
      <c r="R43" s="273">
        <f>機器台数４!H34</f>
        <v>103.37671568</v>
      </c>
      <c r="S43" s="4">
        <f>R43*(1-R$3)</f>
        <v>103.37671568</v>
      </c>
      <c r="T43" s="4">
        <f>機器台数４!H44</f>
        <v>10.36253232</v>
      </c>
      <c r="U43" s="4">
        <f>SUM(U44:U47)</f>
        <v>220.07647024515202</v>
      </c>
      <c r="V43" s="4">
        <f>SUM(V44:V47)</f>
        <v>20.516332467429599</v>
      </c>
      <c r="W43" s="273">
        <f>機器台数４!J34</f>
        <v>96.468360799999999</v>
      </c>
      <c r="X43" s="4">
        <f>W43*(1-W$3)</f>
        <v>96.468360799999999</v>
      </c>
      <c r="Y43" s="4">
        <f>機器台数４!J44</f>
        <v>17.270887200000001</v>
      </c>
      <c r="Z43" s="4">
        <f>SUM(Z44:Z47)</f>
        <v>205.36942188140318</v>
      </c>
      <c r="AA43" s="4">
        <f>SUM(AA44:AA47)</f>
        <v>34.193887445716001</v>
      </c>
      <c r="AB43" s="273"/>
      <c r="AC43" s="4">
        <f>機器台数４!L34</f>
        <v>113.73924799999999</v>
      </c>
      <c r="AD43" s="4">
        <f>機器台数４!L44</f>
        <v>34.541774400000001</v>
      </c>
      <c r="AE43" s="4">
        <f>SUM(AE44:AE47)</f>
        <v>242.13704279077521</v>
      </c>
      <c r="AF43" s="4">
        <f>SUM(AF44:AF47)</f>
        <v>68.387774891432002</v>
      </c>
      <c r="AG43" s="273">
        <f>機器台数４!N34</f>
        <v>44.655699199999994</v>
      </c>
      <c r="AH43" s="4">
        <f>機器台数４!N34</f>
        <v>44.655699199999994</v>
      </c>
      <c r="AI43" s="4">
        <f>機器台数４!N44</f>
        <v>69.083548800000003</v>
      </c>
      <c r="AJ43" s="4">
        <f>SUM(AJ44:AJ47)</f>
        <v>95.066559153287045</v>
      </c>
      <c r="AK43" s="4">
        <f>SUM(AK44:AK47)</f>
        <v>136.775549782864</v>
      </c>
      <c r="AL43" s="273">
        <f>機器台数４!S34</f>
        <v>0.08</v>
      </c>
      <c r="AM43" s="4">
        <f>機器台数４!P34</f>
        <v>33.141774400000003</v>
      </c>
      <c r="AN43" s="4">
        <f>機器台数４!P44</f>
        <v>80.597473599999987</v>
      </c>
      <c r="AO43" s="4">
        <f>SUM(AO44:AO47)</f>
        <v>70.55481188037237</v>
      </c>
      <c r="AP43" s="4">
        <f>SUM(AP44:AP47)</f>
        <v>159.57147474667462</v>
      </c>
      <c r="AQ43" s="273">
        <f>機器台数４!X34</f>
        <v>0</v>
      </c>
      <c r="AR43" s="4">
        <f>機器台数４!R34</f>
        <v>0</v>
      </c>
      <c r="AS43" s="4">
        <f>機器台数４!R44</f>
        <v>113.73924799999999</v>
      </c>
      <c r="AT43" s="4">
        <f>SUM(AT44:AT47)</f>
        <v>0</v>
      </c>
      <c r="AU43" s="4">
        <f>SUM(AU44:AU47)</f>
        <v>225.18744979542097</v>
      </c>
    </row>
    <row r="44" spans="1:47" x14ac:dyDescent="0.4">
      <c r="A44" t="s">
        <v>6</v>
      </c>
      <c r="B44">
        <v>1.5</v>
      </c>
      <c r="C44" s="1">
        <v>1.8</v>
      </c>
      <c r="D44" s="1">
        <f t="shared" si="104"/>
        <v>1.6740000000000002</v>
      </c>
      <c r="E44" s="4">
        <v>49877</v>
      </c>
      <c r="F44" s="6">
        <f>E44/$A$46</f>
        <v>0.40445183263055468</v>
      </c>
      <c r="H44" s="4">
        <f>F44*H$43</f>
        <v>46.002047295621146</v>
      </c>
      <c r="I44" s="4">
        <f>$F44*I$43</f>
        <v>0</v>
      </c>
      <c r="J44" s="267">
        <f>C44*H44</f>
        <v>82.803685132118062</v>
      </c>
      <c r="K44" s="267">
        <f t="shared" si="130"/>
        <v>0</v>
      </c>
      <c r="L44" s="273"/>
      <c r="M44" s="4">
        <f t="shared" ref="M44:N47" si="131">$F44*M$43</f>
        <v>46.002047295621146</v>
      </c>
      <c r="N44" s="4">
        <f t="shared" si="131"/>
        <v>0</v>
      </c>
      <c r="O44" s="4">
        <f>$C44*$M44</f>
        <v>82.803685132118062</v>
      </c>
      <c r="P44" s="267">
        <f>$D44*$N44</f>
        <v>0</v>
      </c>
      <c r="Q44" s="6">
        <f>E44/$A$38</f>
        <v>0.81585016766173224</v>
      </c>
      <c r="R44" s="273"/>
      <c r="S44" s="4">
        <f t="shared" ref="S44:T47" si="132">$F44*S$43</f>
        <v>41.810902108103797</v>
      </c>
      <c r="T44" s="4">
        <f t="shared" si="132"/>
        <v>4.1911451875173533</v>
      </c>
      <c r="U44" s="4">
        <f>$C44*S44</f>
        <v>75.25962379458683</v>
      </c>
      <c r="V44" s="267">
        <f>$D44*T44</f>
        <v>7.0159770439040505</v>
      </c>
      <c r="W44" s="273">
        <f>SUM(X44:X47)</f>
        <v>96.468360800000013</v>
      </c>
      <c r="X44" s="4">
        <f t="shared" ref="X44:Y47" si="133">$F44*X$43</f>
        <v>39.016805316425561</v>
      </c>
      <c r="Y44" s="4">
        <f t="shared" si="133"/>
        <v>6.9852419791955898</v>
      </c>
      <c r="Z44" s="4">
        <f>$C44*X44</f>
        <v>70.230249569566013</v>
      </c>
      <c r="AA44" s="267">
        <f>$D44*Y44</f>
        <v>11.693295073173418</v>
      </c>
      <c r="AB44" s="273">
        <f>SUM(AC44:AC47)</f>
        <v>113.73924799999999</v>
      </c>
      <c r="AC44" s="4">
        <f t="shared" ref="AC44:AD47" si="134">$F44*AC$43</f>
        <v>46.002047295621146</v>
      </c>
      <c r="AD44" s="4">
        <f t="shared" si="134"/>
        <v>13.97048395839118</v>
      </c>
      <c r="AE44" s="4">
        <f>$C44*AC44</f>
        <v>82.803685132118062</v>
      </c>
      <c r="AF44" s="267">
        <f>$D44*AD44</f>
        <v>23.386590146346837</v>
      </c>
      <c r="AG44" s="273">
        <f>SUM(AH44:AH47)</f>
        <v>44.655699199999994</v>
      </c>
      <c r="AH44" s="4">
        <f t="shared" ref="AH44:AI47" si="135">$F44*AH$43</f>
        <v>18.061079378838791</v>
      </c>
      <c r="AI44" s="4">
        <f t="shared" si="135"/>
        <v>27.940967916782359</v>
      </c>
      <c r="AJ44" s="4">
        <f>$C44*AH44</f>
        <v>32.509942881909822</v>
      </c>
      <c r="AK44" s="267">
        <f>$D44*AI44</f>
        <v>46.773180292693674</v>
      </c>
      <c r="AL44" s="273">
        <f>SUM(AM44:AM47)</f>
        <v>33.141774400000003</v>
      </c>
      <c r="AM44" s="4">
        <f t="shared" ref="AM44:AN47" si="136">$F44*AM$43</f>
        <v>13.404251392708403</v>
      </c>
      <c r="AN44" s="4">
        <f t="shared" si="136"/>
        <v>32.597795902912743</v>
      </c>
      <c r="AO44" s="4">
        <f>$C44*AM44</f>
        <v>24.127652506875126</v>
      </c>
      <c r="AP44" s="267">
        <f>$D44*AN44</f>
        <v>54.568710341475935</v>
      </c>
      <c r="AQ44" s="273">
        <f>SUM(AR44:AR47)</f>
        <v>0</v>
      </c>
      <c r="AR44" s="4">
        <f t="shared" ref="AR44:AS47" si="137">$F44*AR$43</f>
        <v>0</v>
      </c>
      <c r="AS44" s="4">
        <f t="shared" si="137"/>
        <v>46.002047295621146</v>
      </c>
      <c r="AT44" s="4">
        <f>$C44*AR44</f>
        <v>0</v>
      </c>
      <c r="AU44" s="267">
        <f>$D44*AS44</f>
        <v>77.007427172869811</v>
      </c>
    </row>
    <row r="45" spans="1:47" x14ac:dyDescent="0.4">
      <c r="A45" t="s">
        <v>10</v>
      </c>
      <c r="B45">
        <v>2</v>
      </c>
      <c r="C45" s="1">
        <v>2</v>
      </c>
      <c r="D45" s="1">
        <f t="shared" si="104"/>
        <v>1.86</v>
      </c>
      <c r="E45" s="4">
        <v>44700</v>
      </c>
      <c r="F45" s="6">
        <f>E45/$A$46</f>
        <v>0.36247161855335713</v>
      </c>
      <c r="H45" s="4">
        <f>F45*H$43</f>
        <v>41.227249315601682</v>
      </c>
      <c r="I45" s="4">
        <f>$F45*I$43</f>
        <v>0</v>
      </c>
      <c r="J45" s="267">
        <f>C45*H45</f>
        <v>82.454498631203364</v>
      </c>
      <c r="K45" s="267">
        <f t="shared" si="130"/>
        <v>0</v>
      </c>
      <c r="L45" s="273"/>
      <c r="M45" s="4">
        <f t="shared" si="131"/>
        <v>41.227249315601682</v>
      </c>
      <c r="N45" s="4">
        <f t="shared" si="131"/>
        <v>0</v>
      </c>
      <c r="O45" s="4">
        <f>$C45*$M45</f>
        <v>82.454498631203364</v>
      </c>
      <c r="P45" s="267">
        <f>$D45*$N45</f>
        <v>0</v>
      </c>
      <c r="Q45" s="6">
        <f>E45/$A$46</f>
        <v>0.36247161855335713</v>
      </c>
      <c r="R45" s="273"/>
      <c r="S45" s="4">
        <f t="shared" si="132"/>
        <v>37.471125453259816</v>
      </c>
      <c r="T45" s="4">
        <f t="shared" si="132"/>
        <v>3.7561238623418749</v>
      </c>
      <c r="U45" s="4">
        <f>$C45*S45</f>
        <v>74.942250906519632</v>
      </c>
      <c r="V45" s="267">
        <f>$D45*T45</f>
        <v>6.9863903839558876</v>
      </c>
      <c r="W45" s="273"/>
      <c r="X45" s="4">
        <f t="shared" si="133"/>
        <v>34.967042878365227</v>
      </c>
      <c r="Y45" s="4">
        <f t="shared" si="133"/>
        <v>6.2602064372364588</v>
      </c>
      <c r="Z45" s="4">
        <f>$C45*X45</f>
        <v>69.934085756730454</v>
      </c>
      <c r="AA45" s="267">
        <f>$D45*Y45</f>
        <v>11.643983973259814</v>
      </c>
      <c r="AB45" s="273"/>
      <c r="AC45" s="4">
        <f t="shared" si="134"/>
        <v>41.227249315601682</v>
      </c>
      <c r="AD45" s="4">
        <f t="shared" si="134"/>
        <v>12.520412874472918</v>
      </c>
      <c r="AE45" s="4">
        <f>$C45*AC45</f>
        <v>82.454498631203364</v>
      </c>
      <c r="AF45" s="267">
        <f>$D45*AD45</f>
        <v>23.287967946519629</v>
      </c>
      <c r="AG45" s="273"/>
      <c r="AH45" s="4">
        <f t="shared" si="135"/>
        <v>16.186423566655854</v>
      </c>
      <c r="AI45" s="4">
        <f t="shared" si="135"/>
        <v>25.040825748945835</v>
      </c>
      <c r="AJ45" s="4">
        <f>$C45*AH45</f>
        <v>32.372847133311708</v>
      </c>
      <c r="AK45" s="267">
        <f>$D45*AI45</f>
        <v>46.575935893039258</v>
      </c>
      <c r="AL45" s="273"/>
      <c r="AM45" s="4">
        <f t="shared" si="136"/>
        <v>12.012952608498217</v>
      </c>
      <c r="AN45" s="4">
        <f t="shared" si="136"/>
        <v>29.214296707103468</v>
      </c>
      <c r="AO45" s="4">
        <f>$C45*AM45</f>
        <v>24.025905216996435</v>
      </c>
      <c r="AP45" s="267">
        <f>$D45*AN45</f>
        <v>54.338591875212451</v>
      </c>
      <c r="AQ45" s="273"/>
      <c r="AR45" s="4">
        <f t="shared" si="137"/>
        <v>0</v>
      </c>
      <c r="AS45" s="4">
        <f t="shared" si="137"/>
        <v>41.227249315601682</v>
      </c>
      <c r="AT45" s="4">
        <f>$C45*AR45</f>
        <v>0</v>
      </c>
      <c r="AU45" s="267">
        <f>$D45*AS45</f>
        <v>76.682683727019139</v>
      </c>
    </row>
    <row r="46" spans="1:47" x14ac:dyDescent="0.4">
      <c r="A46" s="5">
        <f>SUM(E44:E47)</f>
        <v>123320</v>
      </c>
      <c r="B46">
        <v>2.5</v>
      </c>
      <c r="C46" s="1">
        <v>2.9</v>
      </c>
      <c r="D46" s="1">
        <f t="shared" si="104"/>
        <v>2.6970000000000001</v>
      </c>
      <c r="E46" s="4">
        <v>18322</v>
      </c>
      <c r="F46" s="6">
        <f>E46/$A$46</f>
        <v>0.14857281868310088</v>
      </c>
      <c r="H46" s="4">
        <f>F46*H$43</f>
        <v>16.898560670256241</v>
      </c>
      <c r="I46" s="4">
        <f>$F46*I$43</f>
        <v>0</v>
      </c>
      <c r="J46" s="267">
        <f>C46*H46</f>
        <v>49.005825943743098</v>
      </c>
      <c r="K46" s="267">
        <f t="shared" si="130"/>
        <v>0</v>
      </c>
      <c r="L46" s="273"/>
      <c r="M46" s="4">
        <f t="shared" si="131"/>
        <v>16.898560670256241</v>
      </c>
      <c r="N46" s="4">
        <f t="shared" si="131"/>
        <v>0</v>
      </c>
      <c r="O46" s="4">
        <f>$C46*$M46</f>
        <v>49.005825943743098</v>
      </c>
      <c r="P46" s="267">
        <f>$D46*$N46</f>
        <v>0</v>
      </c>
      <c r="Q46" s="6">
        <f>E46/$A$46</f>
        <v>0.14857281868310088</v>
      </c>
      <c r="R46" s="273"/>
      <c r="S46" s="4">
        <f t="shared" si="132"/>
        <v>15.358970034779112</v>
      </c>
      <c r="T46" s="4">
        <f t="shared" si="132"/>
        <v>1.5395906354771327</v>
      </c>
      <c r="U46" s="4">
        <f>$C46*S46</f>
        <v>44.541013100859423</v>
      </c>
      <c r="V46" s="267">
        <f>$D46*T46</f>
        <v>4.1522759438818273</v>
      </c>
      <c r="W46" s="273"/>
      <c r="X46" s="4">
        <f t="shared" si="133"/>
        <v>14.332576277794356</v>
      </c>
      <c r="Y46" s="4">
        <f t="shared" si="133"/>
        <v>2.5659843924618877</v>
      </c>
      <c r="Z46" s="4">
        <f>$C46*X46</f>
        <v>41.564471205603631</v>
      </c>
      <c r="AA46" s="267">
        <f>$D46*Y46</f>
        <v>6.920459906469711</v>
      </c>
      <c r="AB46" s="273"/>
      <c r="AC46" s="4">
        <f t="shared" si="134"/>
        <v>16.898560670256241</v>
      </c>
      <c r="AD46" s="4">
        <f t="shared" si="134"/>
        <v>5.1319687849237754</v>
      </c>
      <c r="AE46" s="4">
        <f>$C46*AC46</f>
        <v>49.005825943743098</v>
      </c>
      <c r="AF46" s="267">
        <f>$D46*AD46</f>
        <v>13.840919812939422</v>
      </c>
      <c r="AG46" s="273"/>
      <c r="AH46" s="4">
        <f t="shared" si="135"/>
        <v>6.6346231004086915</v>
      </c>
      <c r="AI46" s="4">
        <f t="shared" si="135"/>
        <v>10.263937569847551</v>
      </c>
      <c r="AJ46" s="4">
        <f>$C46*AH46</f>
        <v>19.240406991185203</v>
      </c>
      <c r="AK46" s="267">
        <f>$D46*AI46</f>
        <v>27.681839625878844</v>
      </c>
      <c r="AL46" s="273"/>
      <c r="AM46" s="4">
        <f t="shared" si="136"/>
        <v>4.9239668387674351</v>
      </c>
      <c r="AN46" s="4">
        <f t="shared" si="136"/>
        <v>11.974593831488807</v>
      </c>
      <c r="AO46" s="4">
        <f>$C46*AM46</f>
        <v>14.279503832425561</v>
      </c>
      <c r="AP46" s="267">
        <f>$D46*AN46</f>
        <v>32.295479563525312</v>
      </c>
      <c r="AQ46" s="273"/>
      <c r="AR46" s="4">
        <f t="shared" si="137"/>
        <v>0</v>
      </c>
      <c r="AS46" s="4">
        <f t="shared" si="137"/>
        <v>16.898560670256241</v>
      </c>
      <c r="AT46" s="4">
        <f>$C46*AR46</f>
        <v>0</v>
      </c>
      <c r="AU46" s="267">
        <f>$D46*AS46</f>
        <v>45.575418127681083</v>
      </c>
    </row>
    <row r="47" spans="1:47" x14ac:dyDescent="0.4">
      <c r="A47" s="237">
        <f>A46/$E$75</f>
        <v>8.1528332285470809E-2</v>
      </c>
      <c r="B47">
        <v>3</v>
      </c>
      <c r="C47" s="1">
        <v>2.9</v>
      </c>
      <c r="D47" s="1">
        <f t="shared" si="104"/>
        <v>2.6970000000000001</v>
      </c>
      <c r="E47" s="4">
        <v>10421</v>
      </c>
      <c r="F47" s="6">
        <f>E47/$A$46</f>
        <v>8.4503730132987356E-2</v>
      </c>
      <c r="H47" s="4">
        <f>F47*H$43</f>
        <v>9.6113907185209211</v>
      </c>
      <c r="I47" s="4">
        <f>$F47*I$43</f>
        <v>0</v>
      </c>
      <c r="J47" s="267">
        <f>C47*H47</f>
        <v>27.87303308371067</v>
      </c>
      <c r="K47" s="267">
        <f t="shared" si="130"/>
        <v>0</v>
      </c>
      <c r="L47" s="273"/>
      <c r="M47" s="4">
        <f t="shared" si="131"/>
        <v>9.6113907185209211</v>
      </c>
      <c r="N47" s="4">
        <f t="shared" si="131"/>
        <v>0</v>
      </c>
      <c r="O47" s="4">
        <f>$C47*$M47</f>
        <v>27.87303308371067</v>
      </c>
      <c r="P47" s="267">
        <f>$D47*$N47</f>
        <v>0</v>
      </c>
      <c r="Q47" s="6">
        <f>E47/$A$46</f>
        <v>8.4503730132987356E-2</v>
      </c>
      <c r="R47" s="273"/>
      <c r="S47" s="4">
        <f t="shared" si="132"/>
        <v>8.7357180838572823</v>
      </c>
      <c r="T47" s="4">
        <f t="shared" si="132"/>
        <v>0.87567263466363932</v>
      </c>
      <c r="U47" s="4">
        <f>$C47*S47</f>
        <v>25.333582443186117</v>
      </c>
      <c r="V47" s="267">
        <f>$D47*T47</f>
        <v>2.3616890956878351</v>
      </c>
      <c r="W47" s="273"/>
      <c r="X47" s="4">
        <f t="shared" si="133"/>
        <v>8.1519363274148571</v>
      </c>
      <c r="Y47" s="4">
        <f t="shared" si="133"/>
        <v>1.4594543911060658</v>
      </c>
      <c r="Z47" s="4">
        <f>$C47*X47</f>
        <v>23.640615349503086</v>
      </c>
      <c r="AA47" s="267">
        <f>$D47*Y47</f>
        <v>3.9361484928130595</v>
      </c>
      <c r="AB47" s="273"/>
      <c r="AC47" s="4">
        <f t="shared" si="134"/>
        <v>9.6113907185209211</v>
      </c>
      <c r="AD47" s="4">
        <f t="shared" si="134"/>
        <v>2.9189087822121316</v>
      </c>
      <c r="AE47" s="4">
        <f>$C47*AC47</f>
        <v>27.87303308371067</v>
      </c>
      <c r="AF47" s="267">
        <f>$D47*AD47</f>
        <v>7.8722969856261189</v>
      </c>
      <c r="AG47" s="273"/>
      <c r="AH47" s="4">
        <f t="shared" si="135"/>
        <v>3.7735731540966588</v>
      </c>
      <c r="AI47" s="4">
        <f t="shared" si="135"/>
        <v>5.8378175644242631</v>
      </c>
      <c r="AJ47" s="4">
        <f>$C47*AH47</f>
        <v>10.943362146880311</v>
      </c>
      <c r="AK47" s="267">
        <f>$D47*AI47</f>
        <v>15.744593971252238</v>
      </c>
      <c r="AL47" s="273"/>
      <c r="AM47" s="4">
        <f t="shared" si="136"/>
        <v>2.8006035600259493</v>
      </c>
      <c r="AN47" s="4">
        <f t="shared" si="136"/>
        <v>6.8107871584949722</v>
      </c>
      <c r="AO47" s="4">
        <f>$C47*AM47</f>
        <v>8.1217503240752524</v>
      </c>
      <c r="AP47" s="267">
        <f>$D47*AN47</f>
        <v>18.368692966460941</v>
      </c>
      <c r="AQ47" s="273"/>
      <c r="AR47" s="4">
        <f t="shared" si="137"/>
        <v>0</v>
      </c>
      <c r="AS47" s="4">
        <f t="shared" si="137"/>
        <v>9.6113907185209211</v>
      </c>
      <c r="AT47" s="4">
        <f>$C47*AR47</f>
        <v>0</v>
      </c>
      <c r="AU47" s="267">
        <f>$D47*AS47</f>
        <v>25.921920767850924</v>
      </c>
    </row>
    <row r="48" spans="1:47" x14ac:dyDescent="0.4">
      <c r="A48" s="237">
        <f>SUM(F44:F47)</f>
        <v>1</v>
      </c>
      <c r="D48" s="1">
        <f t="shared" si="104"/>
        <v>0</v>
      </c>
      <c r="F48" s="6"/>
      <c r="G48" s="4">
        <f>機器台数４!D35</f>
        <v>233.16545839999998</v>
      </c>
      <c r="H48" s="4">
        <f>G48*(1-G$3)</f>
        <v>233.16545839999998</v>
      </c>
      <c r="I48" s="4">
        <f>G48*$G$3</f>
        <v>0</v>
      </c>
      <c r="J48" s="4">
        <f>SUM(J49:J55)</f>
        <v>838.96223396749429</v>
      </c>
      <c r="K48" s="267">
        <f t="shared" si="130"/>
        <v>0</v>
      </c>
      <c r="L48" s="273">
        <f>機器台数４!F35</f>
        <v>233.16545839999998</v>
      </c>
      <c r="M48" s="4">
        <f>L48*(1-L$3)</f>
        <v>233.16545839999998</v>
      </c>
      <c r="N48" s="4">
        <f>L48*$G$3</f>
        <v>0</v>
      </c>
      <c r="O48" s="4">
        <f>SUM(O49:O55)</f>
        <v>838.96223396749429</v>
      </c>
      <c r="P48" s="4">
        <f>SUM(P49:P55)</f>
        <v>0</v>
      </c>
      <c r="Q48" s="6"/>
      <c r="R48" s="273">
        <f>機器台数４!H35</f>
        <v>211.92226714400002</v>
      </c>
      <c r="S48" s="4">
        <f>R48*(1-R$3)</f>
        <v>211.92226714400002</v>
      </c>
      <c r="T48" s="4">
        <f>機器台数４!H45</f>
        <v>21.243191256000003</v>
      </c>
      <c r="U48" s="4">
        <f>SUM(U49:U55)</f>
        <v>762.52623304767508</v>
      </c>
      <c r="V48" s="4">
        <f>SUM(V49:V55)</f>
        <v>71.085480855432024</v>
      </c>
      <c r="W48" s="273">
        <f>機器台数４!J35</f>
        <v>197.76013963999998</v>
      </c>
      <c r="X48" s="4">
        <f>W48*(1-W$3)</f>
        <v>197.76013963999998</v>
      </c>
      <c r="Y48" s="4">
        <f>機器台数４!J45</f>
        <v>35.40531876</v>
      </c>
      <c r="Z48" s="4">
        <f>SUM(Z49:Z55)</f>
        <v>711.56889910112875</v>
      </c>
      <c r="AA48" s="4">
        <f>SUM(AA49:AA55)</f>
        <v>118.47580142572002</v>
      </c>
      <c r="AB48" s="273"/>
      <c r="AC48" s="4">
        <f>機器台数４!L35</f>
        <v>233.16545839999998</v>
      </c>
      <c r="AD48" s="4">
        <f>機器台数４!L45</f>
        <v>70.81063752</v>
      </c>
      <c r="AE48" s="4">
        <f>SUM(AE49:AE55)</f>
        <v>838.96223396749429</v>
      </c>
      <c r="AF48" s="4">
        <f>SUM(AF49:AF55)</f>
        <v>236.95160285144004</v>
      </c>
      <c r="AG48" s="273">
        <f>機器台数４!N35</f>
        <v>91.544183359999977</v>
      </c>
      <c r="AH48" s="4">
        <f>機器台数４!N35</f>
        <v>91.544183359999977</v>
      </c>
      <c r="AI48" s="4">
        <f>機器台数４!N45</f>
        <v>141.62127504</v>
      </c>
      <c r="AJ48" s="4">
        <f>SUM(AJ49:AJ55)</f>
        <v>329.38889450203192</v>
      </c>
      <c r="AK48" s="4">
        <f>SUM(AK49:AK55)</f>
        <v>473.90320570288009</v>
      </c>
      <c r="AL48" s="273">
        <f>機器台数４!S35</f>
        <v>0.16400000000000001</v>
      </c>
      <c r="AM48" s="4">
        <f>機器台数４!P35</f>
        <v>67.94063752000001</v>
      </c>
      <c r="AN48" s="4">
        <f>機器台数４!P45</f>
        <v>165.22482087999998</v>
      </c>
      <c r="AO48" s="4">
        <f>SUM(AO49:AO55)</f>
        <v>244.46000459112165</v>
      </c>
      <c r="AP48" s="4">
        <f>SUM(AP49:AP55)</f>
        <v>552.88707332002673</v>
      </c>
      <c r="AQ48" s="273">
        <f>機器台数４!X35</f>
        <v>0</v>
      </c>
      <c r="AR48" s="4">
        <f>機器台数４!R35</f>
        <v>0</v>
      </c>
      <c r="AS48" s="4">
        <f>機器台数４!R45</f>
        <v>233.16545839999998</v>
      </c>
      <c r="AT48" s="4">
        <f>SUM(AT49:AT55)</f>
        <v>0</v>
      </c>
      <c r="AU48" s="4">
        <f>SUM(AU49:AU55)</f>
        <v>780.23487758976989</v>
      </c>
    </row>
    <row r="49" spans="1:47" x14ac:dyDescent="0.4">
      <c r="A49" t="s">
        <v>6</v>
      </c>
      <c r="B49">
        <v>1.5</v>
      </c>
      <c r="C49" s="1">
        <v>1.8</v>
      </c>
      <c r="D49" s="1">
        <f t="shared" si="104"/>
        <v>1.6740000000000002</v>
      </c>
      <c r="E49" s="4">
        <v>13841</v>
      </c>
      <c r="F49" s="6">
        <v>5.4543448362829594E-2</v>
      </c>
      <c r="H49" s="4">
        <f t="shared" ref="H49:H55" si="138">F49*H$48</f>
        <v>12.717648140235891</v>
      </c>
      <c r="I49" s="4">
        <f t="shared" ref="I49:I55" si="139">$F49*I$48</f>
        <v>0</v>
      </c>
      <c r="J49" s="267">
        <f t="shared" ref="J49:J55" si="140">C49*H49</f>
        <v>22.891766652424604</v>
      </c>
      <c r="K49" s="267">
        <f t="shared" si="130"/>
        <v>0</v>
      </c>
      <c r="L49" s="273">
        <f>SUM(M49:M55)</f>
        <v>233.16545839999998</v>
      </c>
      <c r="M49" s="4">
        <f t="shared" ref="M49:N55" si="141">$F49*M$48</f>
        <v>12.717648140235891</v>
      </c>
      <c r="N49" s="4">
        <f t="shared" si="141"/>
        <v>0</v>
      </c>
      <c r="O49" s="4">
        <f t="shared" ref="O49:O55" si="142">$C49*M49</f>
        <v>22.891766652424604</v>
      </c>
      <c r="P49" s="267">
        <f t="shared" ref="P49:P55" si="143">$D49*N49</f>
        <v>0</v>
      </c>
      <c r="Q49" s="6">
        <f t="shared" ref="Q49:Q55" si="144">E49/$A$51</f>
        <v>5.4543448362829594E-2</v>
      </c>
      <c r="R49" s="273">
        <f>SUM(S49:S55)</f>
        <v>211.92226714400002</v>
      </c>
      <c r="S49" s="4">
        <f t="shared" ref="S49:T55" si="145">$F49*S$48</f>
        <v>11.558971234902543</v>
      </c>
      <c r="T49" s="4">
        <f t="shared" si="145"/>
        <v>1.1586769053333492</v>
      </c>
      <c r="U49" s="4">
        <f t="shared" ref="U49:U55" si="146">$C49*S49</f>
        <v>20.806148222824579</v>
      </c>
      <c r="V49" s="267">
        <f t="shared" ref="V49:V55" si="147">$D49*T49</f>
        <v>1.9396251395280268</v>
      </c>
      <c r="W49" s="273">
        <f>SUM(X49:X55)</f>
        <v>197.76013963999998</v>
      </c>
      <c r="X49" s="4">
        <f t="shared" ref="X49:Y55" si="148">$F49*X$48</f>
        <v>10.786519964680309</v>
      </c>
      <c r="Y49" s="4">
        <f t="shared" si="148"/>
        <v>1.931128175555582</v>
      </c>
      <c r="Z49" s="4">
        <f t="shared" ref="Z49:Z55" si="149">$C49*X49</f>
        <v>19.415735936424557</v>
      </c>
      <c r="AA49" s="267">
        <f t="shared" ref="AA49:AA55" si="150">$D49*Y49</f>
        <v>3.2327085658800447</v>
      </c>
      <c r="AB49" s="273">
        <f>SUM(AC49:AC55)</f>
        <v>233.16545839999998</v>
      </c>
      <c r="AC49" s="4">
        <f t="shared" ref="AC49:AD55" si="151">$F49*AC$48</f>
        <v>12.717648140235891</v>
      </c>
      <c r="AD49" s="4">
        <f t="shared" si="151"/>
        <v>3.8622563511111641</v>
      </c>
      <c r="AE49" s="4">
        <f t="shared" ref="AE49:AE55" si="152">$C49*AC49</f>
        <v>22.891766652424604</v>
      </c>
      <c r="AF49" s="267">
        <f t="shared" ref="AF49:AF55" si="153">$D49*AD49</f>
        <v>6.4654171317600895</v>
      </c>
      <c r="AG49" s="273">
        <f>SUM(AH49:AH55)</f>
        <v>91.544183359999977</v>
      </c>
      <c r="AH49" s="4">
        <f t="shared" ref="AH49:AI55" si="154">$F49*AH$48</f>
        <v>4.9931354380135629</v>
      </c>
      <c r="AI49" s="4">
        <f t="shared" si="154"/>
        <v>7.7245127022223281</v>
      </c>
      <c r="AJ49" s="4">
        <f t="shared" ref="AJ49:AJ55" si="155">$C49*AH49</f>
        <v>8.987643788424414</v>
      </c>
      <c r="AK49" s="267">
        <f t="shared" ref="AK49:AK55" si="156">$D49*AI49</f>
        <v>12.930834263520179</v>
      </c>
      <c r="AL49" s="273">
        <f>SUM(AM49:AM55)</f>
        <v>67.940637520000024</v>
      </c>
      <c r="AM49" s="4">
        <f t="shared" ref="AM49:AN55" si="157">$F49*AM$48</f>
        <v>3.7057166543098434</v>
      </c>
      <c r="AN49" s="4">
        <f t="shared" si="157"/>
        <v>9.0119314859260484</v>
      </c>
      <c r="AO49" s="4">
        <f t="shared" ref="AO49:AO55" si="158">$C49*AM49</f>
        <v>6.6702899777577187</v>
      </c>
      <c r="AP49" s="267">
        <f t="shared" ref="AP49:AP55" si="159">$D49*AN49</f>
        <v>15.085973307440206</v>
      </c>
      <c r="AQ49" s="273">
        <f>SUM(AR49:AR55)</f>
        <v>0</v>
      </c>
      <c r="AR49" s="4">
        <f t="shared" ref="AR49:AS55" si="160">$F49*AR$48</f>
        <v>0</v>
      </c>
      <c r="AS49" s="4">
        <f t="shared" si="160"/>
        <v>12.717648140235891</v>
      </c>
      <c r="AT49" s="4">
        <f t="shared" ref="AT49:AT55" si="161">$C49*AR49</f>
        <v>0</v>
      </c>
      <c r="AU49" s="267">
        <f t="shared" ref="AU49:AU55" si="162">$D49*AS49</f>
        <v>21.289342986754882</v>
      </c>
    </row>
    <row r="50" spans="1:47" x14ac:dyDescent="0.4">
      <c r="A50" t="s">
        <v>11</v>
      </c>
      <c r="B50">
        <v>2</v>
      </c>
      <c r="C50" s="1">
        <v>2</v>
      </c>
      <c r="D50" s="1">
        <f t="shared" si="104"/>
        <v>1.86</v>
      </c>
      <c r="E50" s="4">
        <v>43671</v>
      </c>
      <c r="F50" s="6">
        <v>0.17209500277820469</v>
      </c>
      <c r="H50" s="4">
        <f t="shared" si="138"/>
        <v>40.126610211129368</v>
      </c>
      <c r="I50" s="4">
        <f t="shared" si="139"/>
        <v>0</v>
      </c>
      <c r="J50" s="267">
        <f t="shared" si="140"/>
        <v>80.253220422258735</v>
      </c>
      <c r="K50" s="267">
        <f t="shared" si="130"/>
        <v>0</v>
      </c>
      <c r="L50" s="273"/>
      <c r="M50" s="4">
        <f t="shared" si="141"/>
        <v>40.126610211129368</v>
      </c>
      <c r="N50" s="4">
        <f t="shared" si="141"/>
        <v>0</v>
      </c>
      <c r="O50" s="4">
        <f t="shared" si="142"/>
        <v>80.253220422258735</v>
      </c>
      <c r="P50" s="267">
        <f t="shared" si="143"/>
        <v>0</v>
      </c>
      <c r="Q50" s="6">
        <f t="shared" si="144"/>
        <v>0.17209500277820469</v>
      </c>
      <c r="R50" s="273"/>
      <c r="S50" s="4">
        <f t="shared" si="145"/>
        <v>36.470763152910116</v>
      </c>
      <c r="T50" s="4">
        <f t="shared" si="145"/>
        <v>3.6558470582192539</v>
      </c>
      <c r="U50" s="4">
        <f t="shared" si="146"/>
        <v>72.941526305820233</v>
      </c>
      <c r="V50" s="267">
        <f t="shared" si="147"/>
        <v>6.7998755282878127</v>
      </c>
      <c r="W50" s="273"/>
      <c r="X50" s="4">
        <f t="shared" si="148"/>
        <v>34.033531780763944</v>
      </c>
      <c r="Y50" s="4">
        <f t="shared" si="148"/>
        <v>6.0930784303654226</v>
      </c>
      <c r="Z50" s="4">
        <f t="shared" si="149"/>
        <v>68.067063561527888</v>
      </c>
      <c r="AA50" s="267">
        <f t="shared" si="150"/>
        <v>11.333125880479686</v>
      </c>
      <c r="AB50" s="273"/>
      <c r="AC50" s="4">
        <f t="shared" si="151"/>
        <v>40.126610211129368</v>
      </c>
      <c r="AD50" s="4">
        <f t="shared" si="151"/>
        <v>12.186156860730845</v>
      </c>
      <c r="AE50" s="4">
        <f t="shared" si="152"/>
        <v>80.253220422258735</v>
      </c>
      <c r="AF50" s="267">
        <f t="shared" si="153"/>
        <v>22.666251760959373</v>
      </c>
      <c r="AG50" s="273"/>
      <c r="AH50" s="4">
        <f t="shared" si="154"/>
        <v>15.754296489667675</v>
      </c>
      <c r="AI50" s="4">
        <f t="shared" si="154"/>
        <v>24.372313721461691</v>
      </c>
      <c r="AJ50" s="4">
        <f t="shared" si="155"/>
        <v>31.508592979335351</v>
      </c>
      <c r="AK50" s="267">
        <f t="shared" si="156"/>
        <v>45.332503521918746</v>
      </c>
      <c r="AL50" s="273"/>
      <c r="AM50" s="4">
        <f t="shared" si="157"/>
        <v>11.692244202757399</v>
      </c>
      <c r="AN50" s="4">
        <f t="shared" si="157"/>
        <v>28.43436600837197</v>
      </c>
      <c r="AO50" s="4">
        <f t="shared" si="158"/>
        <v>23.384488405514798</v>
      </c>
      <c r="AP50" s="267">
        <f t="shared" si="159"/>
        <v>52.887920775571871</v>
      </c>
      <c r="AQ50" s="273"/>
      <c r="AR50" s="4">
        <f t="shared" si="160"/>
        <v>0</v>
      </c>
      <c r="AS50" s="4">
        <f t="shared" si="160"/>
        <v>40.126610211129368</v>
      </c>
      <c r="AT50" s="4">
        <f t="shared" si="161"/>
        <v>0</v>
      </c>
      <c r="AU50" s="267">
        <f t="shared" si="162"/>
        <v>74.635494992700629</v>
      </c>
    </row>
    <row r="51" spans="1:47" x14ac:dyDescent="0.4">
      <c r="A51" s="5">
        <f>SUM(E49:E55)</f>
        <v>253761</v>
      </c>
      <c r="B51">
        <v>2.5</v>
      </c>
      <c r="C51" s="1">
        <v>2.9</v>
      </c>
      <c r="D51" s="1">
        <f t="shared" si="104"/>
        <v>2.6970000000000001</v>
      </c>
      <c r="E51" s="4">
        <v>45259</v>
      </c>
      <c r="F51" s="6">
        <v>0.1783528595804714</v>
      </c>
      <c r="H51" s="4">
        <f t="shared" si="138"/>
        <v>41.585726261031439</v>
      </c>
      <c r="I51" s="4">
        <f t="shared" si="139"/>
        <v>0</v>
      </c>
      <c r="J51" s="267">
        <f t="shared" si="140"/>
        <v>120.59860615699117</v>
      </c>
      <c r="K51" s="267">
        <f t="shared" si="130"/>
        <v>0</v>
      </c>
      <c r="L51" s="273"/>
      <c r="M51" s="4">
        <f t="shared" si="141"/>
        <v>41.585726261031439</v>
      </c>
      <c r="N51" s="4">
        <f t="shared" si="141"/>
        <v>0</v>
      </c>
      <c r="O51" s="4">
        <f t="shared" si="142"/>
        <v>120.59860615699117</v>
      </c>
      <c r="P51" s="267">
        <f t="shared" si="143"/>
        <v>0</v>
      </c>
      <c r="Q51" s="6">
        <f t="shared" si="144"/>
        <v>0.1783528595804714</v>
      </c>
      <c r="R51" s="273"/>
      <c r="S51" s="4">
        <f t="shared" si="145"/>
        <v>37.796942353908982</v>
      </c>
      <c r="T51" s="4">
        <f t="shared" si="145"/>
        <v>3.7887839071224665</v>
      </c>
      <c r="U51" s="4">
        <f t="shared" si="146"/>
        <v>109.61113282633605</v>
      </c>
      <c r="V51" s="267">
        <f t="shared" si="147"/>
        <v>10.218350197509292</v>
      </c>
      <c r="W51" s="273"/>
      <c r="X51" s="4">
        <f t="shared" si="148"/>
        <v>35.271086415827334</v>
      </c>
      <c r="Y51" s="4">
        <f t="shared" si="148"/>
        <v>6.3146398452041099</v>
      </c>
      <c r="Z51" s="4">
        <f t="shared" si="149"/>
        <v>102.28615060589927</v>
      </c>
      <c r="AA51" s="267">
        <f t="shared" si="150"/>
        <v>17.030583662515486</v>
      </c>
      <c r="AB51" s="273"/>
      <c r="AC51" s="4">
        <f t="shared" si="151"/>
        <v>41.585726261031439</v>
      </c>
      <c r="AD51" s="4">
        <f t="shared" si="151"/>
        <v>12.62927969040822</v>
      </c>
      <c r="AE51" s="4">
        <f t="shared" si="152"/>
        <v>120.59860615699117</v>
      </c>
      <c r="AF51" s="267">
        <f t="shared" si="153"/>
        <v>34.061167325030972</v>
      </c>
      <c r="AG51" s="273"/>
      <c r="AH51" s="4">
        <f t="shared" si="154"/>
        <v>16.327166880215003</v>
      </c>
      <c r="AI51" s="4">
        <f t="shared" si="154"/>
        <v>25.25855938081644</v>
      </c>
      <c r="AJ51" s="4">
        <f t="shared" si="155"/>
        <v>47.348783952623506</v>
      </c>
      <c r="AK51" s="267">
        <f t="shared" si="156"/>
        <v>68.122334650061944</v>
      </c>
      <c r="AL51" s="273"/>
      <c r="AM51" s="4">
        <f t="shared" si="157"/>
        <v>12.117406983412268</v>
      </c>
      <c r="AN51" s="4">
        <f t="shared" si="157"/>
        <v>29.468319277619177</v>
      </c>
      <c r="AO51" s="4">
        <f t="shared" si="158"/>
        <v>35.140480251895575</v>
      </c>
      <c r="AP51" s="267">
        <f t="shared" si="159"/>
        <v>79.476057091738923</v>
      </c>
      <c r="AQ51" s="273"/>
      <c r="AR51" s="4">
        <f t="shared" si="160"/>
        <v>0</v>
      </c>
      <c r="AS51" s="4">
        <f t="shared" si="160"/>
        <v>41.585726261031439</v>
      </c>
      <c r="AT51" s="4">
        <f t="shared" si="161"/>
        <v>0</v>
      </c>
      <c r="AU51" s="267">
        <f t="shared" si="162"/>
        <v>112.15670372600179</v>
      </c>
    </row>
    <row r="52" spans="1:47" x14ac:dyDescent="0.4">
      <c r="A52" s="237">
        <f>A51/$E$75</f>
        <v>0.16776444314866493</v>
      </c>
      <c r="B52">
        <v>3</v>
      </c>
      <c r="C52" s="1">
        <v>2.9</v>
      </c>
      <c r="D52" s="1">
        <f t="shared" si="104"/>
        <v>2.6970000000000001</v>
      </c>
      <c r="E52" s="4">
        <v>54168</v>
      </c>
      <c r="F52" s="6">
        <v>0.21346069727026612</v>
      </c>
      <c r="H52" s="4">
        <f t="shared" si="138"/>
        <v>49.771661329405227</v>
      </c>
      <c r="I52" s="4">
        <f t="shared" si="139"/>
        <v>0</v>
      </c>
      <c r="J52" s="267">
        <f t="shared" si="140"/>
        <v>144.33781785527515</v>
      </c>
      <c r="K52" s="267">
        <f t="shared" si="130"/>
        <v>0</v>
      </c>
      <c r="L52" s="273"/>
      <c r="M52" s="4">
        <f t="shared" si="141"/>
        <v>49.771661329405227</v>
      </c>
      <c r="N52" s="4">
        <f t="shared" si="141"/>
        <v>0</v>
      </c>
      <c r="O52" s="4">
        <f t="shared" si="142"/>
        <v>144.33781785527515</v>
      </c>
      <c r="P52" s="267">
        <f t="shared" si="143"/>
        <v>0</v>
      </c>
      <c r="Q52" s="6">
        <f t="shared" si="144"/>
        <v>0.21346069727026612</v>
      </c>
      <c r="R52" s="273"/>
      <c r="S52" s="4">
        <f t="shared" si="145"/>
        <v>45.237074911653849</v>
      </c>
      <c r="T52" s="4">
        <f t="shared" si="145"/>
        <v>4.534586417751381</v>
      </c>
      <c r="U52" s="4">
        <f t="shared" si="146"/>
        <v>131.18751724379615</v>
      </c>
      <c r="V52" s="267">
        <f t="shared" si="147"/>
        <v>12.229779568675475</v>
      </c>
      <c r="W52" s="273"/>
      <c r="X52" s="4">
        <f t="shared" si="148"/>
        <v>42.214017299819588</v>
      </c>
      <c r="Y52" s="4">
        <f t="shared" si="148"/>
        <v>7.5576440295856342</v>
      </c>
      <c r="Z52" s="4">
        <f t="shared" si="149"/>
        <v>122.4206501694768</v>
      </c>
      <c r="AA52" s="267">
        <f t="shared" si="150"/>
        <v>20.382965947792457</v>
      </c>
      <c r="AB52" s="273"/>
      <c r="AC52" s="4">
        <f t="shared" si="151"/>
        <v>49.771661329405227</v>
      </c>
      <c r="AD52" s="4">
        <f t="shared" si="151"/>
        <v>15.115288059171268</v>
      </c>
      <c r="AE52" s="4">
        <f t="shared" si="152"/>
        <v>144.33781785527515</v>
      </c>
      <c r="AF52" s="267">
        <f t="shared" si="153"/>
        <v>40.765931895584913</v>
      </c>
      <c r="AG52" s="273"/>
      <c r="AH52" s="4">
        <f t="shared" si="154"/>
        <v>19.54108521106269</v>
      </c>
      <c r="AI52" s="4">
        <f t="shared" si="154"/>
        <v>30.230576118342537</v>
      </c>
      <c r="AJ52" s="4">
        <f t="shared" si="155"/>
        <v>56.669147112081802</v>
      </c>
      <c r="AK52" s="267">
        <f t="shared" si="156"/>
        <v>81.531863791169826</v>
      </c>
      <c r="AL52" s="273"/>
      <c r="AM52" s="4">
        <f t="shared" si="157"/>
        <v>14.502655858005607</v>
      </c>
      <c r="AN52" s="4">
        <f t="shared" si="157"/>
        <v>35.269005471399623</v>
      </c>
      <c r="AO52" s="4">
        <f t="shared" si="158"/>
        <v>42.057701988216259</v>
      </c>
      <c r="AP52" s="267">
        <f t="shared" si="159"/>
        <v>95.120507756364788</v>
      </c>
      <c r="AQ52" s="273"/>
      <c r="AR52" s="4">
        <f t="shared" si="160"/>
        <v>0</v>
      </c>
      <c r="AS52" s="4">
        <f t="shared" si="160"/>
        <v>49.771661329405227</v>
      </c>
      <c r="AT52" s="4">
        <f t="shared" si="161"/>
        <v>0</v>
      </c>
      <c r="AU52" s="267">
        <f t="shared" si="162"/>
        <v>134.23417060540589</v>
      </c>
    </row>
    <row r="53" spans="1:47" x14ac:dyDescent="0.4">
      <c r="B53">
        <v>3.5</v>
      </c>
      <c r="C53" s="1">
        <v>5</v>
      </c>
      <c r="D53" s="1">
        <f t="shared" si="104"/>
        <v>4.6500000000000004</v>
      </c>
      <c r="E53" s="4">
        <v>32408</v>
      </c>
      <c r="F53" s="6">
        <v>0.12771071992938238</v>
      </c>
      <c r="H53" s="4">
        <f t="shared" si="138"/>
        <v>29.777728554928455</v>
      </c>
      <c r="I53" s="4">
        <f t="shared" si="139"/>
        <v>0</v>
      </c>
      <c r="J53" s="267">
        <f t="shared" si="140"/>
        <v>148.88864277464228</v>
      </c>
      <c r="K53" s="267">
        <f t="shared" si="130"/>
        <v>0</v>
      </c>
      <c r="L53" s="273"/>
      <c r="M53" s="4">
        <f t="shared" si="141"/>
        <v>29.777728554928455</v>
      </c>
      <c r="N53" s="4">
        <f t="shared" si="141"/>
        <v>0</v>
      </c>
      <c r="O53" s="4">
        <f t="shared" si="142"/>
        <v>148.88864277464228</v>
      </c>
      <c r="P53" s="267">
        <f t="shared" si="143"/>
        <v>0</v>
      </c>
      <c r="Q53" s="6">
        <f t="shared" si="144"/>
        <v>0.12771071992938238</v>
      </c>
      <c r="R53" s="273"/>
      <c r="S53" s="4">
        <f t="shared" si="145"/>
        <v>27.064745306027138</v>
      </c>
      <c r="T53" s="4">
        <f t="shared" si="145"/>
        <v>2.7129832489013208</v>
      </c>
      <c r="U53" s="4">
        <f t="shared" si="146"/>
        <v>135.3237265301357</v>
      </c>
      <c r="V53" s="267">
        <f t="shared" si="147"/>
        <v>12.615372107391142</v>
      </c>
      <c r="W53" s="273"/>
      <c r="X53" s="4">
        <f t="shared" si="148"/>
        <v>25.256089806759586</v>
      </c>
      <c r="Y53" s="4">
        <f t="shared" si="148"/>
        <v>4.5216387481688676</v>
      </c>
      <c r="Z53" s="4">
        <f t="shared" si="149"/>
        <v>126.28044903379794</v>
      </c>
      <c r="AA53" s="267">
        <f t="shared" si="150"/>
        <v>21.025620178985235</v>
      </c>
      <c r="AB53" s="273"/>
      <c r="AC53" s="4">
        <f t="shared" si="151"/>
        <v>29.777728554928455</v>
      </c>
      <c r="AD53" s="4">
        <f t="shared" si="151"/>
        <v>9.0432774963377351</v>
      </c>
      <c r="AE53" s="4">
        <f t="shared" si="152"/>
        <v>148.88864277464228</v>
      </c>
      <c r="AF53" s="267">
        <f t="shared" si="153"/>
        <v>42.051240357970471</v>
      </c>
      <c r="AG53" s="273"/>
      <c r="AH53" s="4">
        <f t="shared" si="154"/>
        <v>11.691173562252983</v>
      </c>
      <c r="AI53" s="4">
        <f t="shared" si="154"/>
        <v>18.08655499267547</v>
      </c>
      <c r="AJ53" s="4">
        <f t="shared" si="155"/>
        <v>58.455867811264916</v>
      </c>
      <c r="AK53" s="267">
        <f t="shared" si="156"/>
        <v>84.102480715940942</v>
      </c>
      <c r="AL53" s="273"/>
      <c r="AM53" s="4">
        <f t="shared" si="157"/>
        <v>8.6767477301404092</v>
      </c>
      <c r="AN53" s="4">
        <f t="shared" si="157"/>
        <v>21.100980824788046</v>
      </c>
      <c r="AO53" s="4">
        <f t="shared" si="158"/>
        <v>43.383738650702043</v>
      </c>
      <c r="AP53" s="267">
        <f t="shared" si="159"/>
        <v>98.119560835264423</v>
      </c>
      <c r="AQ53" s="273"/>
      <c r="AR53" s="4">
        <f t="shared" si="160"/>
        <v>0</v>
      </c>
      <c r="AS53" s="4">
        <f t="shared" si="160"/>
        <v>29.777728554928455</v>
      </c>
      <c r="AT53" s="4">
        <f t="shared" si="161"/>
        <v>0</v>
      </c>
      <c r="AU53" s="267">
        <f t="shared" si="162"/>
        <v>138.46643778041732</v>
      </c>
    </row>
    <row r="54" spans="1:47" x14ac:dyDescent="0.4">
      <c r="B54">
        <v>4</v>
      </c>
      <c r="C54" s="1">
        <v>5.0999999999999996</v>
      </c>
      <c r="D54" s="1">
        <f t="shared" si="104"/>
        <v>4.7430000000000003</v>
      </c>
      <c r="E54" s="4">
        <v>37011</v>
      </c>
      <c r="F54" s="6">
        <v>0.14584983508104082</v>
      </c>
      <c r="H54" s="4">
        <f t="shared" si="138"/>
        <v>34.007143654235279</v>
      </c>
      <c r="I54" s="4">
        <f t="shared" si="139"/>
        <v>0</v>
      </c>
      <c r="J54" s="267">
        <f t="shared" si="140"/>
        <v>173.4364326365999</v>
      </c>
      <c r="K54" s="267">
        <f t="shared" si="130"/>
        <v>0</v>
      </c>
      <c r="L54" s="273"/>
      <c r="M54" s="4">
        <f t="shared" si="141"/>
        <v>34.007143654235279</v>
      </c>
      <c r="N54" s="4">
        <f t="shared" si="141"/>
        <v>0</v>
      </c>
      <c r="O54" s="4">
        <f t="shared" si="142"/>
        <v>173.4364326365999</v>
      </c>
      <c r="P54" s="267">
        <f t="shared" si="143"/>
        <v>0</v>
      </c>
      <c r="Q54" s="6">
        <f t="shared" si="144"/>
        <v>0.14584983508104082</v>
      </c>
      <c r="R54" s="273"/>
      <c r="S54" s="4">
        <f t="shared" si="145"/>
        <v>30.908827712952679</v>
      </c>
      <c r="T54" s="4">
        <f t="shared" si="145"/>
        <v>3.0983159412826091</v>
      </c>
      <c r="U54" s="4">
        <f t="shared" si="146"/>
        <v>157.63502133605866</v>
      </c>
      <c r="V54" s="267">
        <f t="shared" si="147"/>
        <v>14.695312509503417</v>
      </c>
      <c r="W54" s="273"/>
      <c r="X54" s="4">
        <f t="shared" si="148"/>
        <v>28.843283752097602</v>
      </c>
      <c r="Y54" s="4">
        <f t="shared" si="148"/>
        <v>5.1638599021376805</v>
      </c>
      <c r="Z54" s="4">
        <f t="shared" si="149"/>
        <v>147.10074713569776</v>
      </c>
      <c r="AA54" s="267">
        <f t="shared" si="150"/>
        <v>24.492187515839021</v>
      </c>
      <c r="AB54" s="273"/>
      <c r="AC54" s="4">
        <f t="shared" si="151"/>
        <v>34.007143654235279</v>
      </c>
      <c r="AD54" s="4">
        <f t="shared" si="151"/>
        <v>10.327719804275361</v>
      </c>
      <c r="AE54" s="4">
        <f t="shared" si="152"/>
        <v>173.4364326365999</v>
      </c>
      <c r="AF54" s="267">
        <f t="shared" si="153"/>
        <v>48.984375031678042</v>
      </c>
      <c r="AG54" s="273"/>
      <c r="AH54" s="4">
        <f t="shared" si="154"/>
        <v>13.351704045684558</v>
      </c>
      <c r="AI54" s="4">
        <f t="shared" si="154"/>
        <v>20.655439608550722</v>
      </c>
      <c r="AJ54" s="4">
        <f t="shared" si="155"/>
        <v>68.09369063299124</v>
      </c>
      <c r="AK54" s="267">
        <f t="shared" si="156"/>
        <v>97.968750063356083</v>
      </c>
      <c r="AL54" s="273"/>
      <c r="AM54" s="4">
        <f t="shared" si="157"/>
        <v>9.9091307775927753</v>
      </c>
      <c r="AN54" s="4">
        <f t="shared" si="157"/>
        <v>24.098012876642507</v>
      </c>
      <c r="AO54" s="4">
        <f t="shared" si="158"/>
        <v>50.536566965723154</v>
      </c>
      <c r="AP54" s="267">
        <f t="shared" si="159"/>
        <v>114.29687507391542</v>
      </c>
      <c r="AQ54" s="273"/>
      <c r="AR54" s="4">
        <f t="shared" si="160"/>
        <v>0</v>
      </c>
      <c r="AS54" s="4">
        <f t="shared" si="160"/>
        <v>34.007143654235279</v>
      </c>
      <c r="AT54" s="4">
        <f t="shared" si="161"/>
        <v>0</v>
      </c>
      <c r="AU54" s="267">
        <f t="shared" si="162"/>
        <v>161.29588235203795</v>
      </c>
    </row>
    <row r="55" spans="1:47" x14ac:dyDescent="0.4">
      <c r="B55">
        <v>5</v>
      </c>
      <c r="C55" s="1">
        <v>5.9</v>
      </c>
      <c r="D55" s="1">
        <f t="shared" si="104"/>
        <v>5.487000000000001</v>
      </c>
      <c r="E55" s="4">
        <v>27403</v>
      </c>
      <c r="F55" s="6">
        <v>0.10798743699780503</v>
      </c>
      <c r="H55" s="4">
        <f t="shared" si="138"/>
        <v>25.178940249034326</v>
      </c>
      <c r="I55" s="4">
        <f t="shared" si="139"/>
        <v>0</v>
      </c>
      <c r="J55" s="267">
        <f t="shared" si="140"/>
        <v>148.55574746930253</v>
      </c>
      <c r="K55" s="267">
        <f t="shared" si="130"/>
        <v>0</v>
      </c>
      <c r="L55" s="273"/>
      <c r="M55" s="4">
        <f t="shared" si="141"/>
        <v>25.178940249034326</v>
      </c>
      <c r="N55" s="4">
        <f t="shared" si="141"/>
        <v>0</v>
      </c>
      <c r="O55" s="4">
        <f t="shared" si="142"/>
        <v>148.55574746930253</v>
      </c>
      <c r="P55" s="267">
        <f t="shared" si="143"/>
        <v>0</v>
      </c>
      <c r="Q55" s="6">
        <f t="shared" si="144"/>
        <v>0.10798743699780503</v>
      </c>
      <c r="R55" s="273"/>
      <c r="S55" s="4">
        <f t="shared" si="145"/>
        <v>22.884942471644706</v>
      </c>
      <c r="T55" s="4">
        <f t="shared" si="145"/>
        <v>2.293997777389623</v>
      </c>
      <c r="U55" s="4">
        <f t="shared" si="146"/>
        <v>135.02116058270377</v>
      </c>
      <c r="V55" s="267">
        <f t="shared" si="147"/>
        <v>12.587165804536863</v>
      </c>
      <c r="W55" s="273"/>
      <c r="X55" s="4">
        <f t="shared" si="148"/>
        <v>21.355610620051621</v>
      </c>
      <c r="Y55" s="4">
        <f t="shared" si="148"/>
        <v>3.8233296289827043</v>
      </c>
      <c r="Z55" s="4">
        <f t="shared" si="149"/>
        <v>125.99810265830457</v>
      </c>
      <c r="AA55" s="267">
        <f t="shared" si="150"/>
        <v>20.978609674228103</v>
      </c>
      <c r="AB55" s="273"/>
      <c r="AC55" s="4">
        <f t="shared" si="151"/>
        <v>25.178940249034326</v>
      </c>
      <c r="AD55" s="4">
        <f t="shared" si="151"/>
        <v>7.6466592579654087</v>
      </c>
      <c r="AE55" s="4">
        <f t="shared" si="152"/>
        <v>148.55574746930253</v>
      </c>
      <c r="AF55" s="267">
        <f t="shared" si="153"/>
        <v>41.957219348456206</v>
      </c>
      <c r="AG55" s="273"/>
      <c r="AH55" s="4">
        <f t="shared" si="154"/>
        <v>9.885621733103509</v>
      </c>
      <c r="AI55" s="4">
        <f t="shared" si="154"/>
        <v>15.293318515930817</v>
      </c>
      <c r="AJ55" s="4">
        <f t="shared" si="155"/>
        <v>58.325168225310705</v>
      </c>
      <c r="AK55" s="267">
        <f t="shared" si="156"/>
        <v>83.914438696912413</v>
      </c>
      <c r="AL55" s="273"/>
      <c r="AM55" s="4">
        <f t="shared" si="157"/>
        <v>7.3367353137817091</v>
      </c>
      <c r="AN55" s="4">
        <f t="shared" si="157"/>
        <v>17.842204935252617</v>
      </c>
      <c r="AO55" s="4">
        <f t="shared" si="158"/>
        <v>43.286738351312088</v>
      </c>
      <c r="AP55" s="267">
        <f t="shared" si="159"/>
        <v>97.900178479731125</v>
      </c>
      <c r="AQ55" s="273"/>
      <c r="AR55" s="4">
        <f t="shared" si="160"/>
        <v>0</v>
      </c>
      <c r="AS55" s="4">
        <f t="shared" si="160"/>
        <v>25.178940249034326</v>
      </c>
      <c r="AT55" s="4">
        <f t="shared" si="161"/>
        <v>0</v>
      </c>
      <c r="AU55" s="267">
        <f t="shared" si="162"/>
        <v>138.15684514645136</v>
      </c>
    </row>
    <row r="56" spans="1:47" s="274" customFormat="1" x14ac:dyDescent="0.4">
      <c r="C56" s="275"/>
      <c r="D56" s="275">
        <f t="shared" si="104"/>
        <v>0</v>
      </c>
      <c r="E56" s="276"/>
      <c r="F56" s="277"/>
      <c r="G56" s="276">
        <f>機器台数４!D20</f>
        <v>17.5</v>
      </c>
      <c r="H56" s="276">
        <f>G56*(1-G$3)</f>
        <v>17.5</v>
      </c>
      <c r="I56" s="276">
        <f>G56*G$3</f>
        <v>0</v>
      </c>
      <c r="J56" s="276">
        <f>SUM(J57:J63)</f>
        <v>47.04</v>
      </c>
      <c r="K56" s="278">
        <f t="shared" si="130"/>
        <v>0</v>
      </c>
      <c r="L56" s="279">
        <f>機器台数４!F20</f>
        <v>17.5</v>
      </c>
      <c r="M56" s="276">
        <f>L56*(1-L$3)</f>
        <v>17.5</v>
      </c>
      <c r="N56" s="276">
        <f>L56*L$3</f>
        <v>0</v>
      </c>
      <c r="O56" s="276">
        <f>SUM(O57:O63)</f>
        <v>47.04</v>
      </c>
      <c r="P56" s="276">
        <f>SUM(P57:P63)</f>
        <v>0</v>
      </c>
      <c r="Q56" s="277"/>
      <c r="R56" s="279">
        <f>機器台数４!H20</f>
        <v>17.5</v>
      </c>
      <c r="S56" s="276">
        <f>機器台数４!H21</f>
        <v>15.749999999999998</v>
      </c>
      <c r="T56" s="276">
        <f>機器台数４!H22</f>
        <v>1.7500000000000018</v>
      </c>
      <c r="U56" s="276">
        <f>SUM(U57:U63)</f>
        <v>42.335999999999999</v>
      </c>
      <c r="V56" s="276">
        <f>SUM(V57:V63)</f>
        <v>4.3747200000000044</v>
      </c>
      <c r="W56" s="279">
        <f>機器台数４!J20</f>
        <v>17.5</v>
      </c>
      <c r="X56" s="276">
        <f>機器台数４!J21</f>
        <v>14</v>
      </c>
      <c r="Y56" s="276">
        <f>機器台数４!J22</f>
        <v>3.5</v>
      </c>
      <c r="Z56" s="276">
        <f>SUM(Z57:Z63)</f>
        <v>37.631999999999998</v>
      </c>
      <c r="AA56" s="276">
        <f>SUM(AA57:AA63)</f>
        <v>8.7494399999999999</v>
      </c>
      <c r="AB56" s="279">
        <f>機器台数４!L20</f>
        <v>17.5</v>
      </c>
      <c r="AC56" s="276">
        <f>機器台数４!L21</f>
        <v>10.5</v>
      </c>
      <c r="AD56" s="276">
        <f>機器台数４!L22</f>
        <v>7</v>
      </c>
      <c r="AE56" s="276">
        <f>SUM(AE57:AE63)</f>
        <v>28.224</v>
      </c>
      <c r="AF56" s="276">
        <f>SUM(AF57:AF63)</f>
        <v>17.49888</v>
      </c>
      <c r="AG56" s="279">
        <f>機器台数４!N20</f>
        <v>17.5</v>
      </c>
      <c r="AH56" s="276">
        <f>機器台数４!N21</f>
        <v>7</v>
      </c>
      <c r="AI56" s="276">
        <f>機器台数４!N22</f>
        <v>10.5</v>
      </c>
      <c r="AJ56" s="276">
        <f>SUM(AJ57:AJ63)</f>
        <v>18.815999999999999</v>
      </c>
      <c r="AK56" s="276">
        <f>SUM(AK57:AK63)</f>
        <v>26.248320000000003</v>
      </c>
      <c r="AL56" s="279">
        <f>機器台数４!S20</f>
        <v>0.7</v>
      </c>
      <c r="AM56" s="276">
        <f>機器台数４!P21</f>
        <v>3.5</v>
      </c>
      <c r="AN56" s="276">
        <f>機器台数４!P22</f>
        <v>14</v>
      </c>
      <c r="AO56" s="276">
        <f>SUM(AO57:AO63)</f>
        <v>9.4079999999999995</v>
      </c>
      <c r="AP56" s="276">
        <f>SUM(AP57:AP63)</f>
        <v>34.99776</v>
      </c>
      <c r="AQ56" s="279">
        <f>機器台数４!X20</f>
        <v>0</v>
      </c>
      <c r="AR56" s="276">
        <f>機器台数４!R21</f>
        <v>0</v>
      </c>
      <c r="AS56" s="276">
        <f>機器台数４!R22</f>
        <v>17.5</v>
      </c>
      <c r="AT56" s="276">
        <f>SUM(AT57:AT63)</f>
        <v>0</v>
      </c>
      <c r="AU56" s="276">
        <f>SUM(AU57:AU63)</f>
        <v>43.747199999999999</v>
      </c>
    </row>
    <row r="57" spans="1:47" x14ac:dyDescent="0.4">
      <c r="A57" t="s">
        <v>12</v>
      </c>
      <c r="B57">
        <v>1.5</v>
      </c>
      <c r="C57" s="1">
        <v>2.15</v>
      </c>
      <c r="D57" s="1">
        <f t="shared" si="104"/>
        <v>1.9995000000000001</v>
      </c>
      <c r="E57" s="4">
        <f t="shared" ref="E57:E63" si="163">$A$59*Q57</f>
        <v>9000</v>
      </c>
      <c r="F57" s="6">
        <v>0.03</v>
      </c>
      <c r="H57" s="4">
        <f t="shared" ref="H57:H63" si="164">F57*H$56</f>
        <v>0.52500000000000002</v>
      </c>
      <c r="I57" s="4">
        <f t="shared" ref="I57:I63" si="165">$F57*I$56</f>
        <v>0</v>
      </c>
      <c r="J57" s="267">
        <f t="shared" ref="J57:J63" si="166">C57*H57</f>
        <v>1.1287499999999999</v>
      </c>
      <c r="K57" s="267">
        <f t="shared" si="130"/>
        <v>0</v>
      </c>
      <c r="L57" s="273">
        <f>SUM(M57:M63)</f>
        <v>17.5</v>
      </c>
      <c r="M57" s="4">
        <f t="shared" ref="M57:N63" si="167">$F57*M$56</f>
        <v>0.52500000000000002</v>
      </c>
      <c r="N57" s="4">
        <f t="shared" si="167"/>
        <v>0</v>
      </c>
      <c r="O57" s="4">
        <f t="shared" ref="O57:O63" si="168">$C57*M57</f>
        <v>1.1287499999999999</v>
      </c>
      <c r="P57" s="267">
        <f t="shared" ref="P57:P63" si="169">$D57*N57</f>
        <v>0</v>
      </c>
      <c r="Q57" s="6">
        <v>0.03</v>
      </c>
      <c r="R57" s="273">
        <f>SUM(S57:S63)</f>
        <v>15.749999999999996</v>
      </c>
      <c r="S57" s="4">
        <f t="shared" ref="S57:T63" si="170">$F57*S$56</f>
        <v>0.47249999999999992</v>
      </c>
      <c r="T57" s="4">
        <f t="shared" si="170"/>
        <v>5.2500000000000054E-2</v>
      </c>
      <c r="U57" s="4">
        <f t="shared" ref="U57:U63" si="171">$C57*S57</f>
        <v>1.0158749999999999</v>
      </c>
      <c r="V57" s="267">
        <f t="shared" ref="V57:V63" si="172">$D57*T57</f>
        <v>0.10497375000000012</v>
      </c>
      <c r="W57" s="273">
        <f>SUM(X57:X63)</f>
        <v>14.000000000000002</v>
      </c>
      <c r="X57" s="4">
        <f t="shared" ref="X57:Y63" si="173">$F57*X$56</f>
        <v>0.42</v>
      </c>
      <c r="Y57" s="4">
        <f t="shared" si="173"/>
        <v>0.105</v>
      </c>
      <c r="Z57" s="4">
        <f t="shared" ref="Z57:Z63" si="174">$C57*X57</f>
        <v>0.90299999999999991</v>
      </c>
      <c r="AA57" s="267">
        <f t="shared" ref="AA57:AA63" si="175">$D57*Y57</f>
        <v>0.20994750000000001</v>
      </c>
      <c r="AB57" s="273">
        <f>SUM(AC57:AC63)</f>
        <v>10.499999999999998</v>
      </c>
      <c r="AC57" s="4">
        <f t="shared" ref="AC57:AD63" si="176">$F57*AC$56</f>
        <v>0.315</v>
      </c>
      <c r="AD57" s="4">
        <f t="shared" si="176"/>
        <v>0.21</v>
      </c>
      <c r="AE57" s="4">
        <f t="shared" ref="AE57:AE63" si="177">$C57*AC57</f>
        <v>0.67725000000000002</v>
      </c>
      <c r="AF57" s="267">
        <f t="shared" ref="AF57:AF63" si="178">$D57*AD57</f>
        <v>0.41989500000000002</v>
      </c>
      <c r="AG57" s="273">
        <f>SUM(AH57:AH63)</f>
        <v>7.0000000000000009</v>
      </c>
      <c r="AH57" s="4">
        <f t="shared" ref="AH57:AI63" si="179">$F57*AH$56</f>
        <v>0.21</v>
      </c>
      <c r="AI57" s="4">
        <f t="shared" si="179"/>
        <v>0.315</v>
      </c>
      <c r="AJ57" s="4">
        <f t="shared" ref="AJ57:AJ63" si="180">$C57*AH57</f>
        <v>0.45149999999999996</v>
      </c>
      <c r="AK57" s="267">
        <f t="shared" ref="AK57:AK63" si="181">$D57*AI57</f>
        <v>0.62984249999999997</v>
      </c>
      <c r="AL57" s="273">
        <f>SUM(AM57:AM63)</f>
        <v>3.5000000000000004</v>
      </c>
      <c r="AM57" s="4">
        <f t="shared" ref="AM57:AN63" si="182">$F57*AM$56</f>
        <v>0.105</v>
      </c>
      <c r="AN57" s="4">
        <f t="shared" si="182"/>
        <v>0.42</v>
      </c>
      <c r="AO57" s="4">
        <f t="shared" ref="AO57:AO63" si="183">$C57*AM57</f>
        <v>0.22574999999999998</v>
      </c>
      <c r="AP57" s="267">
        <f t="shared" ref="AP57:AP63" si="184">$D57*AN57</f>
        <v>0.83979000000000004</v>
      </c>
      <c r="AQ57" s="273">
        <f>SUM(AR57:AR63)</f>
        <v>0</v>
      </c>
      <c r="AR57" s="4">
        <f t="shared" ref="AR57:AS63" si="185">$F57*AR$56</f>
        <v>0</v>
      </c>
      <c r="AS57" s="4">
        <f t="shared" si="185"/>
        <v>0.52500000000000002</v>
      </c>
      <c r="AT57" s="4">
        <f t="shared" ref="AT57:AT63" si="186">$C57*AR57</f>
        <v>0</v>
      </c>
      <c r="AU57" s="267">
        <f t="shared" ref="AU57:AU63" si="187">$D57*AS57</f>
        <v>1.0497375</v>
      </c>
    </row>
    <row r="58" spans="1:47" x14ac:dyDescent="0.4">
      <c r="A58" t="s">
        <v>13</v>
      </c>
      <c r="B58">
        <v>2</v>
      </c>
      <c r="C58" s="1">
        <v>2.15</v>
      </c>
      <c r="D58" s="1">
        <f t="shared" si="104"/>
        <v>1.9995000000000001</v>
      </c>
      <c r="E58" s="4">
        <f t="shared" si="163"/>
        <v>45000</v>
      </c>
      <c r="F58" s="6">
        <v>0.15</v>
      </c>
      <c r="H58" s="4">
        <f t="shared" si="164"/>
        <v>2.625</v>
      </c>
      <c r="I58" s="4">
        <f t="shared" si="165"/>
        <v>0</v>
      </c>
      <c r="J58" s="267">
        <f t="shared" si="166"/>
        <v>5.6437499999999998</v>
      </c>
      <c r="K58" s="267">
        <f t="shared" si="130"/>
        <v>0</v>
      </c>
      <c r="L58" s="273"/>
      <c r="M58" s="4">
        <f t="shared" si="167"/>
        <v>2.625</v>
      </c>
      <c r="N58" s="4">
        <f t="shared" si="167"/>
        <v>0</v>
      </c>
      <c r="O58" s="4">
        <f t="shared" si="168"/>
        <v>5.6437499999999998</v>
      </c>
      <c r="P58" s="267">
        <f t="shared" si="169"/>
        <v>0</v>
      </c>
      <c r="Q58" s="6">
        <v>0.15</v>
      </c>
      <c r="R58" s="273"/>
      <c r="S58" s="4">
        <f t="shared" si="170"/>
        <v>2.3624999999999998</v>
      </c>
      <c r="T58" s="4">
        <f t="shared" si="170"/>
        <v>0.26250000000000023</v>
      </c>
      <c r="U58" s="4">
        <f t="shared" si="171"/>
        <v>5.0793749999999998</v>
      </c>
      <c r="V58" s="267">
        <f t="shared" si="172"/>
        <v>0.52486875000000044</v>
      </c>
      <c r="W58" s="273"/>
      <c r="X58" s="4">
        <f t="shared" si="173"/>
        <v>2.1</v>
      </c>
      <c r="Y58" s="4">
        <f t="shared" si="173"/>
        <v>0.52500000000000002</v>
      </c>
      <c r="Z58" s="4">
        <f t="shared" si="174"/>
        <v>4.5149999999999997</v>
      </c>
      <c r="AA58" s="267">
        <f t="shared" si="175"/>
        <v>1.0497375</v>
      </c>
      <c r="AB58" s="273"/>
      <c r="AC58" s="4">
        <f t="shared" si="176"/>
        <v>1.575</v>
      </c>
      <c r="AD58" s="4">
        <f t="shared" si="176"/>
        <v>1.05</v>
      </c>
      <c r="AE58" s="4">
        <f t="shared" si="177"/>
        <v>3.38625</v>
      </c>
      <c r="AF58" s="267">
        <f t="shared" si="178"/>
        <v>2.099475</v>
      </c>
      <c r="AG58" s="273"/>
      <c r="AH58" s="4">
        <f t="shared" si="179"/>
        <v>1.05</v>
      </c>
      <c r="AI58" s="4">
        <f t="shared" si="179"/>
        <v>1.575</v>
      </c>
      <c r="AJ58" s="4">
        <f t="shared" si="180"/>
        <v>2.2574999999999998</v>
      </c>
      <c r="AK58" s="267">
        <f t="shared" si="181"/>
        <v>3.1492125</v>
      </c>
      <c r="AL58" s="273"/>
      <c r="AM58" s="4">
        <f t="shared" si="182"/>
        <v>0.52500000000000002</v>
      </c>
      <c r="AN58" s="4">
        <f t="shared" si="182"/>
        <v>2.1</v>
      </c>
      <c r="AO58" s="4">
        <f t="shared" si="183"/>
        <v>1.1287499999999999</v>
      </c>
      <c r="AP58" s="267">
        <f t="shared" si="184"/>
        <v>4.19895</v>
      </c>
      <c r="AQ58" s="273"/>
      <c r="AR58" s="4">
        <f t="shared" si="185"/>
        <v>0</v>
      </c>
      <c r="AS58" s="4">
        <f t="shared" si="185"/>
        <v>2.625</v>
      </c>
      <c r="AT58" s="4">
        <f t="shared" si="186"/>
        <v>0</v>
      </c>
      <c r="AU58" s="267">
        <f t="shared" si="187"/>
        <v>5.2486875</v>
      </c>
    </row>
    <row r="59" spans="1:47" x14ac:dyDescent="0.4">
      <c r="A59" s="7">
        <v>300000</v>
      </c>
      <c r="B59">
        <v>2.5</v>
      </c>
      <c r="C59" s="1">
        <v>2.25</v>
      </c>
      <c r="D59" s="1">
        <f t="shared" si="104"/>
        <v>2.0925000000000002</v>
      </c>
      <c r="E59" s="4">
        <f t="shared" si="163"/>
        <v>51000.000000000007</v>
      </c>
      <c r="F59" s="6">
        <v>0.17</v>
      </c>
      <c r="H59" s="4">
        <f t="shared" si="164"/>
        <v>2.9750000000000001</v>
      </c>
      <c r="I59" s="4">
        <f t="shared" si="165"/>
        <v>0</v>
      </c>
      <c r="J59" s="267">
        <f t="shared" si="166"/>
        <v>6.6937500000000005</v>
      </c>
      <c r="K59" s="267">
        <f t="shared" si="130"/>
        <v>0</v>
      </c>
      <c r="L59" s="273"/>
      <c r="M59" s="4">
        <f t="shared" si="167"/>
        <v>2.9750000000000001</v>
      </c>
      <c r="N59" s="4">
        <f t="shared" si="167"/>
        <v>0</v>
      </c>
      <c r="O59" s="4">
        <f t="shared" si="168"/>
        <v>6.6937500000000005</v>
      </c>
      <c r="P59" s="267">
        <f t="shared" si="169"/>
        <v>0</v>
      </c>
      <c r="Q59" s="6">
        <v>0.17</v>
      </c>
      <c r="R59" s="273"/>
      <c r="S59" s="4">
        <f t="shared" si="170"/>
        <v>2.6774999999999998</v>
      </c>
      <c r="T59" s="4">
        <f t="shared" si="170"/>
        <v>0.29750000000000032</v>
      </c>
      <c r="U59" s="4">
        <f t="shared" si="171"/>
        <v>6.0243749999999991</v>
      </c>
      <c r="V59" s="267">
        <f t="shared" si="172"/>
        <v>0.62251875000000079</v>
      </c>
      <c r="W59" s="273"/>
      <c r="X59" s="4">
        <f t="shared" si="173"/>
        <v>2.3800000000000003</v>
      </c>
      <c r="Y59" s="4">
        <f t="shared" si="173"/>
        <v>0.59500000000000008</v>
      </c>
      <c r="Z59" s="4">
        <f t="shared" si="174"/>
        <v>5.3550000000000004</v>
      </c>
      <c r="AA59" s="267">
        <f t="shared" si="175"/>
        <v>1.2450375000000002</v>
      </c>
      <c r="AB59" s="273"/>
      <c r="AC59" s="4">
        <f t="shared" si="176"/>
        <v>1.7850000000000001</v>
      </c>
      <c r="AD59" s="4">
        <f t="shared" si="176"/>
        <v>1.1900000000000002</v>
      </c>
      <c r="AE59" s="4">
        <f t="shared" si="177"/>
        <v>4.0162500000000003</v>
      </c>
      <c r="AF59" s="267">
        <f t="shared" si="178"/>
        <v>2.4900750000000005</v>
      </c>
      <c r="AG59" s="273"/>
      <c r="AH59" s="4">
        <f t="shared" si="179"/>
        <v>1.1900000000000002</v>
      </c>
      <c r="AI59" s="4">
        <f t="shared" si="179"/>
        <v>1.7850000000000001</v>
      </c>
      <c r="AJ59" s="4">
        <f t="shared" si="180"/>
        <v>2.6775000000000002</v>
      </c>
      <c r="AK59" s="267">
        <f t="shared" si="181"/>
        <v>3.7351125000000009</v>
      </c>
      <c r="AL59" s="273"/>
      <c r="AM59" s="4">
        <f t="shared" si="182"/>
        <v>0.59500000000000008</v>
      </c>
      <c r="AN59" s="4">
        <f t="shared" si="182"/>
        <v>2.3800000000000003</v>
      </c>
      <c r="AO59" s="4">
        <f t="shared" si="183"/>
        <v>1.3387500000000001</v>
      </c>
      <c r="AP59" s="267">
        <f t="shared" si="184"/>
        <v>4.980150000000001</v>
      </c>
      <c r="AQ59" s="273"/>
      <c r="AR59" s="4">
        <f t="shared" si="185"/>
        <v>0</v>
      </c>
      <c r="AS59" s="4">
        <f t="shared" si="185"/>
        <v>2.9750000000000001</v>
      </c>
      <c r="AT59" s="4">
        <f t="shared" si="186"/>
        <v>0</v>
      </c>
      <c r="AU59" s="267">
        <f t="shared" si="187"/>
        <v>6.2251875000000005</v>
      </c>
    </row>
    <row r="60" spans="1:47" x14ac:dyDescent="0.4">
      <c r="B60">
        <v>3</v>
      </c>
      <c r="C60" s="1">
        <v>2.4</v>
      </c>
      <c r="D60" s="1">
        <f t="shared" si="104"/>
        <v>2.2320000000000002</v>
      </c>
      <c r="E60" s="4">
        <f t="shared" si="163"/>
        <v>78000</v>
      </c>
      <c r="F60" s="6">
        <v>0.26</v>
      </c>
      <c r="H60" s="4">
        <f t="shared" si="164"/>
        <v>4.55</v>
      </c>
      <c r="I60" s="4">
        <f t="shared" si="165"/>
        <v>0</v>
      </c>
      <c r="J60" s="267">
        <f t="shared" si="166"/>
        <v>10.92</v>
      </c>
      <c r="K60" s="267">
        <f t="shared" si="130"/>
        <v>0</v>
      </c>
      <c r="L60" s="273"/>
      <c r="M60" s="4">
        <f t="shared" si="167"/>
        <v>4.55</v>
      </c>
      <c r="N60" s="4">
        <f t="shared" si="167"/>
        <v>0</v>
      </c>
      <c r="O60" s="4">
        <f t="shared" si="168"/>
        <v>10.92</v>
      </c>
      <c r="P60" s="267">
        <f t="shared" si="169"/>
        <v>0</v>
      </c>
      <c r="Q60" s="6">
        <v>0.26</v>
      </c>
      <c r="R60" s="273"/>
      <c r="S60" s="4">
        <f t="shared" si="170"/>
        <v>4.0949999999999998</v>
      </c>
      <c r="T60" s="4">
        <f t="shared" si="170"/>
        <v>0.45500000000000046</v>
      </c>
      <c r="U60" s="4">
        <f t="shared" si="171"/>
        <v>9.8279999999999994</v>
      </c>
      <c r="V60" s="267">
        <f t="shared" si="172"/>
        <v>1.0155600000000011</v>
      </c>
      <c r="W60" s="273"/>
      <c r="X60" s="4">
        <f t="shared" si="173"/>
        <v>3.64</v>
      </c>
      <c r="Y60" s="4">
        <f t="shared" si="173"/>
        <v>0.91</v>
      </c>
      <c r="Z60" s="4">
        <f t="shared" si="174"/>
        <v>8.7360000000000007</v>
      </c>
      <c r="AA60" s="267">
        <f t="shared" si="175"/>
        <v>2.03112</v>
      </c>
      <c r="AB60" s="273"/>
      <c r="AC60" s="4">
        <f t="shared" si="176"/>
        <v>2.73</v>
      </c>
      <c r="AD60" s="4">
        <f t="shared" si="176"/>
        <v>1.82</v>
      </c>
      <c r="AE60" s="4">
        <f t="shared" si="177"/>
        <v>6.5519999999999996</v>
      </c>
      <c r="AF60" s="267">
        <f t="shared" si="178"/>
        <v>4.0622400000000001</v>
      </c>
      <c r="AG60" s="273"/>
      <c r="AH60" s="4">
        <f t="shared" si="179"/>
        <v>1.82</v>
      </c>
      <c r="AI60" s="4">
        <f t="shared" si="179"/>
        <v>2.73</v>
      </c>
      <c r="AJ60" s="4">
        <f t="shared" si="180"/>
        <v>4.3680000000000003</v>
      </c>
      <c r="AK60" s="267">
        <f t="shared" si="181"/>
        <v>6.0933600000000006</v>
      </c>
      <c r="AL60" s="273"/>
      <c r="AM60" s="4">
        <f t="shared" si="182"/>
        <v>0.91</v>
      </c>
      <c r="AN60" s="4">
        <f t="shared" si="182"/>
        <v>3.64</v>
      </c>
      <c r="AO60" s="4">
        <f t="shared" si="183"/>
        <v>2.1840000000000002</v>
      </c>
      <c r="AP60" s="267">
        <f t="shared" si="184"/>
        <v>8.1244800000000001</v>
      </c>
      <c r="AQ60" s="273"/>
      <c r="AR60" s="4">
        <f t="shared" si="185"/>
        <v>0</v>
      </c>
      <c r="AS60" s="4">
        <f t="shared" si="185"/>
        <v>4.55</v>
      </c>
      <c r="AT60" s="4">
        <f t="shared" si="186"/>
        <v>0</v>
      </c>
      <c r="AU60" s="267">
        <f t="shared" si="187"/>
        <v>10.1556</v>
      </c>
    </row>
    <row r="61" spans="1:47" x14ac:dyDescent="0.4">
      <c r="B61">
        <v>3.5</v>
      </c>
      <c r="C61" s="1">
        <v>3.15</v>
      </c>
      <c r="D61" s="1">
        <f t="shared" si="104"/>
        <v>2.9295</v>
      </c>
      <c r="E61" s="4">
        <f t="shared" si="163"/>
        <v>30000</v>
      </c>
      <c r="F61" s="6">
        <v>0.1</v>
      </c>
      <c r="H61" s="4">
        <f t="shared" si="164"/>
        <v>1.75</v>
      </c>
      <c r="I61" s="4">
        <f t="shared" si="165"/>
        <v>0</v>
      </c>
      <c r="J61" s="267">
        <f t="shared" si="166"/>
        <v>5.5125000000000002</v>
      </c>
      <c r="K61" s="267">
        <f t="shared" si="130"/>
        <v>0</v>
      </c>
      <c r="L61" s="273"/>
      <c r="M61" s="4">
        <f t="shared" si="167"/>
        <v>1.75</v>
      </c>
      <c r="N61" s="4">
        <f t="shared" si="167"/>
        <v>0</v>
      </c>
      <c r="O61" s="4">
        <f t="shared" si="168"/>
        <v>5.5125000000000002</v>
      </c>
      <c r="P61" s="267">
        <f t="shared" si="169"/>
        <v>0</v>
      </c>
      <c r="Q61" s="6">
        <v>0.1</v>
      </c>
      <c r="R61" s="273"/>
      <c r="S61" s="4">
        <f t="shared" si="170"/>
        <v>1.575</v>
      </c>
      <c r="T61" s="4">
        <f t="shared" si="170"/>
        <v>0.17500000000000018</v>
      </c>
      <c r="U61" s="4">
        <f t="shared" si="171"/>
        <v>4.9612499999999997</v>
      </c>
      <c r="V61" s="267">
        <f t="shared" si="172"/>
        <v>0.51266250000000058</v>
      </c>
      <c r="W61" s="273"/>
      <c r="X61" s="4">
        <f t="shared" si="173"/>
        <v>1.4000000000000001</v>
      </c>
      <c r="Y61" s="4">
        <f t="shared" si="173"/>
        <v>0.35000000000000003</v>
      </c>
      <c r="Z61" s="4">
        <f t="shared" si="174"/>
        <v>4.41</v>
      </c>
      <c r="AA61" s="267">
        <f t="shared" si="175"/>
        <v>1.025325</v>
      </c>
      <c r="AB61" s="273"/>
      <c r="AC61" s="4">
        <f t="shared" si="176"/>
        <v>1.05</v>
      </c>
      <c r="AD61" s="4">
        <f t="shared" si="176"/>
        <v>0.70000000000000007</v>
      </c>
      <c r="AE61" s="4">
        <f t="shared" si="177"/>
        <v>3.3075000000000001</v>
      </c>
      <c r="AF61" s="267">
        <f t="shared" si="178"/>
        <v>2.0506500000000001</v>
      </c>
      <c r="AG61" s="273"/>
      <c r="AH61" s="4">
        <f t="shared" si="179"/>
        <v>0.70000000000000007</v>
      </c>
      <c r="AI61" s="4">
        <f t="shared" si="179"/>
        <v>1.05</v>
      </c>
      <c r="AJ61" s="4">
        <f t="shared" si="180"/>
        <v>2.2050000000000001</v>
      </c>
      <c r="AK61" s="267">
        <f t="shared" si="181"/>
        <v>3.0759750000000001</v>
      </c>
      <c r="AL61" s="273"/>
      <c r="AM61" s="4">
        <f t="shared" si="182"/>
        <v>0.35000000000000003</v>
      </c>
      <c r="AN61" s="4">
        <f t="shared" si="182"/>
        <v>1.4000000000000001</v>
      </c>
      <c r="AO61" s="4">
        <f t="shared" si="183"/>
        <v>1.1025</v>
      </c>
      <c r="AP61" s="267">
        <f t="shared" si="184"/>
        <v>4.1013000000000002</v>
      </c>
      <c r="AQ61" s="273"/>
      <c r="AR61" s="4">
        <f t="shared" si="185"/>
        <v>0</v>
      </c>
      <c r="AS61" s="4">
        <f t="shared" si="185"/>
        <v>1.75</v>
      </c>
      <c r="AT61" s="4">
        <f t="shared" si="186"/>
        <v>0</v>
      </c>
      <c r="AU61" s="267">
        <f t="shared" si="187"/>
        <v>5.1266249999999998</v>
      </c>
    </row>
    <row r="62" spans="1:47" x14ac:dyDescent="0.4">
      <c r="B62">
        <v>4</v>
      </c>
      <c r="C62" s="1">
        <v>3.15</v>
      </c>
      <c r="D62" s="1">
        <f t="shared" si="104"/>
        <v>2.9295</v>
      </c>
      <c r="E62" s="4">
        <f t="shared" si="163"/>
        <v>51000.000000000007</v>
      </c>
      <c r="F62" s="6">
        <v>0.17</v>
      </c>
      <c r="H62" s="4">
        <f t="shared" si="164"/>
        <v>2.9750000000000001</v>
      </c>
      <c r="I62" s="4">
        <f t="shared" si="165"/>
        <v>0</v>
      </c>
      <c r="J62" s="267">
        <f t="shared" si="166"/>
        <v>9.3712499999999999</v>
      </c>
      <c r="K62" s="267">
        <f t="shared" si="130"/>
        <v>0</v>
      </c>
      <c r="L62" s="273"/>
      <c r="M62" s="4">
        <f t="shared" si="167"/>
        <v>2.9750000000000001</v>
      </c>
      <c r="N62" s="4">
        <f t="shared" si="167"/>
        <v>0</v>
      </c>
      <c r="O62" s="4">
        <f t="shared" si="168"/>
        <v>9.3712499999999999</v>
      </c>
      <c r="P62" s="267">
        <f t="shared" si="169"/>
        <v>0</v>
      </c>
      <c r="Q62" s="6">
        <v>0.17</v>
      </c>
      <c r="R62" s="273"/>
      <c r="S62" s="4">
        <f t="shared" si="170"/>
        <v>2.6774999999999998</v>
      </c>
      <c r="T62" s="4">
        <f t="shared" si="170"/>
        <v>0.29750000000000032</v>
      </c>
      <c r="U62" s="4">
        <f t="shared" si="171"/>
        <v>8.4341249999999999</v>
      </c>
      <c r="V62" s="267">
        <f t="shared" si="172"/>
        <v>0.87152625000000095</v>
      </c>
      <c r="W62" s="273"/>
      <c r="X62" s="4">
        <f t="shared" si="173"/>
        <v>2.3800000000000003</v>
      </c>
      <c r="Y62" s="4">
        <f t="shared" si="173"/>
        <v>0.59500000000000008</v>
      </c>
      <c r="Z62" s="4">
        <f t="shared" si="174"/>
        <v>7.4970000000000008</v>
      </c>
      <c r="AA62" s="267">
        <f t="shared" si="175"/>
        <v>1.7430525000000003</v>
      </c>
      <c r="AB62" s="273"/>
      <c r="AC62" s="4">
        <f t="shared" si="176"/>
        <v>1.7850000000000001</v>
      </c>
      <c r="AD62" s="4">
        <f t="shared" si="176"/>
        <v>1.1900000000000002</v>
      </c>
      <c r="AE62" s="4">
        <f t="shared" si="177"/>
        <v>5.6227499999999999</v>
      </c>
      <c r="AF62" s="267">
        <f t="shared" si="178"/>
        <v>3.4861050000000007</v>
      </c>
      <c r="AG62" s="273"/>
      <c r="AH62" s="4">
        <f t="shared" si="179"/>
        <v>1.1900000000000002</v>
      </c>
      <c r="AI62" s="4">
        <f t="shared" si="179"/>
        <v>1.7850000000000001</v>
      </c>
      <c r="AJ62" s="4">
        <f t="shared" si="180"/>
        <v>3.7485000000000004</v>
      </c>
      <c r="AK62" s="267">
        <f t="shared" si="181"/>
        <v>5.2291575000000003</v>
      </c>
      <c r="AL62" s="273"/>
      <c r="AM62" s="4">
        <f t="shared" si="182"/>
        <v>0.59500000000000008</v>
      </c>
      <c r="AN62" s="4">
        <f t="shared" si="182"/>
        <v>2.3800000000000003</v>
      </c>
      <c r="AO62" s="4">
        <f t="shared" si="183"/>
        <v>1.8742500000000002</v>
      </c>
      <c r="AP62" s="267">
        <f t="shared" si="184"/>
        <v>6.9722100000000014</v>
      </c>
      <c r="AQ62" s="273"/>
      <c r="AR62" s="4">
        <f t="shared" si="185"/>
        <v>0</v>
      </c>
      <c r="AS62" s="4">
        <f t="shared" si="185"/>
        <v>2.9750000000000001</v>
      </c>
      <c r="AT62" s="4">
        <f t="shared" si="186"/>
        <v>0</v>
      </c>
      <c r="AU62" s="267">
        <f t="shared" si="187"/>
        <v>8.7152624999999997</v>
      </c>
    </row>
    <row r="63" spans="1:47" x14ac:dyDescent="0.4">
      <c r="B63">
        <v>5</v>
      </c>
      <c r="C63" s="1">
        <v>3.7</v>
      </c>
      <c r="D63" s="1">
        <f t="shared" si="104"/>
        <v>3.4410000000000003</v>
      </c>
      <c r="E63" s="4">
        <f t="shared" si="163"/>
        <v>36000</v>
      </c>
      <c r="F63" s="6">
        <v>0.12</v>
      </c>
      <c r="H63" s="4">
        <f t="shared" si="164"/>
        <v>2.1</v>
      </c>
      <c r="I63" s="4">
        <f t="shared" si="165"/>
        <v>0</v>
      </c>
      <c r="J63" s="267">
        <f t="shared" si="166"/>
        <v>7.7700000000000005</v>
      </c>
      <c r="K63" s="267">
        <f t="shared" si="130"/>
        <v>0</v>
      </c>
      <c r="L63" s="273"/>
      <c r="M63" s="4">
        <f t="shared" si="167"/>
        <v>2.1</v>
      </c>
      <c r="N63" s="4">
        <f t="shared" si="167"/>
        <v>0</v>
      </c>
      <c r="O63" s="4">
        <f t="shared" si="168"/>
        <v>7.7700000000000005</v>
      </c>
      <c r="P63" s="267">
        <f t="shared" si="169"/>
        <v>0</v>
      </c>
      <c r="Q63" s="6">
        <v>0.12</v>
      </c>
      <c r="R63" s="273"/>
      <c r="S63" s="4">
        <f t="shared" si="170"/>
        <v>1.8899999999999997</v>
      </c>
      <c r="T63" s="4">
        <f t="shared" si="170"/>
        <v>0.21000000000000021</v>
      </c>
      <c r="U63" s="4">
        <f t="shared" si="171"/>
        <v>6.9929999999999994</v>
      </c>
      <c r="V63" s="267">
        <f t="shared" si="172"/>
        <v>0.72261000000000075</v>
      </c>
      <c r="W63" s="273"/>
      <c r="X63" s="4">
        <f t="shared" si="173"/>
        <v>1.68</v>
      </c>
      <c r="Y63" s="4">
        <f t="shared" si="173"/>
        <v>0.42</v>
      </c>
      <c r="Z63" s="4">
        <f t="shared" si="174"/>
        <v>6.2160000000000002</v>
      </c>
      <c r="AA63" s="267">
        <f t="shared" si="175"/>
        <v>1.4452200000000002</v>
      </c>
      <c r="AB63" s="273"/>
      <c r="AC63" s="4">
        <f t="shared" si="176"/>
        <v>1.26</v>
      </c>
      <c r="AD63" s="4">
        <f t="shared" si="176"/>
        <v>0.84</v>
      </c>
      <c r="AE63" s="4">
        <f t="shared" si="177"/>
        <v>4.6619999999999999</v>
      </c>
      <c r="AF63" s="267">
        <f t="shared" si="178"/>
        <v>2.8904400000000003</v>
      </c>
      <c r="AG63" s="273"/>
      <c r="AH63" s="4">
        <f t="shared" si="179"/>
        <v>0.84</v>
      </c>
      <c r="AI63" s="4">
        <f t="shared" si="179"/>
        <v>1.26</v>
      </c>
      <c r="AJ63" s="4">
        <f t="shared" si="180"/>
        <v>3.1080000000000001</v>
      </c>
      <c r="AK63" s="267">
        <f t="shared" si="181"/>
        <v>4.3356600000000007</v>
      </c>
      <c r="AL63" s="273"/>
      <c r="AM63" s="4">
        <f t="shared" si="182"/>
        <v>0.42</v>
      </c>
      <c r="AN63" s="4">
        <f t="shared" si="182"/>
        <v>1.68</v>
      </c>
      <c r="AO63" s="4">
        <f t="shared" si="183"/>
        <v>1.554</v>
      </c>
      <c r="AP63" s="267">
        <f t="shared" si="184"/>
        <v>5.7808800000000007</v>
      </c>
      <c r="AQ63" s="273"/>
      <c r="AR63" s="4">
        <f t="shared" si="185"/>
        <v>0</v>
      </c>
      <c r="AS63" s="4">
        <f t="shared" si="185"/>
        <v>2.1</v>
      </c>
      <c r="AT63" s="4">
        <f t="shared" si="186"/>
        <v>0</v>
      </c>
      <c r="AU63" s="267">
        <f t="shared" si="187"/>
        <v>7.2261000000000006</v>
      </c>
    </row>
    <row r="64" spans="1:47" x14ac:dyDescent="0.4">
      <c r="D64" s="1">
        <f t="shared" si="104"/>
        <v>0</v>
      </c>
      <c r="F64" s="6"/>
      <c r="G64" s="4">
        <f>機器台数４!D36</f>
        <v>48.339180399999996</v>
      </c>
      <c r="H64" s="4">
        <f>G64*(1-G$3)</f>
        <v>48.339180399999996</v>
      </c>
      <c r="I64" s="4">
        <f>G64*G$3</f>
        <v>0</v>
      </c>
      <c r="J64" s="4">
        <f>SUM(J65:J68)</f>
        <v>216.23421067137684</v>
      </c>
      <c r="K64" s="267">
        <f t="shared" si="130"/>
        <v>0</v>
      </c>
      <c r="L64" s="273">
        <f>機器台数４!F36</f>
        <v>48.339180399999996</v>
      </c>
      <c r="M64" s="4">
        <f>L64*(1-L$3)</f>
        <v>48.339180399999996</v>
      </c>
      <c r="N64" s="4">
        <f>L64*L$3</f>
        <v>0</v>
      </c>
      <c r="O64" s="4">
        <f>SUM(O65:O68)</f>
        <v>216.23421067137684</v>
      </c>
      <c r="P64" s="4">
        <f>SUM(P65:P68)</f>
        <v>0</v>
      </c>
      <c r="Q64" s="6"/>
      <c r="R64" s="273">
        <f>機器台数４!H36</f>
        <v>43.935104164000002</v>
      </c>
      <c r="S64" s="4">
        <f>R64*(1-R$3)</f>
        <v>43.935104164000002</v>
      </c>
      <c r="T64" s="4">
        <f>機器台数４!H46</f>
        <v>4.4040762360000008</v>
      </c>
      <c r="U64" s="4">
        <f>SUM(U65:U68)</f>
        <v>196.53358809673287</v>
      </c>
      <c r="V64" s="4">
        <f>SUM(V65:V68)</f>
        <v>18.321578994418914</v>
      </c>
      <c r="W64" s="273">
        <f>機器台数４!J36</f>
        <v>40.999053339999996</v>
      </c>
      <c r="X64" s="4">
        <f>W64*(1-W$3)</f>
        <v>40.999053339999996</v>
      </c>
      <c r="Y64" s="4">
        <f>機器台数４!J46</f>
        <v>7.3401270600000004</v>
      </c>
      <c r="Z64" s="4">
        <f>SUM(Z65:Z68)</f>
        <v>183.39983971363685</v>
      </c>
      <c r="AA64" s="4">
        <f>SUM(AA65:AA68)</f>
        <v>30.535964990698194</v>
      </c>
      <c r="AB64" s="273">
        <f>機器台数４!L36+機器台数４!L46</f>
        <v>63.019434519999997</v>
      </c>
      <c r="AC64" s="4">
        <f>機器台数４!L36</f>
        <v>48.339180399999996</v>
      </c>
      <c r="AD64" s="4">
        <f>機器台数４!L46</f>
        <v>14.680254120000001</v>
      </c>
      <c r="AE64" s="4">
        <f>SUM(AE65:AE68)</f>
        <v>216.23421067137684</v>
      </c>
      <c r="AF64" s="4">
        <f>SUM(AF65:AF68)</f>
        <v>61.071929981396387</v>
      </c>
      <c r="AG64" s="273">
        <f>機器台数４!N36</f>
        <v>18.978672159999999</v>
      </c>
      <c r="AH64" s="4">
        <f>機器台数４!N36</f>
        <v>18.978672159999999</v>
      </c>
      <c r="AI64" s="4">
        <f>機器台数４!N46</f>
        <v>29.360508240000001</v>
      </c>
      <c r="AJ64" s="4">
        <f>SUM(AJ65:AJ68)</f>
        <v>84.896726840416903</v>
      </c>
      <c r="AK64" s="4">
        <f>SUM(AK65:AK68)</f>
        <v>122.14385996279277</v>
      </c>
      <c r="AL64" s="273">
        <f>機器台数４!S36</f>
        <v>3.4000000000000002E-2</v>
      </c>
      <c r="AM64" s="4">
        <f>機器台数４!P36</f>
        <v>14.085254120000002</v>
      </c>
      <c r="AN64" s="4">
        <f>機器台数４!P46</f>
        <v>34.253926279999995</v>
      </c>
      <c r="AO64" s="4">
        <f>SUM(AO65:AO68)</f>
        <v>63.00714620192359</v>
      </c>
      <c r="AP64" s="4">
        <f>SUM(AP65:AP68)</f>
        <v>142.50116995659153</v>
      </c>
      <c r="AQ64" s="273">
        <f>機器台数４!X36</f>
        <v>0</v>
      </c>
      <c r="AR64" s="4">
        <f>機器台数４!R36</f>
        <v>0</v>
      </c>
      <c r="AS64" s="4">
        <f>機器台数４!R46</f>
        <v>48.339180399999996</v>
      </c>
      <c r="AT64" s="4">
        <f>SUM(AT65:AT68)</f>
        <v>0</v>
      </c>
      <c r="AU64" s="4">
        <f>SUM(AU65:AU68)</f>
        <v>201.09781592438048</v>
      </c>
    </row>
    <row r="65" spans="1:47" x14ac:dyDescent="0.4">
      <c r="A65" t="s">
        <v>14</v>
      </c>
      <c r="B65">
        <v>2</v>
      </c>
      <c r="C65" s="1">
        <v>3.3</v>
      </c>
      <c r="D65" s="1">
        <f t="shared" si="104"/>
        <v>3.069</v>
      </c>
      <c r="E65" s="4">
        <v>6624</v>
      </c>
      <c r="F65" s="6">
        <v>0.13006597549481622</v>
      </c>
      <c r="H65" s="4">
        <f>F65*H$64</f>
        <v>6.2872826533459003</v>
      </c>
      <c r="I65" s="4">
        <f>$F65*I$64</f>
        <v>0</v>
      </c>
      <c r="J65" s="267">
        <f>C65*H65</f>
        <v>20.748032756041471</v>
      </c>
      <c r="K65" s="267">
        <f t="shared" si="130"/>
        <v>0</v>
      </c>
      <c r="L65" s="273">
        <f>SUM(M65:M68)</f>
        <v>48.339180399999996</v>
      </c>
      <c r="M65" s="4">
        <f t="shared" ref="M65:N68" si="188">$F65*M$64</f>
        <v>6.2872826533459003</v>
      </c>
      <c r="N65" s="4">
        <f t="shared" si="188"/>
        <v>0</v>
      </c>
      <c r="O65" s="4">
        <f>$C65*M65</f>
        <v>20.748032756041471</v>
      </c>
      <c r="P65" s="267">
        <f>$D65*N65</f>
        <v>0</v>
      </c>
      <c r="Q65" s="6">
        <f>E65/$A$67</f>
        <v>0.13006597549481622</v>
      </c>
      <c r="R65" s="273">
        <f>SUM(S65:S68)</f>
        <v>43.935104164000009</v>
      </c>
      <c r="S65" s="4">
        <f t="shared" ref="S65:T68" si="189">$F65*S$64</f>
        <v>5.714462181557022</v>
      </c>
      <c r="T65" s="4">
        <f t="shared" si="189"/>
        <v>0.57282047178887852</v>
      </c>
      <c r="U65" s="4">
        <f>$C65*S65</f>
        <v>18.857725199138173</v>
      </c>
      <c r="V65" s="267">
        <f>$D65*T65</f>
        <v>1.7579860279200681</v>
      </c>
      <c r="W65" s="273">
        <f>SUM(X65:X68)</f>
        <v>40.999053339999996</v>
      </c>
      <c r="X65" s="4">
        <f t="shared" ref="X65:Y68" si="190">$F65*X$64</f>
        <v>5.3325818670311023</v>
      </c>
      <c r="Y65" s="4">
        <f t="shared" si="190"/>
        <v>0.95470078631479749</v>
      </c>
      <c r="Z65" s="4">
        <f>$C65*X65</f>
        <v>17.597520161202638</v>
      </c>
      <c r="AA65" s="267">
        <f>$D65*Y65</f>
        <v>2.9299767132001135</v>
      </c>
      <c r="AB65" s="273">
        <f>SUM(AC65:AC68)</f>
        <v>48.339180399999996</v>
      </c>
      <c r="AC65" s="4">
        <f t="shared" ref="AC65:AD68" si="191">$F65*AC$64</f>
        <v>6.2872826533459003</v>
      </c>
      <c r="AD65" s="4">
        <f t="shared" si="191"/>
        <v>1.909401572629595</v>
      </c>
      <c r="AE65" s="4">
        <f>$C65*AC65</f>
        <v>20.748032756041471</v>
      </c>
      <c r="AF65" s="267">
        <f>$D65*AD65</f>
        <v>5.8599534264002271</v>
      </c>
      <c r="AG65" s="273">
        <f>SUM(AH65:AH68)</f>
        <v>18.978672159999999</v>
      </c>
      <c r="AH65" s="4">
        <f t="shared" ref="AH65:AI68" si="192">$F65*AH$64</f>
        <v>2.4684795080867104</v>
      </c>
      <c r="AI65" s="4">
        <f t="shared" si="192"/>
        <v>3.81880314525919</v>
      </c>
      <c r="AJ65" s="4">
        <f>$C65*AH65</f>
        <v>8.1459823766861437</v>
      </c>
      <c r="AK65" s="267">
        <f>$D65*AI65</f>
        <v>11.719906852800454</v>
      </c>
      <c r="AL65" s="273">
        <f>SUM(AM65:AM68)</f>
        <v>14.085254120000002</v>
      </c>
      <c r="AM65" s="4">
        <f t="shared" ref="AM65:AN68" si="193">$F65*AM$64</f>
        <v>1.8320123172101794</v>
      </c>
      <c r="AN65" s="4">
        <f t="shared" si="193"/>
        <v>4.4552703361357207</v>
      </c>
      <c r="AO65" s="4">
        <f>$C65*AM65</f>
        <v>6.0456406467935917</v>
      </c>
      <c r="AP65" s="267">
        <f>$D65*AN65</f>
        <v>13.673224661600527</v>
      </c>
      <c r="AQ65" s="273">
        <f>SUM(AR65:AR68)</f>
        <v>0</v>
      </c>
      <c r="AR65" s="4">
        <f t="shared" ref="AR65:AS68" si="194">$F65*AR$64</f>
        <v>0</v>
      </c>
      <c r="AS65" s="4">
        <f t="shared" si="194"/>
        <v>6.2872826533459003</v>
      </c>
      <c r="AT65" s="4">
        <f>$C65*AR65</f>
        <v>0</v>
      </c>
      <c r="AU65" s="267">
        <f>$D65*AS65</f>
        <v>19.295670463118569</v>
      </c>
    </row>
    <row r="66" spans="1:47" x14ac:dyDescent="0.4">
      <c r="A66" t="s">
        <v>15</v>
      </c>
      <c r="B66">
        <v>3</v>
      </c>
      <c r="C66" s="1">
        <v>3.3</v>
      </c>
      <c r="D66" s="1">
        <f t="shared" si="104"/>
        <v>3.069</v>
      </c>
      <c r="E66" s="4">
        <v>19777</v>
      </c>
      <c r="F66" s="6">
        <v>0.38833254791077598</v>
      </c>
      <c r="H66" s="4">
        <f>F66*H$64</f>
        <v>18.771677088650641</v>
      </c>
      <c r="I66" s="4">
        <f>$F66*I$64</f>
        <v>0</v>
      </c>
      <c r="J66" s="267">
        <f>C66*H66</f>
        <v>61.946534392547115</v>
      </c>
      <c r="K66" s="267">
        <f t="shared" si="130"/>
        <v>0</v>
      </c>
      <c r="L66" s="273"/>
      <c r="M66" s="4">
        <f t="shared" si="188"/>
        <v>18.771677088650641</v>
      </c>
      <c r="N66" s="4">
        <f t="shared" si="188"/>
        <v>0</v>
      </c>
      <c r="O66" s="4">
        <f>$C66*M66</f>
        <v>61.946534392547115</v>
      </c>
      <c r="P66" s="267">
        <f>$D66*N66</f>
        <v>0</v>
      </c>
      <c r="Q66" s="6">
        <f>E66/$A$67</f>
        <v>0.38833254791077598</v>
      </c>
      <c r="R66" s="273"/>
      <c r="S66" s="4">
        <f t="shared" si="189"/>
        <v>17.061430942731466</v>
      </c>
      <c r="T66" s="4">
        <f t="shared" si="189"/>
        <v>1.7102461459191802</v>
      </c>
      <c r="U66" s="4">
        <f>$C66*S66</f>
        <v>56.302722111013836</v>
      </c>
      <c r="V66" s="267">
        <f>$D66*T66</f>
        <v>5.2487454218259639</v>
      </c>
      <c r="W66" s="273"/>
      <c r="X66" s="4">
        <f t="shared" si="190"/>
        <v>15.921266845452008</v>
      </c>
      <c r="Y66" s="4">
        <f t="shared" si="190"/>
        <v>2.8504102431986333</v>
      </c>
      <c r="Z66" s="4">
        <f>$C66*X66</f>
        <v>52.540180589991621</v>
      </c>
      <c r="AA66" s="267">
        <f>$D66*Y66</f>
        <v>8.7479090363766048</v>
      </c>
      <c r="AB66" s="273"/>
      <c r="AC66" s="4">
        <f t="shared" si="191"/>
        <v>18.771677088650641</v>
      </c>
      <c r="AD66" s="4">
        <f t="shared" si="191"/>
        <v>5.7008204863972667</v>
      </c>
      <c r="AE66" s="4">
        <f>$C66*AC66</f>
        <v>61.946534392547115</v>
      </c>
      <c r="AF66" s="267">
        <f>$D66*AD66</f>
        <v>17.49581807275321</v>
      </c>
      <c r="AG66" s="273"/>
      <c r="AH66" s="4">
        <f t="shared" si="192"/>
        <v>7.3700361158561094</v>
      </c>
      <c r="AI66" s="4">
        <f t="shared" si="192"/>
        <v>11.401640972794533</v>
      </c>
      <c r="AJ66" s="4">
        <f>$C66*AH66</f>
        <v>24.321119182325159</v>
      </c>
      <c r="AK66" s="267">
        <f>$D66*AI66</f>
        <v>34.991636145506419</v>
      </c>
      <c r="AL66" s="273"/>
      <c r="AM66" s="4">
        <f t="shared" si="193"/>
        <v>5.4697626203903553</v>
      </c>
      <c r="AN66" s="4">
        <f t="shared" si="193"/>
        <v>13.301914468260286</v>
      </c>
      <c r="AO66" s="4">
        <f>$C66*AM66</f>
        <v>18.05021664728817</v>
      </c>
      <c r="AP66" s="267">
        <f>$D66*AN66</f>
        <v>40.823575503090815</v>
      </c>
      <c r="AQ66" s="273"/>
      <c r="AR66" s="4">
        <f t="shared" si="194"/>
        <v>0</v>
      </c>
      <c r="AS66" s="4">
        <f t="shared" si="194"/>
        <v>18.771677088650641</v>
      </c>
      <c r="AT66" s="4">
        <f>$C66*AR66</f>
        <v>0</v>
      </c>
      <c r="AU66" s="267">
        <f>$D66*AS66</f>
        <v>57.610276985068815</v>
      </c>
    </row>
    <row r="67" spans="1:47" x14ac:dyDescent="0.4">
      <c r="A67" s="5">
        <f>SUM(E65:E68)</f>
        <v>50928</v>
      </c>
      <c r="B67">
        <v>4</v>
      </c>
      <c r="C67" s="1">
        <v>5.7</v>
      </c>
      <c r="D67" s="1">
        <f t="shared" si="104"/>
        <v>5.3010000000000002</v>
      </c>
      <c r="E67" s="4">
        <v>15652</v>
      </c>
      <c r="F67" s="6">
        <v>0.30733584668551683</v>
      </c>
      <c r="H67" s="4">
        <f>F67*H$64</f>
        <v>14.856362936317939</v>
      </c>
      <c r="I67" s="4">
        <f>$F67*I$64</f>
        <v>0</v>
      </c>
      <c r="J67" s="267">
        <f>C67*H67</f>
        <v>84.68126873701226</v>
      </c>
      <c r="K67" s="267">
        <f t="shared" si="130"/>
        <v>0</v>
      </c>
      <c r="L67" s="273"/>
      <c r="M67" s="4">
        <f t="shared" si="188"/>
        <v>14.856362936317939</v>
      </c>
      <c r="N67" s="4">
        <f t="shared" si="188"/>
        <v>0</v>
      </c>
      <c r="O67" s="4">
        <f>$C67*M67</f>
        <v>84.68126873701226</v>
      </c>
      <c r="P67" s="267">
        <f>$D67*N67</f>
        <v>0</v>
      </c>
      <c r="Q67" s="6">
        <f>E67/$A$67</f>
        <v>0.30733584668551683</v>
      </c>
      <c r="R67" s="273"/>
      <c r="S67" s="4">
        <f t="shared" si="189"/>
        <v>13.502832437459316</v>
      </c>
      <c r="T67" s="4">
        <f t="shared" si="189"/>
        <v>1.3535304988586243</v>
      </c>
      <c r="U67" s="4">
        <f>$C67*S67</f>
        <v>76.966144893518106</v>
      </c>
      <c r="V67" s="267">
        <f>$D67*T67</f>
        <v>7.1750651744495677</v>
      </c>
      <c r="W67" s="273"/>
      <c r="X67" s="4">
        <f t="shared" si="190"/>
        <v>12.600478771553565</v>
      </c>
      <c r="Y67" s="4">
        <f t="shared" si="190"/>
        <v>2.2558841647643737</v>
      </c>
      <c r="Z67" s="4">
        <f>$C67*X67</f>
        <v>71.822728997855322</v>
      </c>
      <c r="AA67" s="267">
        <f>$D67*Y67</f>
        <v>11.958441957415946</v>
      </c>
      <c r="AB67" s="273"/>
      <c r="AC67" s="4">
        <f t="shared" si="191"/>
        <v>14.856362936317939</v>
      </c>
      <c r="AD67" s="4">
        <f t="shared" si="191"/>
        <v>4.5117683295287474</v>
      </c>
      <c r="AE67" s="4">
        <f>$C67*AC67</f>
        <v>84.68126873701226</v>
      </c>
      <c r="AF67" s="267">
        <f>$D67*AD67</f>
        <v>23.916883914831892</v>
      </c>
      <c r="AG67" s="273"/>
      <c r="AH67" s="4">
        <f t="shared" si="192"/>
        <v>5.8328262772604464</v>
      </c>
      <c r="AI67" s="4">
        <f t="shared" si="192"/>
        <v>9.0235366590574948</v>
      </c>
      <c r="AJ67" s="4">
        <f>$C67*AH67</f>
        <v>33.247109780384548</v>
      </c>
      <c r="AK67" s="267">
        <f>$D67*AI67</f>
        <v>47.833767829663785</v>
      </c>
      <c r="AL67" s="273"/>
      <c r="AM67" s="4">
        <f t="shared" si="193"/>
        <v>4.3289035007508652</v>
      </c>
      <c r="AN67" s="4">
        <f t="shared" si="193"/>
        <v>10.527459435567074</v>
      </c>
      <c r="AO67" s="4">
        <f>$C67*AM67</f>
        <v>24.674749954279932</v>
      </c>
      <c r="AP67" s="267">
        <f>$D67*AN67</f>
        <v>55.806062467941061</v>
      </c>
      <c r="AQ67" s="273"/>
      <c r="AR67" s="4">
        <f t="shared" si="194"/>
        <v>0</v>
      </c>
      <c r="AS67" s="4">
        <f t="shared" si="194"/>
        <v>14.856362936317939</v>
      </c>
      <c r="AT67" s="4">
        <f>$C67*AR67</f>
        <v>0</v>
      </c>
      <c r="AU67" s="267">
        <f>$D67*AS67</f>
        <v>78.753579925421406</v>
      </c>
    </row>
    <row r="68" spans="1:47" x14ac:dyDescent="0.4">
      <c r="A68" s="237">
        <f>A67/$E$75</f>
        <v>3.366911211996803E-2</v>
      </c>
      <c r="B68">
        <v>5</v>
      </c>
      <c r="C68" s="1">
        <v>5.8</v>
      </c>
      <c r="D68" s="1">
        <f t="shared" ref="D68:D73" si="195">C68*$D$1</f>
        <v>5.3940000000000001</v>
      </c>
      <c r="E68" s="4">
        <v>8875</v>
      </c>
      <c r="F68" s="6">
        <v>0.174265629908891</v>
      </c>
      <c r="H68" s="4">
        <f>F68*H$64</f>
        <v>8.4238577216855166</v>
      </c>
      <c r="I68" s="4">
        <f>$F68*I$64</f>
        <v>0</v>
      </c>
      <c r="J68" s="267">
        <f>C68*H68</f>
        <v>48.858374785775993</v>
      </c>
      <c r="K68" s="267">
        <f t="shared" si="130"/>
        <v>0</v>
      </c>
      <c r="L68" s="273"/>
      <c r="M68" s="4">
        <f t="shared" si="188"/>
        <v>8.4238577216855166</v>
      </c>
      <c r="N68" s="4">
        <f t="shared" si="188"/>
        <v>0</v>
      </c>
      <c r="O68" s="4">
        <f>$C68*M68</f>
        <v>48.858374785775993</v>
      </c>
      <c r="P68" s="267">
        <f>$D68*N68</f>
        <v>0</v>
      </c>
      <c r="Q68" s="6">
        <f>E68/$A$67</f>
        <v>0.174265629908891</v>
      </c>
      <c r="R68" s="273"/>
      <c r="S68" s="4">
        <f t="shared" si="189"/>
        <v>7.6563786022522002</v>
      </c>
      <c r="T68" s="4">
        <f t="shared" si="189"/>
        <v>0.76747911943331781</v>
      </c>
      <c r="U68" s="4">
        <f>$C68*S68</f>
        <v>44.406995893062764</v>
      </c>
      <c r="V68" s="267">
        <f>$D68*T68</f>
        <v>4.1397823702233163</v>
      </c>
      <c r="W68" s="273"/>
      <c r="X68" s="4">
        <f t="shared" si="190"/>
        <v>7.1447258559633209</v>
      </c>
      <c r="Y68" s="4">
        <f t="shared" si="190"/>
        <v>1.2791318657221962</v>
      </c>
      <c r="Z68" s="4">
        <f>$C68*X68</f>
        <v>41.439409964587263</v>
      </c>
      <c r="AA68" s="267">
        <f>$D68*Y68</f>
        <v>6.899637283705526</v>
      </c>
      <c r="AB68" s="273"/>
      <c r="AC68" s="4">
        <f t="shared" si="191"/>
        <v>8.4238577216855166</v>
      </c>
      <c r="AD68" s="4">
        <f t="shared" si="191"/>
        <v>2.5582637314443923</v>
      </c>
      <c r="AE68" s="4">
        <f>$C68*AC68</f>
        <v>48.858374785775993</v>
      </c>
      <c r="AF68" s="267">
        <f>$D68*AD68</f>
        <v>13.799274567411052</v>
      </c>
      <c r="AG68" s="273"/>
      <c r="AH68" s="4">
        <f t="shared" si="192"/>
        <v>3.3073302587967328</v>
      </c>
      <c r="AI68" s="4">
        <f t="shared" si="192"/>
        <v>5.1165274628887847</v>
      </c>
      <c r="AJ68" s="4">
        <f>$C68*AH68</f>
        <v>19.182515501021051</v>
      </c>
      <c r="AK68" s="267">
        <f>$D68*AI68</f>
        <v>27.598549134822104</v>
      </c>
      <c r="AL68" s="273"/>
      <c r="AM68" s="4">
        <f t="shared" si="193"/>
        <v>2.4545756816486026</v>
      </c>
      <c r="AN68" s="4">
        <f t="shared" si="193"/>
        <v>5.969282040036914</v>
      </c>
      <c r="AO68" s="4">
        <f>$C68*AM68</f>
        <v>14.236538953561896</v>
      </c>
      <c r="AP68" s="267">
        <f>$D68*AN68</f>
        <v>32.198307323959114</v>
      </c>
      <c r="AQ68" s="273"/>
      <c r="AR68" s="4">
        <f t="shared" si="194"/>
        <v>0</v>
      </c>
      <c r="AS68" s="4">
        <f t="shared" si="194"/>
        <v>8.4238577216855166</v>
      </c>
      <c r="AT68" s="4">
        <f>$C68*AR68</f>
        <v>0</v>
      </c>
      <c r="AU68" s="267">
        <f>$D68*AS68</f>
        <v>45.438288550771681</v>
      </c>
    </row>
    <row r="69" spans="1:47" x14ac:dyDescent="0.4">
      <c r="A69" s="237"/>
      <c r="D69" s="1">
        <f t="shared" si="195"/>
        <v>0</v>
      </c>
      <c r="F69" s="6"/>
      <c r="G69" s="4">
        <f>機器台数４!D37</f>
        <v>4.2652218</v>
      </c>
      <c r="H69" s="4">
        <f>G69*(1-G$3)</f>
        <v>4.2652218</v>
      </c>
      <c r="I69" s="4">
        <f>G69*G$3</f>
        <v>0</v>
      </c>
      <c r="J69" s="4">
        <f>SUM(J70:J73)</f>
        <v>24.945318341192117</v>
      </c>
      <c r="K69" s="267">
        <f t="shared" si="130"/>
        <v>0</v>
      </c>
      <c r="L69" s="273">
        <f>機器台数４!F37</f>
        <v>4.2652218</v>
      </c>
      <c r="M69" s="4">
        <f>L69*(1-L$3)</f>
        <v>4.2652218</v>
      </c>
      <c r="N69" s="4">
        <f>L69*L$3</f>
        <v>0</v>
      </c>
      <c r="O69" s="4">
        <f>SUM(O70:O73)</f>
        <v>24.945318341192117</v>
      </c>
      <c r="P69" s="4">
        <f>SUM(P70:P73)</f>
        <v>0</v>
      </c>
      <c r="Q69" s="6"/>
      <c r="R69" s="273">
        <f>機器台数４!H37</f>
        <v>3.876626838</v>
      </c>
      <c r="S69" s="4">
        <f>R69*(1-R$3)</f>
        <v>3.876626838</v>
      </c>
      <c r="T69" s="4">
        <f>機器台数４!H47</f>
        <v>0.38859496200000004</v>
      </c>
      <c r="U69" s="4">
        <f>SUM(U70:U73)</f>
        <v>22.672605341161624</v>
      </c>
      <c r="V69" s="4">
        <f>SUM(V70:V73)</f>
        <v>2.1136230900283572</v>
      </c>
      <c r="W69" s="273">
        <f>機器台数４!J37</f>
        <v>3.6175635299999995</v>
      </c>
      <c r="X69" s="4">
        <f>W69*(1-W$3)</f>
        <v>3.6175635299999995</v>
      </c>
      <c r="Y69" s="4">
        <f>機器台数４!J47</f>
        <v>0.64765826999999998</v>
      </c>
      <c r="Z69" s="4">
        <f>SUM(Z70:Z73)</f>
        <v>21.157463341141295</v>
      </c>
      <c r="AA69" s="4">
        <f>SUM(AA70:AA73)</f>
        <v>3.5227051500472619</v>
      </c>
      <c r="AB69" s="273">
        <f>機器台数４!L37+機器台数４!L47</f>
        <v>5.5605383399999999</v>
      </c>
      <c r="AC69" s="4">
        <f>機器台数４!L37</f>
        <v>4.2652218</v>
      </c>
      <c r="AD69" s="4">
        <f>機器台数４!L47</f>
        <v>1.29531654</v>
      </c>
      <c r="AE69" s="4">
        <f>SUM(AE70:AE73)</f>
        <v>24.945318341192117</v>
      </c>
      <c r="AF69" s="4">
        <f>SUM(AF70:AF73)</f>
        <v>7.0454103000945238</v>
      </c>
      <c r="AG69" s="273">
        <f>機器台数４!N37</f>
        <v>1.6745887199999996</v>
      </c>
      <c r="AH69" s="4">
        <f>機器台数４!N37</f>
        <v>1.6745887199999996</v>
      </c>
      <c r="AI69" s="4">
        <f>機器台数４!N47</f>
        <v>2.5906330799999999</v>
      </c>
      <c r="AJ69" s="4">
        <f>SUM(AJ70:AJ73)</f>
        <v>9.7938983409888358</v>
      </c>
      <c r="AK69" s="4">
        <f>SUM(AK70:AK73)</f>
        <v>14.090820600189048</v>
      </c>
      <c r="AL69" s="273">
        <f>機器台数４!S37</f>
        <v>3.0000000000000001E-3</v>
      </c>
      <c r="AM69" s="4">
        <f>機器台数４!P37</f>
        <v>1.2428165400000002</v>
      </c>
      <c r="AN69" s="4">
        <f>機器台数４!P47</f>
        <v>3.0224052599999993</v>
      </c>
      <c r="AO69" s="4">
        <f>SUM(AO70:AO73)</f>
        <v>7.2686616742882935</v>
      </c>
      <c r="AP69" s="4">
        <f>SUM(AP70:AP73)</f>
        <v>16.439290700220553</v>
      </c>
      <c r="AQ69" s="273">
        <f>機器台数４!X37</f>
        <v>0</v>
      </c>
      <c r="AR69" s="4">
        <f>機器台数４!R37</f>
        <v>0</v>
      </c>
      <c r="AS69" s="4">
        <f>機器台数４!R47</f>
        <v>4.2652218</v>
      </c>
      <c r="AT69" s="4">
        <f>SUM(AT70:AT73)</f>
        <v>0</v>
      </c>
      <c r="AU69" s="4">
        <f>SUM(AU70:AU73)</f>
        <v>23.199146057308671</v>
      </c>
    </row>
    <row r="70" spans="1:47" x14ac:dyDescent="0.4">
      <c r="A70" t="s">
        <v>16</v>
      </c>
      <c r="B70">
        <v>2</v>
      </c>
      <c r="C70" s="1">
        <v>4.3</v>
      </c>
      <c r="D70" s="1">
        <f t="shared" si="195"/>
        <v>3.9990000000000001</v>
      </c>
      <c r="E70" s="4">
        <v>700</v>
      </c>
      <c r="F70" s="6">
        <v>0.16623129897886488</v>
      </c>
      <c r="H70" s="4">
        <f>F70*H$69</f>
        <v>0.70901336024697226</v>
      </c>
      <c r="I70" s="4">
        <f>$F70*I$69</f>
        <v>0</v>
      </c>
      <c r="J70" s="267">
        <f>C70*H70</f>
        <v>3.0487574490619807</v>
      </c>
      <c r="K70" s="267">
        <f t="shared" si="130"/>
        <v>0</v>
      </c>
      <c r="L70" s="273">
        <f>SUM(M70:M73)</f>
        <v>4.2652218</v>
      </c>
      <c r="M70" s="4">
        <f t="shared" ref="M70:N73" si="196">$F70*M$69</f>
        <v>0.70901336024697226</v>
      </c>
      <c r="N70" s="4">
        <f t="shared" si="196"/>
        <v>0</v>
      </c>
      <c r="O70" s="4">
        <f>$C70*M70</f>
        <v>3.0487574490619807</v>
      </c>
      <c r="P70" s="267">
        <f>$D70*N70</f>
        <v>0</v>
      </c>
      <c r="Q70" s="6">
        <f>E70/$A$71</f>
        <v>0.16623129897886488</v>
      </c>
      <c r="R70" s="273">
        <f>SUM(S70:S73)</f>
        <v>3.876626838</v>
      </c>
      <c r="S70" s="4">
        <f t="shared" ref="S70:T73" si="197">$F70*S$69</f>
        <v>0.64441671493706953</v>
      </c>
      <c r="T70" s="4">
        <f t="shared" si="197"/>
        <v>6.4596645309902639E-2</v>
      </c>
      <c r="U70" s="4">
        <f>$C70*S70</f>
        <v>2.7709918742293991</v>
      </c>
      <c r="V70" s="267">
        <f>$D70*T70</f>
        <v>0.25832198459430067</v>
      </c>
      <c r="W70" s="273">
        <f>SUM(X70:X73)</f>
        <v>3.6175635299999995</v>
      </c>
      <c r="X70" s="4">
        <f t="shared" ref="X70:Y73" si="198">$F70*X$69</f>
        <v>0.60135228473046776</v>
      </c>
      <c r="Y70" s="4">
        <f t="shared" si="198"/>
        <v>0.10766107551650439</v>
      </c>
      <c r="Z70" s="4">
        <f>$C70*X70</f>
        <v>2.5858148243410111</v>
      </c>
      <c r="AA70" s="267">
        <f>$D70*Y70</f>
        <v>0.43053664099050104</v>
      </c>
      <c r="AB70" s="273">
        <f>SUM(AC70:AC73)</f>
        <v>4.2652218</v>
      </c>
      <c r="AC70" s="4">
        <f t="shared" ref="AC70:AD73" si="199">$F70*AC$69</f>
        <v>0.70901336024697226</v>
      </c>
      <c r="AD70" s="4">
        <f t="shared" si="199"/>
        <v>0.21532215103300878</v>
      </c>
      <c r="AE70" s="4">
        <f>$C70*AC70</f>
        <v>3.0487574490619807</v>
      </c>
      <c r="AF70" s="267">
        <f>$D70*AD70</f>
        <v>0.86107328198100208</v>
      </c>
      <c r="AG70" s="273">
        <f>SUM(AH70:AH73)</f>
        <v>1.6745887199999996</v>
      </c>
      <c r="AH70" s="4">
        <f t="shared" ref="AH70:AI73" si="200">$F70*AH$69</f>
        <v>0.27836905818095459</v>
      </c>
      <c r="AI70" s="4">
        <f t="shared" si="200"/>
        <v>0.43064430206601756</v>
      </c>
      <c r="AJ70" s="4">
        <f>$C70*AH70</f>
        <v>1.1969869501781047</v>
      </c>
      <c r="AK70" s="267">
        <f>$D70*AI70</f>
        <v>1.7221465639620042</v>
      </c>
      <c r="AL70" s="273">
        <f>SUM(AM70:AM73)</f>
        <v>1.2428165400000002</v>
      </c>
      <c r="AM70" s="4">
        <f t="shared" ref="AM70:AN73" si="201">$F70*AM$69</f>
        <v>0.20659500783661841</v>
      </c>
      <c r="AN70" s="4">
        <f t="shared" si="201"/>
        <v>0.50241835241035371</v>
      </c>
      <c r="AO70" s="4">
        <f>$C70*AM70</f>
        <v>0.8883585336974591</v>
      </c>
      <c r="AP70" s="267">
        <f>$D70*AN70</f>
        <v>2.0091709912890043</v>
      </c>
      <c r="AQ70" s="273">
        <f>SUM(AR70:AR73)</f>
        <v>0</v>
      </c>
      <c r="AR70" s="4">
        <f t="shared" ref="AR70:AS73" si="202">$F70*AR$69</f>
        <v>0</v>
      </c>
      <c r="AS70" s="4">
        <f t="shared" si="202"/>
        <v>0.70901336024697226</v>
      </c>
      <c r="AT70" s="4">
        <f>$C70*AR70</f>
        <v>0</v>
      </c>
      <c r="AU70" s="267">
        <f>$D70*AS70</f>
        <v>2.8353444276276423</v>
      </c>
    </row>
    <row r="71" spans="1:47" x14ac:dyDescent="0.4">
      <c r="A71" s="5">
        <f>SUM(E70:E73)</f>
        <v>4211</v>
      </c>
      <c r="B71">
        <v>3</v>
      </c>
      <c r="C71" s="1">
        <v>4.4000000000000004</v>
      </c>
      <c r="D71" s="1">
        <f t="shared" si="195"/>
        <v>4.0920000000000005</v>
      </c>
      <c r="E71" s="4">
        <v>1138</v>
      </c>
      <c r="F71" s="6">
        <v>0.27024459748278318</v>
      </c>
      <c r="H71" s="4">
        <f>F71*H$69</f>
        <v>1.1526531485157918</v>
      </c>
      <c r="I71" s="4">
        <f>$F71*I$69</f>
        <v>0</v>
      </c>
      <c r="J71" s="267">
        <f>C71*H71</f>
        <v>5.0716738534694841</v>
      </c>
      <c r="K71" s="267">
        <f t="shared" si="130"/>
        <v>0</v>
      </c>
      <c r="L71" s="273"/>
      <c r="M71" s="4">
        <f t="shared" si="196"/>
        <v>1.1526531485157918</v>
      </c>
      <c r="N71" s="4">
        <f t="shared" si="196"/>
        <v>0</v>
      </c>
      <c r="O71" s="4">
        <f>$C71*M71</f>
        <v>5.0716738534694841</v>
      </c>
      <c r="P71" s="267">
        <f>$D71*N71</f>
        <v>0</v>
      </c>
      <c r="Q71" s="6">
        <f>E71/$A$71</f>
        <v>0.27024459748278318</v>
      </c>
      <c r="R71" s="273"/>
      <c r="S71" s="4">
        <f t="shared" si="197"/>
        <v>1.0476374594262645</v>
      </c>
      <c r="T71" s="4">
        <f t="shared" si="197"/>
        <v>0.10501568908952744</v>
      </c>
      <c r="U71" s="4">
        <f>$C71*S71</f>
        <v>4.6096048214755641</v>
      </c>
      <c r="V71" s="267">
        <f>$D71*T71</f>
        <v>0.42972419975434634</v>
      </c>
      <c r="W71" s="273"/>
      <c r="X71" s="4">
        <f t="shared" si="198"/>
        <v>0.9776270000332461</v>
      </c>
      <c r="Y71" s="4">
        <f t="shared" si="198"/>
        <v>0.17502614848254569</v>
      </c>
      <c r="Z71" s="4">
        <f>$C71*X71</f>
        <v>4.3015588001462834</v>
      </c>
      <c r="AA71" s="267">
        <f>$D71*Y71</f>
        <v>0.7162069995905771</v>
      </c>
      <c r="AB71" s="273"/>
      <c r="AC71" s="4">
        <f t="shared" si="199"/>
        <v>1.1526531485157918</v>
      </c>
      <c r="AD71" s="4">
        <f t="shared" si="199"/>
        <v>0.35005229696509138</v>
      </c>
      <c r="AE71" s="4">
        <f>$C71*AC71</f>
        <v>5.0716738534694841</v>
      </c>
      <c r="AF71" s="267">
        <f>$D71*AD71</f>
        <v>1.4324139991811542</v>
      </c>
      <c r="AG71" s="273"/>
      <c r="AH71" s="4">
        <f t="shared" si="200"/>
        <v>0.452548554585609</v>
      </c>
      <c r="AI71" s="4">
        <f t="shared" si="200"/>
        <v>0.70010459393018276</v>
      </c>
      <c r="AJ71" s="4">
        <f>$C71*AH71</f>
        <v>1.9912136401766798</v>
      </c>
      <c r="AK71" s="267">
        <f>$D71*AI71</f>
        <v>2.8648279983623084</v>
      </c>
      <c r="AL71" s="273"/>
      <c r="AM71" s="4">
        <f t="shared" si="201"/>
        <v>0.33586445559724537</v>
      </c>
      <c r="AN71" s="4">
        <f t="shared" si="201"/>
        <v>0.8167886929185465</v>
      </c>
      <c r="AO71" s="4">
        <f>$C71*AM71</f>
        <v>1.4778036046278797</v>
      </c>
      <c r="AP71" s="267">
        <f>$D71*AN71</f>
        <v>3.3422993314226925</v>
      </c>
      <c r="AQ71" s="273"/>
      <c r="AR71" s="4">
        <f t="shared" si="202"/>
        <v>0</v>
      </c>
      <c r="AS71" s="4">
        <f t="shared" si="202"/>
        <v>1.1526531485157918</v>
      </c>
      <c r="AT71" s="4">
        <f>$C71*AR71</f>
        <v>0</v>
      </c>
      <c r="AU71" s="267">
        <f>$D71*AS71</f>
        <v>4.7166566837266206</v>
      </c>
    </row>
    <row r="72" spans="1:47" x14ac:dyDescent="0.4">
      <c r="A72" s="237">
        <f>A71/$E$75</f>
        <v>2.7839426472114626E-3</v>
      </c>
      <c r="B72">
        <v>4</v>
      </c>
      <c r="C72" s="1">
        <v>7</v>
      </c>
      <c r="D72" s="1">
        <f t="shared" si="195"/>
        <v>6.5100000000000007</v>
      </c>
      <c r="E72" s="4">
        <v>1229</v>
      </c>
      <c r="F72" s="6">
        <v>0.2918546663500356</v>
      </c>
      <c r="H72" s="4">
        <f>F72*H$69</f>
        <v>1.2448248853478983</v>
      </c>
      <c r="I72" s="4">
        <f>$F72*I$69</f>
        <v>0</v>
      </c>
      <c r="J72" s="267">
        <f>C72*H72</f>
        <v>8.7137741974352885</v>
      </c>
      <c r="K72" s="267">
        <f t="shared" si="130"/>
        <v>0</v>
      </c>
      <c r="L72" s="273"/>
      <c r="M72" s="4">
        <f t="shared" si="196"/>
        <v>1.2448248853478983</v>
      </c>
      <c r="N72" s="4">
        <f t="shared" si="196"/>
        <v>0</v>
      </c>
      <c r="O72" s="4">
        <f>$C72*M72</f>
        <v>8.7137741974352885</v>
      </c>
      <c r="P72" s="267">
        <f>$D72*N72</f>
        <v>0</v>
      </c>
      <c r="Q72" s="6">
        <f>E72/$A$71</f>
        <v>0.2918546663500356</v>
      </c>
      <c r="R72" s="273"/>
      <c r="S72" s="4">
        <f t="shared" si="197"/>
        <v>1.1314116323680834</v>
      </c>
      <c r="T72" s="4">
        <f t="shared" si="197"/>
        <v>0.11341325297981478</v>
      </c>
      <c r="U72" s="4">
        <f>$C72*S72</f>
        <v>7.919881426576584</v>
      </c>
      <c r="V72" s="267">
        <f>$D72*T72</f>
        <v>0.73832027689859425</v>
      </c>
      <c r="W72" s="273"/>
      <c r="X72" s="4">
        <f t="shared" si="198"/>
        <v>1.0558027970482069</v>
      </c>
      <c r="Y72" s="4">
        <f t="shared" si="198"/>
        <v>0.18902208829969128</v>
      </c>
      <c r="Z72" s="4">
        <f>$C72*X72</f>
        <v>7.3906195793374483</v>
      </c>
      <c r="AA72" s="267">
        <f>$D72*Y72</f>
        <v>1.2305337948309902</v>
      </c>
      <c r="AB72" s="273"/>
      <c r="AC72" s="4">
        <f t="shared" si="199"/>
        <v>1.2448248853478983</v>
      </c>
      <c r="AD72" s="4">
        <f t="shared" si="199"/>
        <v>0.37804417659938255</v>
      </c>
      <c r="AE72" s="4">
        <f>$C72*AC72</f>
        <v>8.7137741974352885</v>
      </c>
      <c r="AF72" s="267">
        <f>$D72*AD72</f>
        <v>2.4610675896619805</v>
      </c>
      <c r="AG72" s="273"/>
      <c r="AH72" s="4">
        <f t="shared" si="200"/>
        <v>0.48873653214913304</v>
      </c>
      <c r="AI72" s="4">
        <f t="shared" si="200"/>
        <v>0.75608835319876511</v>
      </c>
      <c r="AJ72" s="4">
        <f>$C72*AH72</f>
        <v>3.4211557250439313</v>
      </c>
      <c r="AK72" s="267">
        <f>$D72*AI72</f>
        <v>4.9221351793239609</v>
      </c>
      <c r="AL72" s="273"/>
      <c r="AM72" s="4">
        <f t="shared" si="201"/>
        <v>0.36272180661600573</v>
      </c>
      <c r="AN72" s="4">
        <f t="shared" si="201"/>
        <v>0.88210307873189242</v>
      </c>
      <c r="AO72" s="4">
        <f>$C72*AM72</f>
        <v>2.5390526463120402</v>
      </c>
      <c r="AP72" s="267">
        <f>$D72*AN72</f>
        <v>5.7424910425446205</v>
      </c>
      <c r="AQ72" s="273"/>
      <c r="AR72" s="4">
        <f t="shared" si="202"/>
        <v>0</v>
      </c>
      <c r="AS72" s="4">
        <f t="shared" si="202"/>
        <v>1.2448248853478983</v>
      </c>
      <c r="AT72" s="4">
        <f>$C72*AR72</f>
        <v>0</v>
      </c>
      <c r="AU72" s="267">
        <f>$D72*AS72</f>
        <v>8.103810003614818</v>
      </c>
    </row>
    <row r="73" spans="1:47" x14ac:dyDescent="0.4">
      <c r="B73">
        <v>5</v>
      </c>
      <c r="C73" s="1">
        <v>7</v>
      </c>
      <c r="D73" s="1">
        <f t="shared" si="195"/>
        <v>6.5100000000000007</v>
      </c>
      <c r="E73" s="4">
        <v>1144</v>
      </c>
      <c r="F73" s="6">
        <v>0.27166943718831632</v>
      </c>
      <c r="H73" s="4">
        <f>F73*H$69</f>
        <v>1.1587304058893375</v>
      </c>
      <c r="I73" s="4">
        <f>$F73*I$69</f>
        <v>0</v>
      </c>
      <c r="J73" s="267">
        <f>C73*H73</f>
        <v>8.1111128412253635</v>
      </c>
      <c r="K73" s="267">
        <f t="shared" si="130"/>
        <v>0</v>
      </c>
      <c r="L73" s="273"/>
      <c r="M73" s="4">
        <f t="shared" si="196"/>
        <v>1.1587304058893375</v>
      </c>
      <c r="N73" s="4">
        <f t="shared" si="196"/>
        <v>0</v>
      </c>
      <c r="O73" s="4">
        <f>$C73*M73</f>
        <v>8.1111128412253635</v>
      </c>
      <c r="P73" s="267">
        <f>$D73*N73</f>
        <v>0</v>
      </c>
      <c r="Q73" s="6">
        <f>E73/$A$71</f>
        <v>0.27166943718831632</v>
      </c>
      <c r="R73" s="273"/>
      <c r="S73" s="4">
        <f t="shared" si="197"/>
        <v>1.0531610312685824</v>
      </c>
      <c r="T73" s="4">
        <f t="shared" si="197"/>
        <v>0.10556937462075518</v>
      </c>
      <c r="U73" s="4">
        <f>$C73*S73</f>
        <v>7.3721272188800766</v>
      </c>
      <c r="V73" s="267">
        <f>$D73*T73</f>
        <v>0.68725662878111626</v>
      </c>
      <c r="W73" s="273"/>
      <c r="X73" s="4">
        <f t="shared" si="198"/>
        <v>0.98278144818807878</v>
      </c>
      <c r="Y73" s="4">
        <f t="shared" si="198"/>
        <v>0.1759489577012586</v>
      </c>
      <c r="Z73" s="4">
        <f>$C73*X73</f>
        <v>6.8794701373165514</v>
      </c>
      <c r="AA73" s="267">
        <f>$D73*Y73</f>
        <v>1.1454277146351937</v>
      </c>
      <c r="AB73" s="273"/>
      <c r="AC73" s="4">
        <f t="shared" si="199"/>
        <v>1.1587304058893375</v>
      </c>
      <c r="AD73" s="4">
        <f t="shared" si="199"/>
        <v>0.35189791540251719</v>
      </c>
      <c r="AE73" s="4">
        <f>$C73*AC73</f>
        <v>8.1111128412253635</v>
      </c>
      <c r="AF73" s="267">
        <f>$D73*AD73</f>
        <v>2.2908554292703873</v>
      </c>
      <c r="AG73" s="273"/>
      <c r="AH73" s="4">
        <f t="shared" si="200"/>
        <v>0.45493457508430291</v>
      </c>
      <c r="AI73" s="4">
        <f t="shared" si="200"/>
        <v>0.70379583080503438</v>
      </c>
      <c r="AJ73" s="4">
        <f>$C73*AH73</f>
        <v>3.1845420255901202</v>
      </c>
      <c r="AK73" s="267">
        <f>$D73*AI73</f>
        <v>4.5817108585407746</v>
      </c>
      <c r="AL73" s="273"/>
      <c r="AM73" s="4">
        <f t="shared" si="201"/>
        <v>0.33763526995013066</v>
      </c>
      <c r="AN73" s="4">
        <f t="shared" si="201"/>
        <v>0.82109513593920669</v>
      </c>
      <c r="AO73" s="4">
        <f>$C73*AM73</f>
        <v>2.3634468896509144</v>
      </c>
      <c r="AP73" s="267">
        <f>$D73*AN73</f>
        <v>5.3453293349642363</v>
      </c>
      <c r="AQ73" s="273"/>
      <c r="AR73" s="4">
        <f t="shared" si="202"/>
        <v>0</v>
      </c>
      <c r="AS73" s="4">
        <f t="shared" si="202"/>
        <v>1.1587304058893375</v>
      </c>
      <c r="AT73" s="4">
        <f>$C73*AR73</f>
        <v>0</v>
      </c>
      <c r="AU73" s="267">
        <f>$D73*AS73</f>
        <v>7.5433349423395883</v>
      </c>
    </row>
    <row r="74" spans="1:47" x14ac:dyDescent="0.4">
      <c r="A74" t="s">
        <v>20</v>
      </c>
      <c r="D74" s="1">
        <f>C74*0.85</f>
        <v>0</v>
      </c>
      <c r="E74" s="4">
        <f>SUM(E4:E73)</f>
        <v>1812603</v>
      </c>
      <c r="F74" s="6">
        <v>1</v>
      </c>
      <c r="H74" s="267">
        <f>SUM(H3,H11,H19,H27,H35,H43,H48,H56,H64,H69)</f>
        <v>1439.2406000000001</v>
      </c>
      <c r="I74" s="267">
        <f>SUM(I3,I12,I19,I27,I35,I43,I48,I56,I64,I69)</f>
        <v>0</v>
      </c>
      <c r="J74" s="267">
        <f>SUM(J3,J11,J19,J27,J35,J43,J48,J56,J64,J69)</f>
        <v>4115.246467847187</v>
      </c>
      <c r="K74" s="267">
        <f>SUM(K3,K11,K19,K27,K35,K43,K48,K56,K64,K69)</f>
        <v>0</v>
      </c>
      <c r="L74" s="273"/>
      <c r="M74" s="267">
        <f>SUM(M3,M11,M19,M27,M35,M43,M48,M56,M64,M69)</f>
        <v>1439.2406000000001</v>
      </c>
      <c r="N74" s="267">
        <f>SUM(N3,N12,N19,N27,N35,N43,N48,N56,N64,N69)</f>
        <v>0</v>
      </c>
      <c r="O74" s="4">
        <f>SUM(O3,O11,O19,O27,O35,O43,O48,O56,O64,O69)</f>
        <v>4115.246467847187</v>
      </c>
      <c r="P74" s="267">
        <f>SUM(P3,P11,P19,P27,P35,P43,P48,P56,P64,P69)</f>
        <v>0</v>
      </c>
      <c r="Q74" s="6">
        <f>E74/$E$74</f>
        <v>1</v>
      </c>
      <c r="R74" s="273"/>
      <c r="S74" s="267">
        <f>SUM(S3,S11,S19,S27,S35,S43,S48,S56,S64,S69)</f>
        <v>1307.958946</v>
      </c>
      <c r="T74" s="267">
        <f>SUM(T3,T12,T19,T27,T35,T43,T48,T56,T64,T69)</f>
        <v>123.50759512567723</v>
      </c>
      <c r="U74" s="4">
        <f>SUM(U3,U11,U19,U27,U35,U43,U48,U56,U64,U69)</f>
        <v>3739.8971387388078</v>
      </c>
      <c r="V74" s="267">
        <f>SUM(V3,V11,V19,V27,V35,V43,V48,V56,V64,V69)</f>
        <v>349.07487607079236</v>
      </c>
      <c r="W74" s="273"/>
      <c r="X74" s="267">
        <f>SUM(X3,X11,X19,X27,X35,X43,X48,X56,X64,X69)</f>
        <v>1219.8545100000001</v>
      </c>
      <c r="Y74" s="267">
        <f>SUM(Y3,Y12,Y19,Y27,Y35,Y43,Y48,Y56,Y64,Y69)</f>
        <v>206.42932520946206</v>
      </c>
      <c r="Z74" s="4">
        <f>SUM(Z3,Z11,Z19,Z27,Z35,Z43,Z48,Z56,Z64,Z69)</f>
        <v>3488.0962526665558</v>
      </c>
      <c r="AA74" s="267">
        <f>SUM(AA3,AA11,AA19,AA27,AA35,AA43,AA48,AA56,AA64,AA69)</f>
        <v>583.24970011798735</v>
      </c>
      <c r="AB74" s="273"/>
      <c r="AC74" s="267">
        <f>SUM(AC3,AC11,AC19,AC27,AC35,AC43,AC48,AC56,AC64,AC69)</f>
        <v>1139.06728978</v>
      </c>
      <c r="AD74" s="267">
        <f>SUM(AD3,AD11,AD19,AD27,AD35,AD43,AD48,AD56,AD64,AD69)</f>
        <v>438.77217999999999</v>
      </c>
      <c r="AE74" s="4">
        <f>SUM(AE3,AE11,AE19,AE27,AE35,AE43,AE48,AE56,AE64,AE69)</f>
        <v>3322.6097490817856</v>
      </c>
      <c r="AF74" s="267">
        <f>SUM(AF3,AF11,AF19,AF27,AF35,AF43,AF48,AF56,AF64,AF69)</f>
        <v>1166.4994002359747</v>
      </c>
      <c r="AG74" s="273"/>
      <c r="AH74" s="267">
        <f>SUM(AH3,AH11,AH19,AH27,AH35,AH43,AH48,AH56,AH64,AH69)</f>
        <v>565.19623999999988</v>
      </c>
      <c r="AI74" s="267">
        <f>SUM(AI3,AI11,AI19,AI27,AI35,AI43,AI48,AI56,AI64,AI69)</f>
        <v>874.04435999999998</v>
      </c>
      <c r="AJ74" s="4">
        <f>SUM(AJ3,AJ11,AJ19,AJ27,AJ35,AJ43,AJ48,AJ56,AJ64,AJ69)</f>
        <v>1616.0536071246611</v>
      </c>
      <c r="AK74" s="267">
        <f>SUM(AK3,AK11,AK19,AK27,AK35,AK43,AK48,AK56,AK64,AK69)</f>
        <v>2324.2493604719493</v>
      </c>
      <c r="AL74" s="273"/>
      <c r="AM74" s="267">
        <f>SUM(AM3,AM11,AM19,AM27,AM35,AM43,AM48,AM56,AM64,AM69)</f>
        <v>417.77218000000005</v>
      </c>
      <c r="AN74" s="267">
        <f>SUM(AN3,AN11,AN19,AN27,AN35,AN43,AN48,AN56,AN64,AN69)</f>
        <v>1021.4684199999997</v>
      </c>
      <c r="AO74" s="4">
        <f>SUM(AO3,AO11,AO19,AO27,AO35,AO43,AO48,AO56,AO64,AO69)</f>
        <v>1194.8174636709075</v>
      </c>
      <c r="AP74" s="267">
        <f>SUM(AP3,AP11,AP19,AP27,AP35,AP43,AP48,AP56,AP64,AP69)</f>
        <v>2715.9989738839399</v>
      </c>
      <c r="AQ74" s="273"/>
      <c r="AR74" s="267">
        <f>SUM(AR3,AR11,AR19,AR27,AR35,AR43,AR48,AR56,AR64,AR69)</f>
        <v>0</v>
      </c>
      <c r="AS74" s="267">
        <f>SUM(AS3,AS11,AS19,AS27,AS35,AS43,AS48,AS56,AS64,AS69)</f>
        <v>1439.2406000000001</v>
      </c>
      <c r="AT74" s="4">
        <f>SUM(AT3,AT11,AT19,AT27,AT35,AT43,AT48,AT56,AT64,AT69)</f>
        <v>0</v>
      </c>
      <c r="AU74" s="267">
        <f>SUM(AU3,AU11,AU19,AU27,AU35,AU43,AU48,AU56,AU64,AU69)</f>
        <v>3827.1792150978836</v>
      </c>
    </row>
    <row r="75" spans="1:47" x14ac:dyDescent="0.4">
      <c r="A75" t="s">
        <v>74</v>
      </c>
      <c r="D75" s="1">
        <f>C75*0.85</f>
        <v>0</v>
      </c>
      <c r="E75" s="4">
        <f>E74-A59</f>
        <v>1512603</v>
      </c>
      <c r="J75" s="267"/>
      <c r="K75" s="267"/>
      <c r="AC75" s="172">
        <f>AC74+AD74</f>
        <v>1577.8394697799999</v>
      </c>
      <c r="AH75" s="172">
        <f>AH74-AH56</f>
        <v>558.19623999999988</v>
      </c>
      <c r="AI75" s="172">
        <f>AI74-AI56</f>
        <v>863.54435999999998</v>
      </c>
      <c r="AM75" s="172">
        <f>AM74-AM56</f>
        <v>414.27218000000005</v>
      </c>
      <c r="AN75" s="172">
        <f>AN74-AN56</f>
        <v>1007.4684199999997</v>
      </c>
      <c r="AR75" s="172">
        <f>AR74-AR56</f>
        <v>0</v>
      </c>
      <c r="AS75" s="172">
        <f>AS74-AS56</f>
        <v>1421.7406000000001</v>
      </c>
    </row>
    <row r="76" spans="1:47" x14ac:dyDescent="0.4">
      <c r="J76" s="267"/>
      <c r="AH76" s="172">
        <f>AH74+AI74</f>
        <v>1439.2405999999999</v>
      </c>
      <c r="AM76" s="172">
        <f>AM74+AN74</f>
        <v>1439.2405999999996</v>
      </c>
      <c r="AR76" s="172">
        <f>AR74+AS74</f>
        <v>1439.2406000000001</v>
      </c>
    </row>
  </sheetData>
  <phoneticPr fontId="2"/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25E5F-79AA-4686-BEE7-BE793616226E}">
  <dimension ref="A1:AT82"/>
  <sheetViews>
    <sheetView workbookViewId="0">
      <selection activeCell="L15" sqref="L15"/>
    </sheetView>
  </sheetViews>
  <sheetFormatPr defaultRowHeight="15" x14ac:dyDescent="0.4"/>
  <cols>
    <col min="1" max="1" width="19.25" bestFit="1" customWidth="1"/>
    <col min="3" max="3" width="17.125" style="1" bestFit="1" customWidth="1"/>
    <col min="4" max="4" width="17.125" style="1" customWidth="1"/>
    <col min="5" max="5" width="9.375" style="4" hidden="1" customWidth="1"/>
    <col min="6" max="6" width="8.75" style="4"/>
    <col min="7" max="7" width="7.25" style="4" customWidth="1"/>
    <col min="8" max="8" width="10.375" style="4" bestFit="1" customWidth="1"/>
    <col min="9" max="9" width="8.25" style="4" bestFit="1" customWidth="1"/>
    <col min="10" max="10" width="12.375" style="4" bestFit="1" customWidth="1"/>
    <col min="11" max="11" width="8.75" style="4"/>
    <col min="16" max="16" width="8.75" style="302"/>
  </cols>
  <sheetData>
    <row r="1" spans="1:46" x14ac:dyDescent="0.4">
      <c r="A1" s="8" t="s">
        <v>23</v>
      </c>
      <c r="C1" s="1" t="s">
        <v>29</v>
      </c>
      <c r="D1" s="1">
        <v>0.93</v>
      </c>
      <c r="E1" s="4" t="s">
        <v>18</v>
      </c>
      <c r="G1" s="4" t="s">
        <v>42</v>
      </c>
      <c r="L1" s="4" t="s">
        <v>64</v>
      </c>
      <c r="M1" s="4"/>
      <c r="N1" s="4"/>
      <c r="O1" s="4"/>
      <c r="P1" s="297"/>
      <c r="Q1" s="4" t="s">
        <v>19</v>
      </c>
      <c r="R1" s="4"/>
      <c r="S1" s="4"/>
      <c r="T1" s="4"/>
      <c r="U1" s="297"/>
      <c r="V1" s="4" t="s">
        <v>32</v>
      </c>
      <c r="W1" s="4"/>
      <c r="X1" s="4"/>
      <c r="Y1" s="4"/>
      <c r="Z1" s="297"/>
      <c r="AA1" s="4" t="s">
        <v>172</v>
      </c>
      <c r="AB1" s="4"/>
      <c r="AC1" s="4"/>
      <c r="AD1" s="4"/>
      <c r="AE1" s="297"/>
      <c r="AF1" s="4" t="s">
        <v>173</v>
      </c>
      <c r="AG1" s="4"/>
      <c r="AH1" s="4"/>
      <c r="AI1" s="4"/>
      <c r="AJ1" s="297"/>
      <c r="AK1" s="4" t="s">
        <v>174</v>
      </c>
      <c r="AL1" s="4"/>
      <c r="AM1" s="4"/>
      <c r="AN1" s="4"/>
      <c r="AO1" s="297"/>
      <c r="AP1" s="4" t="s">
        <v>43</v>
      </c>
      <c r="AQ1" s="4"/>
      <c r="AR1" s="4"/>
      <c r="AS1" s="4"/>
      <c r="AT1" s="297"/>
    </row>
    <row r="2" spans="1:46" ht="18" customHeight="1" x14ac:dyDescent="0.4">
      <c r="C2" s="2" t="s">
        <v>4</v>
      </c>
      <c r="D2" s="2" t="s">
        <v>175</v>
      </c>
      <c r="E2" s="4" t="s">
        <v>19</v>
      </c>
      <c r="H2" s="4" t="s">
        <v>169</v>
      </c>
      <c r="I2" s="4" t="s">
        <v>170</v>
      </c>
      <c r="J2" s="4" t="s">
        <v>171</v>
      </c>
      <c r="K2" s="4" t="s">
        <v>84</v>
      </c>
      <c r="L2" s="4"/>
      <c r="M2" s="4" t="s">
        <v>169</v>
      </c>
      <c r="N2" s="4" t="s">
        <v>170</v>
      </c>
      <c r="O2" s="4" t="s">
        <v>171</v>
      </c>
      <c r="P2" s="297" t="s">
        <v>84</v>
      </c>
      <c r="Q2" s="4"/>
      <c r="R2" s="4" t="s">
        <v>169</v>
      </c>
      <c r="S2" s="4" t="s">
        <v>170</v>
      </c>
      <c r="T2" s="4" t="s">
        <v>171</v>
      </c>
      <c r="U2" s="297" t="s">
        <v>84</v>
      </c>
      <c r="V2" s="4"/>
      <c r="W2" s="4" t="s">
        <v>169</v>
      </c>
      <c r="X2" s="4" t="s">
        <v>170</v>
      </c>
      <c r="Y2" s="4" t="s">
        <v>171</v>
      </c>
      <c r="Z2" s="297" t="s">
        <v>84</v>
      </c>
      <c r="AA2" s="4"/>
      <c r="AB2" s="4" t="s">
        <v>169</v>
      </c>
      <c r="AC2" s="4" t="s">
        <v>170</v>
      </c>
      <c r="AD2" s="4" t="s">
        <v>171</v>
      </c>
      <c r="AE2" s="297" t="s">
        <v>84</v>
      </c>
      <c r="AF2" s="4"/>
      <c r="AG2" s="4" t="s">
        <v>169</v>
      </c>
      <c r="AH2" s="4" t="s">
        <v>170</v>
      </c>
      <c r="AI2" s="4" t="s">
        <v>171</v>
      </c>
      <c r="AJ2" s="297" t="s">
        <v>84</v>
      </c>
      <c r="AK2" s="4"/>
      <c r="AL2" s="4" t="s">
        <v>169</v>
      </c>
      <c r="AM2" s="4" t="s">
        <v>170</v>
      </c>
      <c r="AN2" s="4" t="s">
        <v>171</v>
      </c>
      <c r="AO2" s="297" t="s">
        <v>84</v>
      </c>
      <c r="AP2" s="4"/>
      <c r="AQ2" s="4" t="s">
        <v>169</v>
      </c>
      <c r="AR2" s="4" t="s">
        <v>170</v>
      </c>
      <c r="AS2" s="4" t="s">
        <v>171</v>
      </c>
      <c r="AT2" s="297" t="s">
        <v>84</v>
      </c>
    </row>
    <row r="3" spans="1:46" x14ac:dyDescent="0.4">
      <c r="B3" t="s">
        <v>2</v>
      </c>
      <c r="C3" s="1" t="s">
        <v>8</v>
      </c>
      <c r="F3" s="4" t="s">
        <v>21</v>
      </c>
      <c r="H3" s="4">
        <f>機器台数４!D62</f>
        <v>357.32467767552151</v>
      </c>
      <c r="I3" s="4">
        <f>機器台数４!D69</f>
        <v>0</v>
      </c>
      <c r="J3" s="4">
        <f>SUM(J4:J10)</f>
        <v>1389.5086506188145</v>
      </c>
      <c r="K3" s="4">
        <f>SUM(K4:K10)</f>
        <v>0</v>
      </c>
      <c r="L3" s="4"/>
      <c r="M3" s="4">
        <f>機器台数４!F62</f>
        <v>357.32467767552151</v>
      </c>
      <c r="N3" s="4">
        <f>機器台数４!F68</f>
        <v>0</v>
      </c>
      <c r="O3" s="4">
        <f>SUM(O4:O10)</f>
        <v>1389.5086506188145</v>
      </c>
      <c r="P3" s="297">
        <f>SUM(P4:P10)</f>
        <v>0</v>
      </c>
      <c r="Q3" s="4"/>
      <c r="R3" s="4">
        <f>機器台数４!H62</f>
        <v>324.76961347159607</v>
      </c>
      <c r="S3" s="4">
        <f>機器台数４!H69</f>
        <v>32.55506420392522</v>
      </c>
      <c r="T3" s="4">
        <f>SUM(T4:T10)</f>
        <v>1262.9135785205958</v>
      </c>
      <c r="U3" s="297">
        <f>SUM(U4:U10)</f>
        <v>117.73341705134234</v>
      </c>
      <c r="V3" s="4"/>
      <c r="W3" s="4">
        <f>機器台数４!J62</f>
        <v>303.06623733564618</v>
      </c>
      <c r="X3" s="4">
        <f>機器台数４!J69</f>
        <v>54.258440339875378</v>
      </c>
      <c r="Y3" s="4">
        <f>SUM(Y4:Y10)</f>
        <v>1178.5168637884517</v>
      </c>
      <c r="Z3" s="297">
        <f>SUM(Z4:Z10)</f>
        <v>196.22236175223728</v>
      </c>
      <c r="AA3" s="4"/>
      <c r="AB3" s="4">
        <f>機器台数４!L62</f>
        <v>248.80779699577079</v>
      </c>
      <c r="AC3" s="4">
        <f>機器台数４!L69</f>
        <v>108.51688067975076</v>
      </c>
      <c r="AD3" s="4">
        <f>SUM(AD4:AD10)</f>
        <v>967.52507695808902</v>
      </c>
      <c r="AE3" s="297">
        <f>SUM(AE4:AE10)</f>
        <v>392.44472350447455</v>
      </c>
      <c r="AF3" s="4"/>
      <c r="AG3" s="4">
        <f>機器台数４!N62</f>
        <v>140.29091631602</v>
      </c>
      <c r="AH3" s="4">
        <f>機器台数４!N69</f>
        <v>217.03376135950151</v>
      </c>
      <c r="AI3" s="4">
        <f>SUM(AI4:AI10)</f>
        <v>545.54150329736376</v>
      </c>
      <c r="AJ3" s="297">
        <f>SUM(AJ4:AJ10)</f>
        <v>784.88944700894911</v>
      </c>
      <c r="AK3" s="4"/>
      <c r="AL3" s="4">
        <f>機器台数４!P62</f>
        <v>104.11862275610311</v>
      </c>
      <c r="AM3" s="4">
        <f>機器台数４!P69</f>
        <v>253.20605491941842</v>
      </c>
      <c r="AN3" s="4">
        <f>SUM(AN4:AN10)</f>
        <v>404.88031207712203</v>
      </c>
      <c r="AO3" s="297">
        <f>SUM(AO4:AO10)</f>
        <v>915.7043548437739</v>
      </c>
      <c r="AP3" s="4"/>
      <c r="AQ3" s="4">
        <f>機器台数４!R62</f>
        <v>0</v>
      </c>
      <c r="AR3" s="4">
        <f>機器台数４!R69</f>
        <v>357.32467767552151</v>
      </c>
      <c r="AS3" s="4">
        <f>SUM(AS4:AS10)</f>
        <v>0</v>
      </c>
      <c r="AT3" s="297">
        <f>SUM(AT4:AT10)</f>
        <v>1292.2430450754973</v>
      </c>
    </row>
    <row r="4" spans="1:46" s="287" customFormat="1" x14ac:dyDescent="0.4">
      <c r="A4" s="287" t="s">
        <v>6</v>
      </c>
      <c r="B4" s="287">
        <v>1.5</v>
      </c>
      <c r="C4" s="288">
        <v>3</v>
      </c>
      <c r="D4" s="288">
        <f t="shared" ref="D4:D49" si="0">C4*$D$1</f>
        <v>2.79</v>
      </c>
      <c r="E4" s="114">
        <v>35090</v>
      </c>
      <c r="F4" s="289">
        <f t="shared" ref="F4:F10" si="1">E4/$A$6</f>
        <v>9.3588806682704875E-2</v>
      </c>
      <c r="G4" s="114">
        <f>SUM(H4:H10)</f>
        <v>357.32467767552157</v>
      </c>
      <c r="H4" s="114">
        <f t="shared" ref="H4:H10" si="2">F4*H$3</f>
        <v>33.441590181934217</v>
      </c>
      <c r="I4" s="114">
        <f t="shared" ref="I4:I10" si="3">$F4*I$3</f>
        <v>0</v>
      </c>
      <c r="J4" s="290">
        <f t="shared" ref="J4:K10" si="4">C4*H4</f>
        <v>100.32477054580265</v>
      </c>
      <c r="K4" s="290">
        <f t="shared" si="4"/>
        <v>0</v>
      </c>
      <c r="L4" s="114"/>
      <c r="M4" s="114">
        <f t="shared" ref="M4:N10" si="5">$F4*M$3</f>
        <v>33.441590181934217</v>
      </c>
      <c r="N4" s="114">
        <f t="shared" si="5"/>
        <v>0</v>
      </c>
      <c r="O4" s="290">
        <f t="shared" ref="O4:O10" si="6">$C4*M4</f>
        <v>100.32477054580265</v>
      </c>
      <c r="P4" s="298">
        <f t="shared" ref="P4:P10" si="7">$D4*N4</f>
        <v>0</v>
      </c>
      <c r="Q4" s="114"/>
      <c r="R4" s="114">
        <f t="shared" ref="R4:S10" si="8">$F4*R$3</f>
        <v>30.394800571609991</v>
      </c>
      <c r="S4" s="114">
        <f t="shared" si="8"/>
        <v>3.0467896103242027</v>
      </c>
      <c r="T4" s="290">
        <f t="shared" ref="T4:T10" si="9">$C4*R4</f>
        <v>91.184401714829974</v>
      </c>
      <c r="U4" s="298">
        <f t="shared" ref="U4:U10" si="10">$D4*S4</f>
        <v>8.5005430128045258</v>
      </c>
      <c r="V4" s="114"/>
      <c r="W4" s="114">
        <f t="shared" ref="W4:X10" si="11">$F4*W$3</f>
        <v>28.363607498060546</v>
      </c>
      <c r="X4" s="114">
        <f t="shared" si="11"/>
        <v>5.0779826838736728</v>
      </c>
      <c r="Y4" s="290">
        <f t="shared" ref="Y4:Y10" si="12">$C4*W4</f>
        <v>85.090822494181637</v>
      </c>
      <c r="Z4" s="298">
        <f t="shared" ref="Z4:Z10" si="13">$D4*X4</f>
        <v>14.167571688007547</v>
      </c>
      <c r="AA4" s="114"/>
      <c r="AB4" s="114">
        <f t="shared" ref="AB4:AC10" si="14">$F4*AB$3</f>
        <v>23.285624814186871</v>
      </c>
      <c r="AC4" s="114">
        <f t="shared" si="14"/>
        <v>10.155965367747346</v>
      </c>
      <c r="AD4" s="290">
        <f t="shared" ref="AD4:AD10" si="15">$C4*AB4</f>
        <v>69.85687444256061</v>
      </c>
      <c r="AE4" s="298">
        <f t="shared" ref="AE4:AE10" si="16">$D4*AC4</f>
        <v>28.335143376015093</v>
      </c>
      <c r="AF4" s="114">
        <f>SUM(AG4:AG10)</f>
        <v>140.29091631602</v>
      </c>
      <c r="AG4" s="114">
        <f t="shared" ref="AG4:AH10" si="17">$F4*AG$3</f>
        <v>13.129659446439524</v>
      </c>
      <c r="AH4" s="114">
        <f t="shared" si="17"/>
        <v>20.311930735494691</v>
      </c>
      <c r="AI4" s="290">
        <f t="shared" ref="AI4:AI10" si="18">$C4*AG4</f>
        <v>39.38897833931857</v>
      </c>
      <c r="AJ4" s="298">
        <f t="shared" ref="AJ4:AJ10" si="19">$D4*AH4</f>
        <v>56.670286752030187</v>
      </c>
      <c r="AK4" s="114">
        <f>SUM(AL4:AL10)</f>
        <v>104.11862275610312</v>
      </c>
      <c r="AL4" s="114">
        <f t="shared" ref="AL4:AM10" si="20">$F4*AL$3</f>
        <v>9.7443376571904103</v>
      </c>
      <c r="AM4" s="114">
        <f t="shared" si="20"/>
        <v>23.697252524743803</v>
      </c>
      <c r="AN4" s="290">
        <f t="shared" ref="AN4:AN10" si="21">$C4*AL4</f>
        <v>29.233012971571231</v>
      </c>
      <c r="AO4" s="298">
        <f t="shared" ref="AO4:AO10" si="22">$D4*AM4</f>
        <v>66.115334544035207</v>
      </c>
      <c r="AP4" s="114"/>
      <c r="AQ4" s="114">
        <f t="shared" ref="AQ4:AR10" si="23">$F4*AQ$3</f>
        <v>0</v>
      </c>
      <c r="AR4" s="114">
        <f t="shared" si="23"/>
        <v>33.441590181934217</v>
      </c>
      <c r="AS4" s="290">
        <f t="shared" ref="AS4:AS10" si="24">$C4*AQ4</f>
        <v>0</v>
      </c>
      <c r="AT4" s="298">
        <f t="shared" ref="AT4:AT10" si="25">$D4*AR4</f>
        <v>93.302036607596463</v>
      </c>
    </row>
    <row r="5" spans="1:46" x14ac:dyDescent="0.4">
      <c r="A5" t="s">
        <v>30</v>
      </c>
      <c r="B5">
        <v>2</v>
      </c>
      <c r="C5" s="1">
        <v>3.3</v>
      </c>
      <c r="D5" s="1">
        <f t="shared" si="0"/>
        <v>3.069</v>
      </c>
      <c r="E5" s="4">
        <v>99152</v>
      </c>
      <c r="F5" s="6">
        <f t="shared" si="1"/>
        <v>0.26444905557718879</v>
      </c>
      <c r="H5" s="4">
        <f t="shared" si="2"/>
        <v>94.494173545715057</v>
      </c>
      <c r="I5" s="4">
        <f t="shared" si="3"/>
        <v>0</v>
      </c>
      <c r="J5" s="267">
        <f t="shared" si="4"/>
        <v>311.83077270085965</v>
      </c>
      <c r="K5" s="267">
        <f t="shared" si="4"/>
        <v>0</v>
      </c>
      <c r="L5" s="4"/>
      <c r="M5" s="4">
        <f t="shared" si="5"/>
        <v>94.494173545715057</v>
      </c>
      <c r="N5" s="4">
        <f t="shared" si="5"/>
        <v>0</v>
      </c>
      <c r="O5" s="267">
        <f t="shared" si="6"/>
        <v>311.83077270085965</v>
      </c>
      <c r="P5" s="299">
        <f t="shared" si="7"/>
        <v>0</v>
      </c>
      <c r="Q5" s="4"/>
      <c r="R5" s="4">
        <f t="shared" si="8"/>
        <v>85.88501756273223</v>
      </c>
      <c r="S5" s="4">
        <f t="shared" si="8"/>
        <v>8.6091559829827702</v>
      </c>
      <c r="T5" s="267">
        <f t="shared" si="9"/>
        <v>283.42055795701634</v>
      </c>
      <c r="U5" s="299">
        <f t="shared" si="10"/>
        <v>26.421499711774121</v>
      </c>
      <c r="V5" s="4"/>
      <c r="W5" s="4">
        <f t="shared" si="11"/>
        <v>80.145580240743783</v>
      </c>
      <c r="X5" s="4">
        <f t="shared" si="11"/>
        <v>14.348593304971287</v>
      </c>
      <c r="Y5" s="267">
        <f t="shared" si="12"/>
        <v>264.48041479445448</v>
      </c>
      <c r="Z5" s="299">
        <f t="shared" si="13"/>
        <v>44.035832852956879</v>
      </c>
      <c r="AA5" s="4"/>
      <c r="AB5" s="4">
        <f t="shared" si="14"/>
        <v>65.796986935772495</v>
      </c>
      <c r="AC5" s="4">
        <f t="shared" si="14"/>
        <v>28.697186609942573</v>
      </c>
      <c r="AD5" s="267">
        <f t="shared" si="15"/>
        <v>217.13005688804921</v>
      </c>
      <c r="AE5" s="299">
        <f t="shared" si="16"/>
        <v>88.071665705913759</v>
      </c>
      <c r="AF5" s="4"/>
      <c r="AG5" s="4">
        <f t="shared" si="17"/>
        <v>37.099800325829918</v>
      </c>
      <c r="AH5" s="4">
        <f t="shared" si="17"/>
        <v>57.394373219885146</v>
      </c>
      <c r="AI5" s="267">
        <f t="shared" si="18"/>
        <v>122.42934107523872</v>
      </c>
      <c r="AJ5" s="299">
        <f t="shared" si="19"/>
        <v>176.14333141182752</v>
      </c>
      <c r="AK5" s="4"/>
      <c r="AL5" s="4">
        <f t="shared" si="20"/>
        <v>27.534071455849062</v>
      </c>
      <c r="AM5" s="4">
        <f t="shared" si="20"/>
        <v>66.960102089865998</v>
      </c>
      <c r="AN5" s="267">
        <f t="shared" si="21"/>
        <v>90.862435804301896</v>
      </c>
      <c r="AO5" s="299">
        <f t="shared" si="22"/>
        <v>205.50055331379875</v>
      </c>
      <c r="AP5" s="4"/>
      <c r="AQ5" s="4">
        <f t="shared" si="23"/>
        <v>0</v>
      </c>
      <c r="AR5" s="4">
        <f t="shared" si="23"/>
        <v>94.494173545715057</v>
      </c>
      <c r="AS5" s="267">
        <f t="shared" si="24"/>
        <v>0</v>
      </c>
      <c r="AT5" s="299">
        <f t="shared" si="25"/>
        <v>290.00261861179951</v>
      </c>
    </row>
    <row r="6" spans="1:46" x14ac:dyDescent="0.4">
      <c r="A6" s="5">
        <f>SUM(E4:E10)</f>
        <v>374938</v>
      </c>
      <c r="B6">
        <v>2.5</v>
      </c>
      <c r="C6" s="1">
        <v>3.4</v>
      </c>
      <c r="D6" s="1">
        <f t="shared" si="0"/>
        <v>3.1619999999999999</v>
      </c>
      <c r="E6" s="4">
        <v>75562</v>
      </c>
      <c r="F6" s="6">
        <f t="shared" si="1"/>
        <v>0.20153198662178815</v>
      </c>
      <c r="H6" s="4">
        <f t="shared" si="2"/>
        <v>72.012352160937965</v>
      </c>
      <c r="I6" s="4">
        <f t="shared" si="3"/>
        <v>0</v>
      </c>
      <c r="J6" s="267">
        <f t="shared" si="4"/>
        <v>244.84199734718908</v>
      </c>
      <c r="K6" s="267">
        <f t="shared" si="4"/>
        <v>0</v>
      </c>
      <c r="L6" s="4"/>
      <c r="M6" s="4">
        <f t="shared" si="5"/>
        <v>72.012352160937965</v>
      </c>
      <c r="N6" s="4">
        <f t="shared" si="5"/>
        <v>0</v>
      </c>
      <c r="O6" s="267">
        <f t="shared" si="6"/>
        <v>244.84199734718908</v>
      </c>
      <c r="P6" s="299">
        <f t="shared" si="7"/>
        <v>0</v>
      </c>
      <c r="Q6" s="4"/>
      <c r="R6" s="4">
        <f t="shared" si="8"/>
        <v>65.451465397321002</v>
      </c>
      <c r="S6" s="4">
        <f t="shared" si="8"/>
        <v>6.5608867636169119</v>
      </c>
      <c r="T6" s="267">
        <f t="shared" si="9"/>
        <v>222.5349823508914</v>
      </c>
      <c r="U6" s="299">
        <f t="shared" si="10"/>
        <v>20.745523946556673</v>
      </c>
      <c r="V6" s="4"/>
      <c r="W6" s="4">
        <f t="shared" si="11"/>
        <v>61.077540888243114</v>
      </c>
      <c r="X6" s="4">
        <f t="shared" si="11"/>
        <v>10.934811272694855</v>
      </c>
      <c r="Y6" s="267">
        <f t="shared" si="12"/>
        <v>207.66363902002658</v>
      </c>
      <c r="Z6" s="299">
        <f t="shared" si="13"/>
        <v>34.575873244261132</v>
      </c>
      <c r="AA6" s="4"/>
      <c r="AB6" s="4">
        <f t="shared" si="14"/>
        <v>50.142729615548262</v>
      </c>
      <c r="AC6" s="4">
        <f t="shared" si="14"/>
        <v>21.86962254538971</v>
      </c>
      <c r="AD6" s="267">
        <f t="shared" si="15"/>
        <v>170.48528069286408</v>
      </c>
      <c r="AE6" s="299">
        <f t="shared" si="16"/>
        <v>69.151746488522264</v>
      </c>
      <c r="AF6" s="4"/>
      <c r="AG6" s="4">
        <f t="shared" si="17"/>
        <v>28.273107070158542</v>
      </c>
      <c r="AH6" s="4">
        <f t="shared" si="17"/>
        <v>43.73924509077942</v>
      </c>
      <c r="AI6" s="267">
        <f t="shared" si="18"/>
        <v>96.128564038539039</v>
      </c>
      <c r="AJ6" s="299">
        <f t="shared" si="19"/>
        <v>138.30349297704453</v>
      </c>
      <c r="AK6" s="4"/>
      <c r="AL6" s="4">
        <f t="shared" si="20"/>
        <v>20.983232888361979</v>
      </c>
      <c r="AM6" s="4">
        <f t="shared" si="20"/>
        <v>51.02911927257599</v>
      </c>
      <c r="AN6" s="267">
        <f t="shared" si="21"/>
        <v>71.342991820430726</v>
      </c>
      <c r="AO6" s="299">
        <f t="shared" si="22"/>
        <v>161.35407513988528</v>
      </c>
      <c r="AP6" s="4"/>
      <c r="AQ6" s="4">
        <f t="shared" si="23"/>
        <v>0</v>
      </c>
      <c r="AR6" s="4">
        <f t="shared" si="23"/>
        <v>72.012352160937965</v>
      </c>
      <c r="AS6" s="267">
        <f t="shared" si="24"/>
        <v>0</v>
      </c>
      <c r="AT6" s="299">
        <f t="shared" si="25"/>
        <v>227.70305753288585</v>
      </c>
    </row>
    <row r="7" spans="1:46" x14ac:dyDescent="0.4">
      <c r="A7" s="6">
        <f>A6/$E$51</f>
        <v>0.58643438981969243</v>
      </c>
      <c r="B7">
        <v>3</v>
      </c>
      <c r="C7" s="1">
        <v>3.2</v>
      </c>
      <c r="D7" s="1">
        <f t="shared" si="0"/>
        <v>2.9760000000000004</v>
      </c>
      <c r="E7" s="4">
        <v>80334</v>
      </c>
      <c r="F7" s="6">
        <f t="shared" si="1"/>
        <v>0.21425942422480518</v>
      </c>
      <c r="H7" s="4">
        <f t="shared" si="2"/>
        <v>76.56017970007133</v>
      </c>
      <c r="I7" s="4">
        <f t="shared" si="3"/>
        <v>0</v>
      </c>
      <c r="J7" s="267">
        <f t="shared" si="4"/>
        <v>244.99257504022827</v>
      </c>
      <c r="K7" s="267">
        <f t="shared" si="4"/>
        <v>0</v>
      </c>
      <c r="L7" s="4"/>
      <c r="M7" s="4">
        <f t="shared" si="5"/>
        <v>76.56017970007133</v>
      </c>
      <c r="N7" s="4">
        <f t="shared" si="5"/>
        <v>0</v>
      </c>
      <c r="O7" s="267">
        <f t="shared" si="6"/>
        <v>244.99257504022827</v>
      </c>
      <c r="P7" s="299">
        <f t="shared" si="7"/>
        <v>0</v>
      </c>
      <c r="Q7" s="4"/>
      <c r="R7" s="4">
        <f t="shared" si="8"/>
        <v>69.584950388136704</v>
      </c>
      <c r="S7" s="4">
        <f t="shared" si="8"/>
        <v>6.9752293119345827</v>
      </c>
      <c r="T7" s="267">
        <f t="shared" si="9"/>
        <v>222.67184124203746</v>
      </c>
      <c r="U7" s="299">
        <f t="shared" si="10"/>
        <v>20.758282432317323</v>
      </c>
      <c r="V7" s="4"/>
      <c r="W7" s="4">
        <f t="shared" si="11"/>
        <v>64.934797513513701</v>
      </c>
      <c r="X7" s="4">
        <f t="shared" si="11"/>
        <v>11.625382186557641</v>
      </c>
      <c r="Y7" s="267">
        <f t="shared" si="12"/>
        <v>207.79135204324385</v>
      </c>
      <c r="Z7" s="299">
        <f t="shared" si="13"/>
        <v>34.597137387195545</v>
      </c>
      <c r="AA7" s="4"/>
      <c r="AB7" s="4">
        <f t="shared" si="14"/>
        <v>53.309415326956064</v>
      </c>
      <c r="AC7" s="4">
        <f t="shared" si="14"/>
        <v>23.250764373115281</v>
      </c>
      <c r="AD7" s="267">
        <f t="shared" si="15"/>
        <v>170.59012904625942</v>
      </c>
      <c r="AE7" s="299">
        <f t="shared" si="16"/>
        <v>69.19427477439109</v>
      </c>
      <c r="AF7" s="4"/>
      <c r="AG7" s="4">
        <f t="shared" si="17"/>
        <v>30.058650953840772</v>
      </c>
      <c r="AH7" s="4">
        <f t="shared" si="17"/>
        <v>46.501528746230562</v>
      </c>
      <c r="AI7" s="267">
        <f t="shared" si="18"/>
        <v>96.187683052290481</v>
      </c>
      <c r="AJ7" s="299">
        <f t="shared" si="19"/>
        <v>138.38854954878218</v>
      </c>
      <c r="AK7" s="4"/>
      <c r="AL7" s="4">
        <f t="shared" si="20"/>
        <v>22.308396162802349</v>
      </c>
      <c r="AM7" s="4">
        <f t="shared" si="20"/>
        <v>54.251783537268992</v>
      </c>
      <c r="AN7" s="267">
        <f t="shared" si="21"/>
        <v>71.386867720967516</v>
      </c>
      <c r="AO7" s="299">
        <f t="shared" si="22"/>
        <v>161.45330780691253</v>
      </c>
      <c r="AP7" s="4"/>
      <c r="AQ7" s="4">
        <f t="shared" si="23"/>
        <v>0</v>
      </c>
      <c r="AR7" s="4">
        <f t="shared" si="23"/>
        <v>76.56017970007133</v>
      </c>
      <c r="AS7" s="267">
        <f t="shared" si="24"/>
        <v>0</v>
      </c>
      <c r="AT7" s="299">
        <f t="shared" si="25"/>
        <v>227.8430947874123</v>
      </c>
    </row>
    <row r="8" spans="1:46" x14ac:dyDescent="0.4">
      <c r="A8" s="6"/>
      <c r="B8">
        <v>3.5</v>
      </c>
      <c r="C8" s="1">
        <v>4.7</v>
      </c>
      <c r="D8" s="1">
        <f t="shared" si="0"/>
        <v>4.3710000000000004</v>
      </c>
      <c r="E8" s="4">
        <v>31154</v>
      </c>
      <c r="F8" s="6">
        <f t="shared" si="1"/>
        <v>8.3091071057081439E-2</v>
      </c>
      <c r="H8" s="4">
        <f t="shared" si="2"/>
        <v>29.690490183185481</v>
      </c>
      <c r="I8" s="4">
        <f t="shared" si="3"/>
        <v>0</v>
      </c>
      <c r="J8" s="267">
        <f t="shared" si="4"/>
        <v>139.54530386097176</v>
      </c>
      <c r="K8" s="267">
        <f t="shared" si="4"/>
        <v>0</v>
      </c>
      <c r="L8" s="4"/>
      <c r="M8" s="4">
        <f t="shared" si="5"/>
        <v>29.690490183185481</v>
      </c>
      <c r="N8" s="4">
        <f t="shared" si="5"/>
        <v>0</v>
      </c>
      <c r="O8" s="267">
        <f t="shared" si="6"/>
        <v>139.54530386097176</v>
      </c>
      <c r="P8" s="299">
        <f t="shared" si="7"/>
        <v>0</v>
      </c>
      <c r="Q8" s="4"/>
      <c r="R8" s="4">
        <f t="shared" si="8"/>
        <v>26.985455030149264</v>
      </c>
      <c r="S8" s="4">
        <f t="shared" si="8"/>
        <v>2.7050351530361989</v>
      </c>
      <c r="T8" s="267">
        <f t="shared" si="9"/>
        <v>126.83163864170155</v>
      </c>
      <c r="U8" s="299">
        <f t="shared" si="10"/>
        <v>11.823708653921226</v>
      </c>
      <c r="V8" s="4"/>
      <c r="W8" s="4">
        <f t="shared" si="11"/>
        <v>25.182098261458485</v>
      </c>
      <c r="X8" s="4">
        <f t="shared" si="11"/>
        <v>4.5083919217269992</v>
      </c>
      <c r="Y8" s="267">
        <f t="shared" si="12"/>
        <v>118.35586182885488</v>
      </c>
      <c r="Z8" s="299">
        <f t="shared" si="13"/>
        <v>19.706181089868714</v>
      </c>
      <c r="AA8" s="4"/>
      <c r="AB8" s="4">
        <f t="shared" si="14"/>
        <v>20.673706339731485</v>
      </c>
      <c r="AC8" s="4">
        <f t="shared" si="14"/>
        <v>9.0167838434539984</v>
      </c>
      <c r="AD8" s="267">
        <f t="shared" si="15"/>
        <v>97.166419796737983</v>
      </c>
      <c r="AE8" s="299">
        <f t="shared" si="16"/>
        <v>39.412362179737428</v>
      </c>
      <c r="AF8" s="4"/>
      <c r="AG8" s="4">
        <f t="shared" si="17"/>
        <v>11.656922496277485</v>
      </c>
      <c r="AH8" s="4">
        <f t="shared" si="17"/>
        <v>18.033567686907997</v>
      </c>
      <c r="AI8" s="267">
        <f t="shared" si="18"/>
        <v>54.787535732504182</v>
      </c>
      <c r="AJ8" s="299">
        <f t="shared" si="19"/>
        <v>78.824724359474857</v>
      </c>
      <c r="AK8" s="4"/>
      <c r="AL8" s="4">
        <f t="shared" si="20"/>
        <v>8.6513278817928203</v>
      </c>
      <c r="AM8" s="4">
        <f t="shared" si="20"/>
        <v>21.039162301392661</v>
      </c>
      <c r="AN8" s="267">
        <f t="shared" si="21"/>
        <v>40.661241044426255</v>
      </c>
      <c r="AO8" s="299">
        <f t="shared" si="22"/>
        <v>91.962178419387328</v>
      </c>
      <c r="AP8" s="4"/>
      <c r="AQ8" s="4">
        <f t="shared" si="23"/>
        <v>0</v>
      </c>
      <c r="AR8" s="4">
        <f t="shared" si="23"/>
        <v>29.690490183185481</v>
      </c>
      <c r="AS8" s="267">
        <f t="shared" si="24"/>
        <v>0</v>
      </c>
      <c r="AT8" s="299">
        <f t="shared" si="25"/>
        <v>129.77713259070376</v>
      </c>
    </row>
    <row r="9" spans="1:46" x14ac:dyDescent="0.4">
      <c r="B9">
        <v>4</v>
      </c>
      <c r="C9" s="1">
        <v>6.3</v>
      </c>
      <c r="D9" s="1">
        <f t="shared" si="0"/>
        <v>5.859</v>
      </c>
      <c r="E9" s="4">
        <v>34249</v>
      </c>
      <c r="F9" s="6">
        <f t="shared" si="1"/>
        <v>9.1345769167168966E-2</v>
      </c>
      <c r="H9" s="4">
        <f t="shared" si="2"/>
        <v>32.640097524681245</v>
      </c>
      <c r="I9" s="4">
        <f t="shared" si="3"/>
        <v>0</v>
      </c>
      <c r="J9" s="267">
        <f t="shared" si="4"/>
        <v>205.63261440549184</v>
      </c>
      <c r="K9" s="267">
        <f t="shared" si="4"/>
        <v>0</v>
      </c>
      <c r="L9" s="4"/>
      <c r="M9" s="4">
        <f t="shared" si="5"/>
        <v>32.640097524681245</v>
      </c>
      <c r="N9" s="4">
        <f t="shared" si="5"/>
        <v>0</v>
      </c>
      <c r="O9" s="267">
        <f t="shared" si="6"/>
        <v>205.63261440549184</v>
      </c>
      <c r="P9" s="299">
        <f t="shared" si="7"/>
        <v>0</v>
      </c>
      <c r="Q9" s="4"/>
      <c r="R9" s="4">
        <f t="shared" si="8"/>
        <v>29.666330144687105</v>
      </c>
      <c r="S9" s="4">
        <f t="shared" si="8"/>
        <v>2.9737673799941184</v>
      </c>
      <c r="T9" s="267">
        <f t="shared" si="9"/>
        <v>186.89787991152875</v>
      </c>
      <c r="U9" s="299">
        <f t="shared" si="10"/>
        <v>17.423303079385541</v>
      </c>
      <c r="V9" s="4"/>
      <c r="W9" s="4">
        <f t="shared" si="11"/>
        <v>27.683818558024381</v>
      </c>
      <c r="X9" s="4">
        <f t="shared" si="11"/>
        <v>4.956278966656865</v>
      </c>
      <c r="Y9" s="267">
        <f t="shared" si="12"/>
        <v>174.4080569155536</v>
      </c>
      <c r="Z9" s="299">
        <f t="shared" si="13"/>
        <v>29.03883846564257</v>
      </c>
      <c r="AA9" s="4"/>
      <c r="AB9" s="4">
        <f t="shared" si="14"/>
        <v>22.727539591367513</v>
      </c>
      <c r="AC9" s="4">
        <f t="shared" si="14"/>
        <v>9.9125579333137299</v>
      </c>
      <c r="AD9" s="267">
        <f t="shared" si="15"/>
        <v>143.18349942561534</v>
      </c>
      <c r="AE9" s="299">
        <f t="shared" si="16"/>
        <v>58.07767693128514</v>
      </c>
      <c r="AF9" s="4"/>
      <c r="AG9" s="4">
        <f t="shared" si="17"/>
        <v>12.814981658053782</v>
      </c>
      <c r="AH9" s="4">
        <f t="shared" si="17"/>
        <v>19.82511586662746</v>
      </c>
      <c r="AI9" s="267">
        <f t="shared" si="18"/>
        <v>80.734384445738826</v>
      </c>
      <c r="AJ9" s="299">
        <f t="shared" si="19"/>
        <v>116.15535386257028</v>
      </c>
      <c r="AK9" s="4"/>
      <c r="AL9" s="4">
        <f t="shared" si="20"/>
        <v>9.5107956802825395</v>
      </c>
      <c r="AM9" s="4">
        <f t="shared" si="20"/>
        <v>23.129301844398704</v>
      </c>
      <c r="AN9" s="267">
        <f t="shared" si="21"/>
        <v>59.91801278578</v>
      </c>
      <c r="AO9" s="299">
        <f t="shared" si="22"/>
        <v>135.51457950633201</v>
      </c>
      <c r="AP9" s="4"/>
      <c r="AQ9" s="4">
        <f t="shared" si="23"/>
        <v>0</v>
      </c>
      <c r="AR9" s="4">
        <f t="shared" si="23"/>
        <v>32.640097524681245</v>
      </c>
      <c r="AS9" s="267">
        <f t="shared" si="24"/>
        <v>0</v>
      </c>
      <c r="AT9" s="299">
        <f t="shared" si="25"/>
        <v>191.2383313971074</v>
      </c>
    </row>
    <row r="10" spans="1:46" x14ac:dyDescent="0.4">
      <c r="B10">
        <v>5</v>
      </c>
      <c r="C10" s="1">
        <v>7.7</v>
      </c>
      <c r="D10" s="1">
        <f t="shared" si="0"/>
        <v>7.1610000000000005</v>
      </c>
      <c r="E10" s="4">
        <v>19397</v>
      </c>
      <c r="F10" s="6">
        <f t="shared" si="1"/>
        <v>5.1733886669262652E-2</v>
      </c>
      <c r="H10" s="4">
        <f t="shared" si="2"/>
        <v>18.485794378996236</v>
      </c>
      <c r="I10" s="4">
        <f t="shared" si="3"/>
        <v>0</v>
      </c>
      <c r="J10" s="267">
        <f t="shared" si="4"/>
        <v>142.34061671827101</v>
      </c>
      <c r="K10" s="267">
        <f t="shared" si="4"/>
        <v>0</v>
      </c>
      <c r="L10" s="4"/>
      <c r="M10" s="4">
        <f t="shared" si="5"/>
        <v>18.485794378996236</v>
      </c>
      <c r="N10" s="4">
        <f t="shared" si="5"/>
        <v>0</v>
      </c>
      <c r="O10" s="267">
        <f t="shared" si="6"/>
        <v>142.34061671827101</v>
      </c>
      <c r="P10" s="299">
        <f t="shared" si="7"/>
        <v>0</v>
      </c>
      <c r="Q10" s="4"/>
      <c r="R10" s="4">
        <f t="shared" si="8"/>
        <v>16.801594376959788</v>
      </c>
      <c r="S10" s="4">
        <f t="shared" si="8"/>
        <v>1.6842000020364367</v>
      </c>
      <c r="T10" s="267">
        <f t="shared" si="9"/>
        <v>129.37227670259037</v>
      </c>
      <c r="U10" s="299">
        <f t="shared" si="10"/>
        <v>12.060556214582924</v>
      </c>
      <c r="V10" s="4"/>
      <c r="W10" s="4">
        <f t="shared" si="11"/>
        <v>15.678794375602177</v>
      </c>
      <c r="X10" s="4">
        <f t="shared" si="11"/>
        <v>2.8070000033940619</v>
      </c>
      <c r="Y10" s="267">
        <f t="shared" si="12"/>
        <v>120.72671669213676</v>
      </c>
      <c r="Z10" s="299">
        <f t="shared" si="13"/>
        <v>20.100927024304877</v>
      </c>
      <c r="AA10" s="4"/>
      <c r="AB10" s="4">
        <f t="shared" si="14"/>
        <v>12.871794372208115</v>
      </c>
      <c r="AC10" s="4">
        <f t="shared" si="14"/>
        <v>5.6140000067881237</v>
      </c>
      <c r="AD10" s="267">
        <f t="shared" si="15"/>
        <v>99.112816666002487</v>
      </c>
      <c r="AE10" s="299">
        <f t="shared" si="16"/>
        <v>40.201854048609754</v>
      </c>
      <c r="AF10" s="4"/>
      <c r="AG10" s="4">
        <f t="shared" si="17"/>
        <v>7.2577943654199899</v>
      </c>
      <c r="AH10" s="4">
        <f t="shared" si="17"/>
        <v>11.228000013576247</v>
      </c>
      <c r="AI10" s="267">
        <f t="shared" si="18"/>
        <v>55.885016613733924</v>
      </c>
      <c r="AJ10" s="299">
        <f t="shared" si="19"/>
        <v>80.403708097219507</v>
      </c>
      <c r="AK10" s="4"/>
      <c r="AL10" s="4">
        <f t="shared" si="20"/>
        <v>5.3864610298239493</v>
      </c>
      <c r="AM10" s="4">
        <f t="shared" si="20"/>
        <v>13.099333349172287</v>
      </c>
      <c r="AN10" s="267">
        <f t="shared" si="21"/>
        <v>41.475749929644408</v>
      </c>
      <c r="AO10" s="299">
        <f t="shared" si="22"/>
        <v>93.804326113422761</v>
      </c>
      <c r="AP10" s="4"/>
      <c r="AQ10" s="4">
        <f t="shared" si="23"/>
        <v>0</v>
      </c>
      <c r="AR10" s="4">
        <f t="shared" si="23"/>
        <v>18.485794378996236</v>
      </c>
      <c r="AS10" s="267">
        <f t="shared" si="24"/>
        <v>0</v>
      </c>
      <c r="AT10" s="299">
        <f t="shared" si="25"/>
        <v>132.37677354799206</v>
      </c>
    </row>
    <row r="11" spans="1:46" s="287" customFormat="1" x14ac:dyDescent="0.4">
      <c r="C11" s="288"/>
      <c r="D11" s="288">
        <f t="shared" si="0"/>
        <v>0</v>
      </c>
      <c r="E11" s="114"/>
      <c r="F11" s="289">
        <f>SUM(F4:F10)</f>
        <v>1</v>
      </c>
      <c r="G11" s="114"/>
      <c r="H11" s="114">
        <f>機器台数４!D63</f>
        <v>31.488845289292914</v>
      </c>
      <c r="I11" s="114">
        <f>機器台数４!D70</f>
        <v>0</v>
      </c>
      <c r="J11" s="114">
        <f>SUM(J12:J18)</f>
        <v>126.54358718339822</v>
      </c>
      <c r="K11" s="114">
        <f>SUM(K12:K18)</f>
        <v>0</v>
      </c>
      <c r="L11" s="114"/>
      <c r="M11" s="114">
        <f>機器台数４!F63</f>
        <v>31.488845289292914</v>
      </c>
      <c r="N11" s="114">
        <f>機器台数４!F70</f>
        <v>0</v>
      </c>
      <c r="O11" s="114">
        <f>SUM(O12:O18)</f>
        <v>126.54358718339822</v>
      </c>
      <c r="P11" s="300">
        <f>SUM(P12:P18)</f>
        <v>0</v>
      </c>
      <c r="Q11" s="114"/>
      <c r="R11" s="114">
        <f>機器台数４!H63</f>
        <v>28.619965964279466</v>
      </c>
      <c r="S11" s="114">
        <f>機器台数４!H70</f>
        <v>2.868879325013451</v>
      </c>
      <c r="T11" s="114">
        <f>SUM(T12:T18)</f>
        <v>115.01447972810098</v>
      </c>
      <c r="U11" s="300">
        <f>SUM(U12:U18)</f>
        <v>10.722069933426431</v>
      </c>
      <c r="V11" s="114"/>
      <c r="W11" s="114">
        <f>機器台数４!J63</f>
        <v>26.707379747603831</v>
      </c>
      <c r="X11" s="114">
        <f>機器台数４!J70</f>
        <v>4.7814655416890854</v>
      </c>
      <c r="Y11" s="114">
        <f>SUM(Y12:Y18)</f>
        <v>107.32840809123616</v>
      </c>
      <c r="Z11" s="300">
        <f>SUM(Z12:Z18)</f>
        <v>17.870116555710723</v>
      </c>
      <c r="AA11" s="114"/>
      <c r="AB11" s="114">
        <f>機器台数４!L63</f>
        <v>21.925914205914744</v>
      </c>
      <c r="AC11" s="114">
        <f>機器台数４!L70</f>
        <v>9.5629310833781709</v>
      </c>
      <c r="AD11" s="114">
        <f>SUM(AD12:AD18)</f>
        <v>88.113228999074082</v>
      </c>
      <c r="AE11" s="300">
        <f>SUM(AE12:AE18)</f>
        <v>35.740233111421446</v>
      </c>
      <c r="AF11" s="114"/>
      <c r="AG11" s="114">
        <f>機器台数４!N63</f>
        <v>12.362983122536573</v>
      </c>
      <c r="AH11" s="114">
        <f>機器台数４!N70</f>
        <v>19.125862166756342</v>
      </c>
      <c r="AI11" s="114">
        <f>SUM(AI12:AI18)</f>
        <v>49.682870814749947</v>
      </c>
      <c r="AJ11" s="300">
        <f>SUM(AJ12:AJ18)</f>
        <v>71.480466222842892</v>
      </c>
      <c r="AK11" s="114"/>
      <c r="AL11" s="114">
        <f>機器台数４!P63</f>
        <v>9.1753394280771818</v>
      </c>
      <c r="AM11" s="114">
        <f>機器台数４!P70</f>
        <v>22.313505861215734</v>
      </c>
      <c r="AN11" s="114">
        <f>SUM(AN12:AN18)</f>
        <v>36.872751419975238</v>
      </c>
      <c r="AO11" s="300">
        <f>SUM(AO12:AO18)</f>
        <v>83.393877259983384</v>
      </c>
      <c r="AP11" s="114"/>
      <c r="AQ11" s="114">
        <f>機器台数４!R63</f>
        <v>0</v>
      </c>
      <c r="AR11" s="114">
        <f>機器台数４!R70</f>
        <v>31.488845289292914</v>
      </c>
      <c r="AS11" s="114">
        <f>SUM(AS12:AS18)</f>
        <v>0</v>
      </c>
      <c r="AT11" s="300">
        <f>SUM(AT12:AT18)</f>
        <v>117.68553608056033</v>
      </c>
    </row>
    <row r="12" spans="1:46" x14ac:dyDescent="0.4">
      <c r="A12" t="s">
        <v>6</v>
      </c>
      <c r="B12">
        <v>1.5</v>
      </c>
      <c r="C12" s="1">
        <v>3</v>
      </c>
      <c r="D12" s="1">
        <f t="shared" si="0"/>
        <v>2.79</v>
      </c>
      <c r="E12" s="4">
        <v>1882</v>
      </c>
      <c r="F12" s="6">
        <f>E12/A14</f>
        <v>5.6959535123028961E-2</v>
      </c>
      <c r="G12" s="4">
        <f>機器台数４!D63</f>
        <v>31.488845289292914</v>
      </c>
      <c r="H12" s="4">
        <f t="shared" ref="H12:H18" si="26">F12*H$11</f>
        <v>1.7935899892391047</v>
      </c>
      <c r="I12" s="4">
        <f t="shared" ref="I12:I18" si="27">$F12*I$11</f>
        <v>0</v>
      </c>
      <c r="J12" s="4">
        <f t="shared" ref="J12:K18" si="28">C12*H12</f>
        <v>5.3807699677173142</v>
      </c>
      <c r="K12" s="267">
        <f t="shared" si="28"/>
        <v>0</v>
      </c>
      <c r="L12" s="4">
        <f>機器台数４!I63</f>
        <v>5.1678887373465633E-2</v>
      </c>
      <c r="M12" s="4">
        <f t="shared" ref="M12:N18" si="29">$F12*M$11</f>
        <v>1.7935899892391047</v>
      </c>
      <c r="N12" s="4">
        <f t="shared" si="29"/>
        <v>0</v>
      </c>
      <c r="O12" s="267">
        <f t="shared" ref="O12:O18" si="30">$C12*M12</f>
        <v>5.3807699677173142</v>
      </c>
      <c r="P12" s="299">
        <f t="shared" ref="P12:P18" si="31">$D12*N12</f>
        <v>0</v>
      </c>
      <c r="Q12" s="4">
        <f>機器台数４!N63</f>
        <v>12.362983122536573</v>
      </c>
      <c r="R12" s="4">
        <f t="shared" ref="R12:S18" si="32">$F12*R$11</f>
        <v>1.6301799565622697</v>
      </c>
      <c r="S12" s="4">
        <f t="shared" si="32"/>
        <v>0.16341003267683529</v>
      </c>
      <c r="T12" s="267">
        <f t="shared" ref="T12:T18" si="33">$C12*R12</f>
        <v>4.8905398696868092</v>
      </c>
      <c r="U12" s="299">
        <f t="shared" ref="U12:U18" si="34">$D12*S12</f>
        <v>0.45591399116837045</v>
      </c>
      <c r="V12" s="4">
        <f>機器台数４!S63</f>
        <v>5.1678887373465633E-2</v>
      </c>
      <c r="W12" s="4">
        <f t="shared" ref="W12:X18" si="35">$F12*W$11</f>
        <v>1.5212399347777128</v>
      </c>
      <c r="X12" s="4">
        <f t="shared" si="35"/>
        <v>0.27235005446139215</v>
      </c>
      <c r="Y12" s="267">
        <f t="shared" ref="Y12:Y18" si="36">$C12*W12</f>
        <v>4.5637198043331386</v>
      </c>
      <c r="Z12" s="299">
        <f t="shared" ref="Z12:Z18" si="37">$D12*X12</f>
        <v>0.75985665194728413</v>
      </c>
      <c r="AA12" s="4">
        <f>機器台数４!X63</f>
        <v>0</v>
      </c>
      <c r="AB12" s="4">
        <f t="shared" ref="AB12:AC18" si="38">$F12*AB$11</f>
        <v>1.2488898803163204</v>
      </c>
      <c r="AC12" s="4">
        <f t="shared" si="38"/>
        <v>0.54470010892278431</v>
      </c>
      <c r="AD12" s="267">
        <f t="shared" ref="AD12:AD18" si="39">$C12*AB12</f>
        <v>3.7466696409489613</v>
      </c>
      <c r="AE12" s="299">
        <f t="shared" ref="AE12:AE18" si="40">$D12*AC12</f>
        <v>1.5197133038945683</v>
      </c>
      <c r="AF12" s="114">
        <f>SUM(AG12:AG18)</f>
        <v>12.362983122536571</v>
      </c>
      <c r="AG12" s="4">
        <f t="shared" ref="AG12:AH18" si="41">$F12*AG$11</f>
        <v>0.70418977139353611</v>
      </c>
      <c r="AH12" s="4">
        <f t="shared" si="41"/>
        <v>1.0894002178455686</v>
      </c>
      <c r="AI12" s="267">
        <f t="shared" ref="AI12:AI18" si="42">$C12*AG12</f>
        <v>2.1125693141806083</v>
      </c>
      <c r="AJ12" s="299">
        <f t="shared" ref="AJ12:AJ18" si="43">$D12*AH12</f>
        <v>3.0394266077891365</v>
      </c>
      <c r="AK12" s="114">
        <f>SUM(AL12:AL18)</f>
        <v>9.1753394280771818</v>
      </c>
      <c r="AL12" s="4">
        <f t="shared" ref="AL12:AM18" si="44">$F12*AL$11</f>
        <v>0.52262306841927475</v>
      </c>
      <c r="AM12" s="4">
        <f t="shared" si="44"/>
        <v>1.2709669208198302</v>
      </c>
      <c r="AN12" s="267">
        <f t="shared" ref="AN12:AN18" si="45">$C12*AL12</f>
        <v>1.5678692052578242</v>
      </c>
      <c r="AO12" s="299">
        <f t="shared" ref="AO12:AO18" si="46">$D12*AM12</f>
        <v>3.5459977090873265</v>
      </c>
      <c r="AP12" s="4">
        <f>機器台数４!AM63</f>
        <v>0</v>
      </c>
      <c r="AQ12" s="4">
        <f t="shared" ref="AQ12:AR18" si="47">$F12*AQ$11</f>
        <v>0</v>
      </c>
      <c r="AR12" s="4">
        <f t="shared" si="47"/>
        <v>1.7935899892391047</v>
      </c>
      <c r="AS12" s="267">
        <f t="shared" ref="AS12:AS18" si="48">$C12*AQ12</f>
        <v>0</v>
      </c>
      <c r="AT12" s="299">
        <f t="shared" ref="AT12:AT18" si="49">$D12*AR12</f>
        <v>5.0041160699771021</v>
      </c>
    </row>
    <row r="13" spans="1:46" x14ac:dyDescent="0.4">
      <c r="A13" t="s">
        <v>5</v>
      </c>
      <c r="B13">
        <v>2</v>
      </c>
      <c r="C13" s="1">
        <v>3.3</v>
      </c>
      <c r="D13" s="1">
        <f t="shared" si="0"/>
        <v>3.069</v>
      </c>
      <c r="E13" s="4">
        <v>7623</v>
      </c>
      <c r="F13" s="6">
        <f t="shared" ref="F13:F18" si="50">E13/$A$14</f>
        <v>0.23071335613328894</v>
      </c>
      <c r="H13" s="4">
        <f t="shared" si="26"/>
        <v>7.2648971774546744</v>
      </c>
      <c r="I13" s="4">
        <f t="shared" si="27"/>
        <v>0</v>
      </c>
      <c r="J13" s="267">
        <f t="shared" si="28"/>
        <v>23.974160685600424</v>
      </c>
      <c r="K13" s="267">
        <f t="shared" si="28"/>
        <v>0</v>
      </c>
      <c r="L13" s="4"/>
      <c r="M13" s="4">
        <f t="shared" si="29"/>
        <v>7.2648971774546744</v>
      </c>
      <c r="N13" s="4">
        <f t="shared" si="29"/>
        <v>0</v>
      </c>
      <c r="O13" s="267">
        <f t="shared" si="30"/>
        <v>23.974160685600424</v>
      </c>
      <c r="P13" s="299">
        <f t="shared" si="31"/>
        <v>0</v>
      </c>
      <c r="Q13" s="4"/>
      <c r="R13" s="4">
        <f t="shared" si="32"/>
        <v>6.6030084000394167</v>
      </c>
      <c r="S13" s="4">
        <f t="shared" si="32"/>
        <v>0.66188877741525787</v>
      </c>
      <c r="T13" s="267">
        <f t="shared" si="33"/>
        <v>21.789927720130073</v>
      </c>
      <c r="U13" s="299">
        <f t="shared" si="34"/>
        <v>2.0313366578874263</v>
      </c>
      <c r="V13" s="4"/>
      <c r="W13" s="4">
        <f t="shared" si="35"/>
        <v>6.1617492150959112</v>
      </c>
      <c r="X13" s="4">
        <f t="shared" si="35"/>
        <v>1.1031479623587632</v>
      </c>
      <c r="Y13" s="267">
        <f t="shared" si="36"/>
        <v>20.333772409816508</v>
      </c>
      <c r="Z13" s="299">
        <f t="shared" si="37"/>
        <v>3.3855610964790444</v>
      </c>
      <c r="AA13" s="4"/>
      <c r="AB13" s="4">
        <f t="shared" si="38"/>
        <v>5.0586012527371471</v>
      </c>
      <c r="AC13" s="4">
        <f t="shared" si="38"/>
        <v>2.2062959247175264</v>
      </c>
      <c r="AD13" s="267">
        <f t="shared" si="39"/>
        <v>16.693384134032584</v>
      </c>
      <c r="AE13" s="299">
        <f t="shared" si="40"/>
        <v>6.7711221929580887</v>
      </c>
      <c r="AF13" s="4"/>
      <c r="AG13" s="4">
        <f t="shared" si="41"/>
        <v>2.8523053280196207</v>
      </c>
      <c r="AH13" s="4">
        <f t="shared" si="41"/>
        <v>4.4125918494350529</v>
      </c>
      <c r="AI13" s="267">
        <f t="shared" si="42"/>
        <v>9.4126075824647479</v>
      </c>
      <c r="AJ13" s="299">
        <f t="shared" si="43"/>
        <v>13.542244385916177</v>
      </c>
      <c r="AK13" s="4"/>
      <c r="AL13" s="4">
        <f t="shared" si="44"/>
        <v>2.1168733531137787</v>
      </c>
      <c r="AM13" s="4">
        <f t="shared" si="44"/>
        <v>5.1480238243408962</v>
      </c>
      <c r="AN13" s="267">
        <f t="shared" si="45"/>
        <v>6.9856820652754692</v>
      </c>
      <c r="AO13" s="299">
        <f t="shared" si="46"/>
        <v>15.79928511690221</v>
      </c>
      <c r="AP13" s="4"/>
      <c r="AQ13" s="4">
        <f t="shared" si="47"/>
        <v>0</v>
      </c>
      <c r="AR13" s="4">
        <f t="shared" si="47"/>
        <v>7.2648971774546744</v>
      </c>
      <c r="AS13" s="267">
        <f t="shared" si="48"/>
        <v>0</v>
      </c>
      <c r="AT13" s="299">
        <f t="shared" si="49"/>
        <v>22.295969437608395</v>
      </c>
    </row>
    <row r="14" spans="1:46" x14ac:dyDescent="0.4">
      <c r="A14" s="5">
        <f>SUM(E12:E18)</f>
        <v>33041</v>
      </c>
      <c r="B14">
        <v>2.5</v>
      </c>
      <c r="C14" s="1">
        <v>3.4</v>
      </c>
      <c r="D14" s="1">
        <f t="shared" si="0"/>
        <v>3.1619999999999999</v>
      </c>
      <c r="E14" s="4">
        <v>7511</v>
      </c>
      <c r="F14" s="6">
        <f t="shared" si="50"/>
        <v>0.22732362821948487</v>
      </c>
      <c r="H14" s="4">
        <f t="shared" si="26"/>
        <v>7.1581585596041002</v>
      </c>
      <c r="I14" s="4">
        <f t="shared" si="27"/>
        <v>0</v>
      </c>
      <c r="J14" s="267">
        <f t="shared" si="28"/>
        <v>24.337739102653941</v>
      </c>
      <c r="K14" s="267">
        <f t="shared" si="28"/>
        <v>0</v>
      </c>
      <c r="L14" s="4"/>
      <c r="M14" s="4">
        <f t="shared" si="29"/>
        <v>7.1581585596041002</v>
      </c>
      <c r="N14" s="4">
        <f t="shared" si="29"/>
        <v>0</v>
      </c>
      <c r="O14" s="267">
        <f t="shared" si="30"/>
        <v>24.337739102653941</v>
      </c>
      <c r="P14" s="299">
        <f t="shared" si="31"/>
        <v>0</v>
      </c>
      <c r="Q14" s="4"/>
      <c r="R14" s="4">
        <f t="shared" si="32"/>
        <v>6.5059945025181758</v>
      </c>
      <c r="S14" s="4">
        <f t="shared" si="32"/>
        <v>0.6521640570859244</v>
      </c>
      <c r="T14" s="267">
        <f t="shared" si="33"/>
        <v>22.120381308561797</v>
      </c>
      <c r="U14" s="299">
        <f t="shared" si="34"/>
        <v>2.0621427485056927</v>
      </c>
      <c r="V14" s="4"/>
      <c r="W14" s="4">
        <f t="shared" si="35"/>
        <v>6.0712184644608929</v>
      </c>
      <c r="X14" s="4">
        <f t="shared" si="35"/>
        <v>1.0869400951432076</v>
      </c>
      <c r="Y14" s="267">
        <f t="shared" si="36"/>
        <v>20.642142779167035</v>
      </c>
      <c r="Z14" s="299">
        <f t="shared" si="37"/>
        <v>3.436904580842822</v>
      </c>
      <c r="AA14" s="4"/>
      <c r="AB14" s="4">
        <f t="shared" si="38"/>
        <v>4.9842783693176855</v>
      </c>
      <c r="AC14" s="4">
        <f t="shared" si="38"/>
        <v>2.1738801902864151</v>
      </c>
      <c r="AD14" s="267">
        <f t="shared" si="39"/>
        <v>16.946546455680132</v>
      </c>
      <c r="AE14" s="299">
        <f t="shared" si="40"/>
        <v>6.873809161685644</v>
      </c>
      <c r="AF14" s="4"/>
      <c r="AG14" s="4">
        <f t="shared" si="41"/>
        <v>2.81039817903127</v>
      </c>
      <c r="AH14" s="4">
        <f t="shared" si="41"/>
        <v>4.3477603805728302</v>
      </c>
      <c r="AI14" s="267">
        <f t="shared" si="42"/>
        <v>9.5553538087063181</v>
      </c>
      <c r="AJ14" s="299">
        <f t="shared" si="43"/>
        <v>13.747618323371288</v>
      </c>
      <c r="AK14" s="4"/>
      <c r="AL14" s="4">
        <f t="shared" si="44"/>
        <v>2.0857714489357981</v>
      </c>
      <c r="AM14" s="4">
        <f t="shared" si="44"/>
        <v>5.0723871106683021</v>
      </c>
      <c r="AN14" s="267">
        <f t="shared" si="45"/>
        <v>7.0916229263817137</v>
      </c>
      <c r="AO14" s="299">
        <f t="shared" si="46"/>
        <v>16.03888804393317</v>
      </c>
      <c r="AP14" s="4"/>
      <c r="AQ14" s="4">
        <f t="shared" si="47"/>
        <v>0</v>
      </c>
      <c r="AR14" s="4">
        <f t="shared" si="47"/>
        <v>7.1581585596041002</v>
      </c>
      <c r="AS14" s="267">
        <f t="shared" si="48"/>
        <v>0</v>
      </c>
      <c r="AT14" s="299">
        <f t="shared" si="49"/>
        <v>22.634097365468165</v>
      </c>
    </row>
    <row r="15" spans="1:46" x14ac:dyDescent="0.4">
      <c r="A15" s="6">
        <f>A14/$E$51</f>
        <v>5.1678887373465633E-2</v>
      </c>
      <c r="B15">
        <v>3</v>
      </c>
      <c r="C15" s="1">
        <v>3.2</v>
      </c>
      <c r="D15" s="1">
        <f t="shared" si="0"/>
        <v>2.9760000000000004</v>
      </c>
      <c r="E15" s="4">
        <v>7402</v>
      </c>
      <c r="F15" s="6">
        <f t="shared" si="50"/>
        <v>0.22402469658908628</v>
      </c>
      <c r="H15" s="4">
        <f t="shared" si="26"/>
        <v>7.0542790118745238</v>
      </c>
      <c r="I15" s="4">
        <f t="shared" si="27"/>
        <v>0</v>
      </c>
      <c r="J15" s="267">
        <f t="shared" si="28"/>
        <v>22.573692837998479</v>
      </c>
      <c r="K15" s="267">
        <f t="shared" si="28"/>
        <v>0</v>
      </c>
      <c r="L15" s="4"/>
      <c r="M15" s="4">
        <f t="shared" si="29"/>
        <v>7.0542790118745238</v>
      </c>
      <c r="N15" s="4">
        <f t="shared" si="29"/>
        <v>0</v>
      </c>
      <c r="O15" s="267">
        <f t="shared" si="30"/>
        <v>22.573692837998479</v>
      </c>
      <c r="P15" s="299">
        <f t="shared" si="31"/>
        <v>0</v>
      </c>
      <c r="Q15" s="4"/>
      <c r="R15" s="4">
        <f t="shared" si="32"/>
        <v>6.4115791915376832</v>
      </c>
      <c r="S15" s="4">
        <f t="shared" si="32"/>
        <v>0.64269982033684103</v>
      </c>
      <c r="T15" s="267">
        <f t="shared" si="33"/>
        <v>20.517053412920589</v>
      </c>
      <c r="U15" s="299">
        <f t="shared" si="34"/>
        <v>1.9126746653224391</v>
      </c>
      <c r="V15" s="4"/>
      <c r="W15" s="4">
        <f t="shared" si="35"/>
        <v>5.9831126446464555</v>
      </c>
      <c r="X15" s="4">
        <f t="shared" si="35"/>
        <v>1.0711663672280685</v>
      </c>
      <c r="Y15" s="267">
        <f t="shared" si="36"/>
        <v>19.145960462868658</v>
      </c>
      <c r="Z15" s="299">
        <f t="shared" si="37"/>
        <v>3.1877911088707322</v>
      </c>
      <c r="AA15" s="4"/>
      <c r="AB15" s="4">
        <f t="shared" si="38"/>
        <v>4.9119462774183873</v>
      </c>
      <c r="AC15" s="4">
        <f t="shared" si="38"/>
        <v>2.1423327344561369</v>
      </c>
      <c r="AD15" s="267">
        <f t="shared" si="39"/>
        <v>15.71822808773884</v>
      </c>
      <c r="AE15" s="299">
        <f t="shared" si="40"/>
        <v>6.3755822177414645</v>
      </c>
      <c r="AF15" s="4"/>
      <c r="AG15" s="4">
        <f t="shared" si="41"/>
        <v>2.7696135429622499</v>
      </c>
      <c r="AH15" s="4">
        <f t="shared" si="41"/>
        <v>4.2846654689122738</v>
      </c>
      <c r="AI15" s="267">
        <f t="shared" si="42"/>
        <v>8.8627633374791994</v>
      </c>
      <c r="AJ15" s="299">
        <f t="shared" si="43"/>
        <v>12.751164435482929</v>
      </c>
      <c r="AK15" s="4"/>
      <c r="AL15" s="4">
        <f t="shared" si="44"/>
        <v>2.055502631476871</v>
      </c>
      <c r="AM15" s="4">
        <f t="shared" si="44"/>
        <v>4.9987763803976533</v>
      </c>
      <c r="AN15" s="267">
        <f t="shared" si="45"/>
        <v>6.5776084207259871</v>
      </c>
      <c r="AO15" s="299">
        <f t="shared" si="46"/>
        <v>14.876358508063419</v>
      </c>
      <c r="AP15" s="4"/>
      <c r="AQ15" s="4">
        <f t="shared" si="47"/>
        <v>0</v>
      </c>
      <c r="AR15" s="4">
        <f t="shared" si="47"/>
        <v>7.0542790118745238</v>
      </c>
      <c r="AS15" s="267">
        <f t="shared" si="48"/>
        <v>0</v>
      </c>
      <c r="AT15" s="299">
        <f t="shared" si="49"/>
        <v>20.993534339338584</v>
      </c>
    </row>
    <row r="16" spans="1:46" x14ac:dyDescent="0.4">
      <c r="B16">
        <v>3.5</v>
      </c>
      <c r="C16" s="1">
        <v>4.7</v>
      </c>
      <c r="D16" s="1">
        <f t="shared" si="0"/>
        <v>4.3710000000000004</v>
      </c>
      <c r="E16" s="4">
        <v>3241</v>
      </c>
      <c r="F16" s="6">
        <f t="shared" si="50"/>
        <v>9.8090251505705037E-2</v>
      </c>
      <c r="H16" s="4">
        <f t="shared" si="26"/>
        <v>3.088748754050977</v>
      </c>
      <c r="I16" s="4">
        <f t="shared" si="27"/>
        <v>0</v>
      </c>
      <c r="J16" s="267">
        <f t="shared" si="28"/>
        <v>14.517119144039592</v>
      </c>
      <c r="K16" s="267">
        <f t="shared" si="28"/>
        <v>0</v>
      </c>
      <c r="L16" s="4"/>
      <c r="M16" s="4">
        <f t="shared" si="29"/>
        <v>3.088748754050977</v>
      </c>
      <c r="N16" s="4">
        <f t="shared" si="29"/>
        <v>0</v>
      </c>
      <c r="O16" s="267">
        <f t="shared" si="30"/>
        <v>14.517119144039592</v>
      </c>
      <c r="P16" s="299">
        <f t="shared" si="31"/>
        <v>0</v>
      </c>
      <c r="Q16" s="4"/>
      <c r="R16" s="4">
        <f t="shared" si="32"/>
        <v>2.8073396595208906</v>
      </c>
      <c r="S16" s="4">
        <f t="shared" si="32"/>
        <v>0.28140909453008672</v>
      </c>
      <c r="T16" s="267">
        <f t="shared" si="33"/>
        <v>13.194496399748186</v>
      </c>
      <c r="U16" s="299">
        <f t="shared" si="34"/>
        <v>1.2300391521910092</v>
      </c>
      <c r="V16" s="4"/>
      <c r="W16" s="4">
        <f t="shared" si="35"/>
        <v>2.6197335965008328</v>
      </c>
      <c r="X16" s="4">
        <f t="shared" si="35"/>
        <v>0.46901515755014456</v>
      </c>
      <c r="Y16" s="267">
        <f t="shared" si="36"/>
        <v>12.312747903553914</v>
      </c>
      <c r="Z16" s="299">
        <f t="shared" si="37"/>
        <v>2.0500652536516819</v>
      </c>
      <c r="AA16" s="4"/>
      <c r="AB16" s="4">
        <f t="shared" si="38"/>
        <v>2.1507184389506881</v>
      </c>
      <c r="AC16" s="4">
        <f t="shared" si="38"/>
        <v>0.93803031510028911</v>
      </c>
      <c r="AD16" s="267">
        <f t="shared" si="39"/>
        <v>10.108376663068235</v>
      </c>
      <c r="AE16" s="299">
        <f t="shared" si="40"/>
        <v>4.1001305073033638</v>
      </c>
      <c r="AF16" s="4"/>
      <c r="AG16" s="4">
        <f t="shared" si="41"/>
        <v>1.212688123850399</v>
      </c>
      <c r="AH16" s="4">
        <f t="shared" si="41"/>
        <v>1.8760606302005782</v>
      </c>
      <c r="AI16" s="267">
        <f t="shared" si="42"/>
        <v>5.6996341820968759</v>
      </c>
      <c r="AJ16" s="299">
        <f t="shared" si="43"/>
        <v>8.2002610146067276</v>
      </c>
      <c r="AK16" s="4"/>
      <c r="AL16" s="4">
        <f t="shared" si="44"/>
        <v>0.90001135215030259</v>
      </c>
      <c r="AM16" s="4">
        <f t="shared" si="44"/>
        <v>2.1887374019006747</v>
      </c>
      <c r="AN16" s="267">
        <f t="shared" si="45"/>
        <v>4.2300533551064223</v>
      </c>
      <c r="AO16" s="299">
        <f t="shared" si="46"/>
        <v>9.5669711837078495</v>
      </c>
      <c r="AP16" s="4"/>
      <c r="AQ16" s="4">
        <f t="shared" si="47"/>
        <v>0</v>
      </c>
      <c r="AR16" s="4">
        <f t="shared" si="47"/>
        <v>3.088748754050977</v>
      </c>
      <c r="AS16" s="267">
        <f t="shared" si="48"/>
        <v>0</v>
      </c>
      <c r="AT16" s="299">
        <f t="shared" si="49"/>
        <v>13.500920803956822</v>
      </c>
    </row>
    <row r="17" spans="1:46" x14ac:dyDescent="0.4">
      <c r="B17">
        <v>4</v>
      </c>
      <c r="C17" s="1">
        <v>6.3</v>
      </c>
      <c r="D17" s="1">
        <f t="shared" si="0"/>
        <v>5.859</v>
      </c>
      <c r="E17" s="4">
        <v>2799</v>
      </c>
      <c r="F17" s="6">
        <f t="shared" si="50"/>
        <v>8.4712932417299713E-2</v>
      </c>
      <c r="H17" s="4">
        <f t="shared" si="26"/>
        <v>2.667512422890677</v>
      </c>
      <c r="I17" s="4">
        <f t="shared" si="27"/>
        <v>0</v>
      </c>
      <c r="J17" s="267">
        <f t="shared" si="28"/>
        <v>16.805328264211266</v>
      </c>
      <c r="K17" s="267">
        <f t="shared" si="28"/>
        <v>0</v>
      </c>
      <c r="L17" s="4"/>
      <c r="M17" s="4">
        <f t="shared" si="29"/>
        <v>2.667512422890677</v>
      </c>
      <c r="N17" s="4">
        <f t="shared" si="29"/>
        <v>0</v>
      </c>
      <c r="O17" s="267">
        <f t="shared" si="30"/>
        <v>16.805328264211266</v>
      </c>
      <c r="P17" s="299">
        <f t="shared" si="31"/>
        <v>0</v>
      </c>
      <c r="Q17" s="4"/>
      <c r="R17" s="4">
        <f t="shared" si="32"/>
        <v>2.4244812425174245</v>
      </c>
      <c r="S17" s="4">
        <f t="shared" si="32"/>
        <v>0.24303118037325289</v>
      </c>
      <c r="T17" s="267">
        <f t="shared" si="33"/>
        <v>15.274231827859774</v>
      </c>
      <c r="U17" s="299">
        <f t="shared" si="34"/>
        <v>1.4239196858068888</v>
      </c>
      <c r="V17" s="4"/>
      <c r="W17" s="4">
        <f t="shared" si="35"/>
        <v>2.2624604556019223</v>
      </c>
      <c r="X17" s="4">
        <f t="shared" si="35"/>
        <v>0.40505196728875487</v>
      </c>
      <c r="Y17" s="267">
        <f t="shared" si="36"/>
        <v>14.253500870292111</v>
      </c>
      <c r="Z17" s="299">
        <f t="shared" si="37"/>
        <v>2.3731994763448148</v>
      </c>
      <c r="AA17" s="4"/>
      <c r="AB17" s="4">
        <f t="shared" si="38"/>
        <v>1.8574084883131674</v>
      </c>
      <c r="AC17" s="4">
        <f t="shared" si="38"/>
        <v>0.81010393457750973</v>
      </c>
      <c r="AD17" s="267">
        <f t="shared" si="39"/>
        <v>11.701673476372955</v>
      </c>
      <c r="AE17" s="299">
        <f t="shared" si="40"/>
        <v>4.7463989526896295</v>
      </c>
      <c r="AF17" s="4"/>
      <c r="AG17" s="4">
        <f t="shared" si="41"/>
        <v>1.0473045537356576</v>
      </c>
      <c r="AH17" s="4">
        <f t="shared" si="41"/>
        <v>1.6202078691550195</v>
      </c>
      <c r="AI17" s="267">
        <f t="shared" si="42"/>
        <v>6.5980186885346424</v>
      </c>
      <c r="AJ17" s="299">
        <f t="shared" si="43"/>
        <v>9.492797905379259</v>
      </c>
      <c r="AK17" s="4"/>
      <c r="AL17" s="4">
        <f t="shared" si="44"/>
        <v>0.77726990887648773</v>
      </c>
      <c r="AM17" s="4">
        <f t="shared" si="44"/>
        <v>1.8902425140141896</v>
      </c>
      <c r="AN17" s="267">
        <f t="shared" si="45"/>
        <v>4.8968004259218727</v>
      </c>
      <c r="AO17" s="299">
        <f t="shared" si="46"/>
        <v>11.074930889609137</v>
      </c>
      <c r="AP17" s="4"/>
      <c r="AQ17" s="4">
        <f t="shared" si="47"/>
        <v>0</v>
      </c>
      <c r="AR17" s="4">
        <f t="shared" si="47"/>
        <v>2.667512422890677</v>
      </c>
      <c r="AS17" s="267">
        <f t="shared" si="48"/>
        <v>0</v>
      </c>
      <c r="AT17" s="299">
        <f t="shared" si="49"/>
        <v>15.628955285716478</v>
      </c>
    </row>
    <row r="18" spans="1:46" x14ac:dyDescent="0.4">
      <c r="B18">
        <v>5</v>
      </c>
      <c r="C18" s="1">
        <v>7.7</v>
      </c>
      <c r="D18" s="1">
        <f t="shared" si="0"/>
        <v>7.1610000000000005</v>
      </c>
      <c r="E18" s="4">
        <v>2583</v>
      </c>
      <c r="F18" s="6">
        <f t="shared" si="50"/>
        <v>7.8175600012106175E-2</v>
      </c>
      <c r="H18" s="4">
        <f t="shared" si="26"/>
        <v>2.4616593741788568</v>
      </c>
      <c r="I18" s="4">
        <f t="shared" si="27"/>
        <v>0</v>
      </c>
      <c r="J18" s="267">
        <f t="shared" si="28"/>
        <v>18.954777181177199</v>
      </c>
      <c r="K18" s="267">
        <f t="shared" si="28"/>
        <v>0</v>
      </c>
      <c r="L18" s="4"/>
      <c r="M18" s="4">
        <f t="shared" si="29"/>
        <v>2.4616593741788568</v>
      </c>
      <c r="N18" s="4">
        <f t="shared" si="29"/>
        <v>0</v>
      </c>
      <c r="O18" s="267">
        <f t="shared" si="30"/>
        <v>18.954777181177199</v>
      </c>
      <c r="P18" s="299">
        <f t="shared" si="31"/>
        <v>0</v>
      </c>
      <c r="Q18" s="4"/>
      <c r="R18" s="4">
        <f t="shared" si="32"/>
        <v>2.2373830115836042</v>
      </c>
      <c r="S18" s="4">
        <f t="shared" si="32"/>
        <v>0.22427636259525269</v>
      </c>
      <c r="T18" s="267">
        <f t="shared" si="33"/>
        <v>17.227849189193751</v>
      </c>
      <c r="U18" s="299">
        <f t="shared" si="34"/>
        <v>1.6060430325446047</v>
      </c>
      <c r="V18" s="4"/>
      <c r="W18" s="4">
        <f t="shared" si="35"/>
        <v>2.0878654365201021</v>
      </c>
      <c r="X18" s="4">
        <f t="shared" si="35"/>
        <v>0.37379393765875452</v>
      </c>
      <c r="Y18" s="267">
        <f t="shared" si="36"/>
        <v>16.076563861204786</v>
      </c>
      <c r="Z18" s="299">
        <f t="shared" si="37"/>
        <v>2.6767383875743413</v>
      </c>
      <c r="AA18" s="4"/>
      <c r="AB18" s="4">
        <f t="shared" si="38"/>
        <v>1.7140714988613477</v>
      </c>
      <c r="AC18" s="4">
        <f t="shared" si="38"/>
        <v>0.74758787531750903</v>
      </c>
      <c r="AD18" s="267">
        <f t="shared" si="39"/>
        <v>13.198350541232378</v>
      </c>
      <c r="AE18" s="299">
        <f t="shared" si="40"/>
        <v>5.3534767751486827</v>
      </c>
      <c r="AF18" s="4"/>
      <c r="AG18" s="4">
        <f t="shared" si="41"/>
        <v>0.96648362354383854</v>
      </c>
      <c r="AH18" s="4">
        <f t="shared" si="41"/>
        <v>1.4951757506350181</v>
      </c>
      <c r="AI18" s="267">
        <f t="shared" si="42"/>
        <v>7.4419239012875567</v>
      </c>
      <c r="AJ18" s="299">
        <f t="shared" si="43"/>
        <v>10.706953550297365</v>
      </c>
      <c r="AK18" s="4"/>
      <c r="AL18" s="4">
        <f t="shared" si="44"/>
        <v>0.71728766510466879</v>
      </c>
      <c r="AM18" s="4">
        <f t="shared" si="44"/>
        <v>1.7443717090741879</v>
      </c>
      <c r="AN18" s="267">
        <f t="shared" si="45"/>
        <v>5.5231150213059497</v>
      </c>
      <c r="AO18" s="299">
        <f t="shared" si="46"/>
        <v>12.491445808680261</v>
      </c>
      <c r="AP18" s="4"/>
      <c r="AQ18" s="4">
        <f t="shared" si="47"/>
        <v>0</v>
      </c>
      <c r="AR18" s="4">
        <f t="shared" si="47"/>
        <v>2.4616593741788568</v>
      </c>
      <c r="AS18" s="267">
        <f t="shared" si="48"/>
        <v>0</v>
      </c>
      <c r="AT18" s="299">
        <f t="shared" si="49"/>
        <v>17.627942778494795</v>
      </c>
    </row>
    <row r="19" spans="1:46" s="287" customFormat="1" x14ac:dyDescent="0.4">
      <c r="C19" s="288"/>
      <c r="D19" s="288">
        <f t="shared" si="0"/>
        <v>0</v>
      </c>
      <c r="E19" s="114"/>
      <c r="F19" s="289"/>
      <c r="G19" s="114"/>
      <c r="H19" s="114">
        <f>機器台数４!D64</f>
        <v>101.95539353814489</v>
      </c>
      <c r="I19" s="114">
        <f>機器台数４!D71</f>
        <v>0</v>
      </c>
      <c r="J19" s="114">
        <f>SUM(J20:J23)</f>
        <v>325.59567049606483</v>
      </c>
      <c r="K19" s="114">
        <f>SUM(K20:K26)</f>
        <v>0</v>
      </c>
      <c r="L19" s="114"/>
      <c r="M19" s="114">
        <f>機器台数４!F64</f>
        <v>101.95539353814489</v>
      </c>
      <c r="N19" s="114">
        <f>機器台数４!I71</f>
        <v>0.16732723132171323</v>
      </c>
      <c r="O19" s="114">
        <f>SUM(O20:O23)</f>
        <v>205.48613471295937</v>
      </c>
      <c r="P19" s="300">
        <f>SUM(P20:P23)</f>
        <v>0</v>
      </c>
      <c r="Q19" s="114"/>
      <c r="R19" s="114">
        <f>機器台数４!H64</f>
        <v>92.666462238569707</v>
      </c>
      <c r="S19" s="114">
        <f>機器台数４!H71</f>
        <v>9.2889312995751947</v>
      </c>
      <c r="T19" s="114">
        <f>SUM(T20:T23)</f>
        <v>186.76474566109127</v>
      </c>
      <c r="U19" s="300">
        <f>SUM(U20:U23)</f>
        <v>3.1431312199198365</v>
      </c>
      <c r="V19" s="114"/>
      <c r="W19" s="114">
        <f>機器台数４!J64</f>
        <v>86.473841372186243</v>
      </c>
      <c r="X19" s="114">
        <f>機器台数４!J71</f>
        <v>15.481552165958661</v>
      </c>
      <c r="Y19" s="114">
        <f>SUM(Y20:Y23)</f>
        <v>989.67971119645495</v>
      </c>
      <c r="Z19" s="300">
        <f>SUM(Z20:Z23)</f>
        <v>45.979671600164707</v>
      </c>
      <c r="AA19" s="114"/>
      <c r="AB19" s="114">
        <f>機器台数４!L64</f>
        <v>70.992289206227568</v>
      </c>
      <c r="AC19" s="114">
        <f>機器台数４!L71</f>
        <v>30.963104331917322</v>
      </c>
      <c r="AD19" s="114">
        <f>SUM(AD20:AD23)</f>
        <v>226.71465630216224</v>
      </c>
      <c r="AE19" s="300">
        <f>SUM(AE20:AE23)</f>
        <v>91.959343200329414</v>
      </c>
      <c r="AF19" s="114"/>
      <c r="AG19" s="114">
        <f>機器台数４!N64</f>
        <v>40.029184874310253</v>
      </c>
      <c r="AH19" s="114">
        <f>機器台数４!N71</f>
        <v>61.926208663834643</v>
      </c>
      <c r="AI19" s="114">
        <f>SUM(AI20:AI23)</f>
        <v>127.83364210825965</v>
      </c>
      <c r="AJ19" s="300">
        <f>SUM(AJ20:AJ23)</f>
        <v>183.91868640065883</v>
      </c>
      <c r="AK19" s="114"/>
      <c r="AL19" s="114">
        <f>機器台数４!P64</f>
        <v>29.708150097004481</v>
      </c>
      <c r="AM19" s="114">
        <f>機器台数４!P71</f>
        <v>72.247243441140412</v>
      </c>
      <c r="AN19" s="114">
        <f>SUM(AN20:AN23)</f>
        <v>94.873304043625453</v>
      </c>
      <c r="AO19" s="300">
        <f>SUM(AO20:AO23)</f>
        <v>214.57180080076856</v>
      </c>
      <c r="AP19" s="114"/>
      <c r="AQ19" s="114">
        <f>機器台数４!R64</f>
        <v>0</v>
      </c>
      <c r="AR19" s="114">
        <f>機器台数４!R71</f>
        <v>101.95539353814489</v>
      </c>
      <c r="AS19" s="114">
        <f>SUM(AS20:AS23)</f>
        <v>0</v>
      </c>
      <c r="AT19" s="300">
        <f>SUM(AT20:AT23)</f>
        <v>302.80397356134029</v>
      </c>
    </row>
    <row r="20" spans="1:46" x14ac:dyDescent="0.4">
      <c r="A20" t="s">
        <v>6</v>
      </c>
      <c r="B20">
        <v>1.5</v>
      </c>
      <c r="C20" s="1">
        <v>3</v>
      </c>
      <c r="D20" s="1">
        <f t="shared" si="0"/>
        <v>2.79</v>
      </c>
      <c r="E20" s="4">
        <v>42010</v>
      </c>
      <c r="F20" s="6">
        <f>E20/$A$22</f>
        <v>0.39268655181761247</v>
      </c>
      <c r="G20" s="114">
        <f>SUM(H20:H23)</f>
        <v>101.95539353814489</v>
      </c>
      <c r="H20" s="4">
        <f>F20*H$19</f>
        <v>40.036511927701802</v>
      </c>
      <c r="I20" s="4">
        <f>$F20*I$11</f>
        <v>0</v>
      </c>
      <c r="J20" s="267">
        <f t="shared" ref="J20:K23" si="51">C20*H20</f>
        <v>120.1095357831054</v>
      </c>
      <c r="K20" s="267">
        <f t="shared" si="51"/>
        <v>0</v>
      </c>
      <c r="L20" s="4"/>
      <c r="M20" s="4">
        <f>K20*M$19</f>
        <v>0</v>
      </c>
      <c r="N20" s="4">
        <f>$F20*N$11</f>
        <v>0</v>
      </c>
      <c r="O20" s="267">
        <f>$C20*M20</f>
        <v>0</v>
      </c>
      <c r="P20" s="299">
        <f>$D20*N20</f>
        <v>0</v>
      </c>
      <c r="Q20" s="4"/>
      <c r="R20" s="4">
        <f>P20*R$19</f>
        <v>0</v>
      </c>
      <c r="S20" s="4">
        <f>$F20*S$11</f>
        <v>1.1265703297203715</v>
      </c>
      <c r="T20" s="267">
        <f>$C20*R20</f>
        <v>0</v>
      </c>
      <c r="U20" s="299">
        <f>$D20*S20</f>
        <v>3.1431312199198365</v>
      </c>
      <c r="V20" s="4"/>
      <c r="W20" s="4">
        <f>U20*W$19</f>
        <v>271.79863052331416</v>
      </c>
      <c r="X20" s="4">
        <f>$F20*X$19</f>
        <v>6.0793973368347967</v>
      </c>
      <c r="Y20" s="267">
        <f>$C20*W20</f>
        <v>815.39589156994248</v>
      </c>
      <c r="Z20" s="299">
        <f>$D20*X20</f>
        <v>16.961518569769083</v>
      </c>
      <c r="AA20" s="4"/>
      <c r="AB20" s="4">
        <f>$F20*AB$19</f>
        <v>27.877717254032213</v>
      </c>
      <c r="AC20" s="4">
        <f>$F20*AC$19</f>
        <v>12.158794673669593</v>
      </c>
      <c r="AD20" s="267">
        <f>$C20*AB20</f>
        <v>83.633151762096645</v>
      </c>
      <c r="AE20" s="299">
        <f>$D20*AC20</f>
        <v>33.923037139538167</v>
      </c>
      <c r="AF20" s="114">
        <f>SUM(AG20:AG23)</f>
        <v>40.029184874310253</v>
      </c>
      <c r="AG20" s="4">
        <f>F20*AG$19</f>
        <v>15.718922580362623</v>
      </c>
      <c r="AH20" s="4">
        <f>$F20*AH$19</f>
        <v>24.317589347339187</v>
      </c>
      <c r="AI20" s="267">
        <f>$C20*AG20</f>
        <v>47.156767741087869</v>
      </c>
      <c r="AJ20" s="299">
        <f>$D20*AH20</f>
        <v>67.846074279076333</v>
      </c>
      <c r="AK20" s="114">
        <f>SUM(AL20:AL23)</f>
        <v>29.708150097004481</v>
      </c>
      <c r="AL20" s="4">
        <f>F20*AL$19</f>
        <v>11.66599102247276</v>
      </c>
      <c r="AM20" s="4">
        <f>$F20*AM$19</f>
        <v>28.370520905229046</v>
      </c>
      <c r="AN20" s="267">
        <f>$C20*AL20</f>
        <v>34.997973067418279</v>
      </c>
      <c r="AO20" s="299">
        <f>$D20*AM20</f>
        <v>79.153753325589037</v>
      </c>
      <c r="AP20" s="4"/>
      <c r="AQ20" s="4">
        <f>AQ$19*$F20</f>
        <v>0</v>
      </c>
      <c r="AR20" s="4">
        <f>$F20*AR$19</f>
        <v>40.036511927701802</v>
      </c>
      <c r="AS20" s="267">
        <f>$C20*AQ20</f>
        <v>0</v>
      </c>
      <c r="AT20" s="299">
        <f>$D20*AR20</f>
        <v>111.70186827828803</v>
      </c>
    </row>
    <row r="21" spans="1:46" x14ac:dyDescent="0.4">
      <c r="A21" t="s">
        <v>10</v>
      </c>
      <c r="B21">
        <v>2</v>
      </c>
      <c r="C21" s="1">
        <v>3.3</v>
      </c>
      <c r="D21" s="1">
        <f t="shared" si="0"/>
        <v>3.069</v>
      </c>
      <c r="E21" s="4">
        <v>42936</v>
      </c>
      <c r="F21" s="6">
        <f>E21/$A$22</f>
        <v>0.40134229442611302</v>
      </c>
      <c r="H21" s="4">
        <f>H$19*$F21</f>
        <v>40.919011571716368</v>
      </c>
      <c r="I21" s="4">
        <f>G21*$G$3</f>
        <v>0</v>
      </c>
      <c r="J21" s="4">
        <f t="shared" si="51"/>
        <v>135.03273818666401</v>
      </c>
      <c r="K21" s="267">
        <f t="shared" si="51"/>
        <v>0</v>
      </c>
      <c r="L21" s="4"/>
      <c r="M21" s="4">
        <f>M$19*$F21</f>
        <v>40.919011571716368</v>
      </c>
      <c r="N21" s="4">
        <f>L21*$G$3</f>
        <v>0</v>
      </c>
      <c r="O21" s="4">
        <f>$C21*M21</f>
        <v>135.03273818666401</v>
      </c>
      <c r="P21" s="299">
        <f>$D21*N21</f>
        <v>0</v>
      </c>
      <c r="Q21" s="4"/>
      <c r="R21" s="4">
        <f>R$19*$F21</f>
        <v>37.190970571178326</v>
      </c>
      <c r="S21" s="4">
        <f>Q21*$G$3</f>
        <v>0</v>
      </c>
      <c r="T21" s="4">
        <f>$C21*R21</f>
        <v>122.73020288488847</v>
      </c>
      <c r="U21" s="299">
        <f>$D21*S21</f>
        <v>0</v>
      </c>
      <c r="V21" s="4"/>
      <c r="W21" s="4">
        <f>W$19*$F21</f>
        <v>34.705609904152965</v>
      </c>
      <c r="X21" s="4">
        <f>$F21*X$19</f>
        <v>6.2134016675634083</v>
      </c>
      <c r="Y21" s="4">
        <f>$C21*W21</f>
        <v>114.52851268370478</v>
      </c>
      <c r="Z21" s="299">
        <f>$D21*X21</f>
        <v>19.068929717752098</v>
      </c>
      <c r="AA21" s="4"/>
      <c r="AB21" s="4">
        <f>AB$19*$F21</f>
        <v>28.492208236589551</v>
      </c>
      <c r="AC21" s="4">
        <f>$F21*AC$19</f>
        <v>12.426803335126817</v>
      </c>
      <c r="AD21" s="4">
        <f>$C21*AB21</f>
        <v>94.024287180745517</v>
      </c>
      <c r="AE21" s="299">
        <f>$D21*AC21</f>
        <v>38.137859435504197</v>
      </c>
      <c r="AF21" s="4"/>
      <c r="AG21" s="4">
        <f>AG$19*$F21</f>
        <v>16.065404901462735</v>
      </c>
      <c r="AH21" s="4">
        <f>$F21*AH$19</f>
        <v>24.853606670253633</v>
      </c>
      <c r="AI21" s="4">
        <f>$C21*AG21</f>
        <v>53.015836174827022</v>
      </c>
      <c r="AJ21" s="299">
        <f>$D21*AH21</f>
        <v>76.275718871008394</v>
      </c>
      <c r="AK21" s="4"/>
      <c r="AL21" s="4">
        <f>AL$19*$F21</f>
        <v>11.92313712308713</v>
      </c>
      <c r="AM21" s="4">
        <f>$F21*AM$19</f>
        <v>28.995874448629237</v>
      </c>
      <c r="AN21" s="4">
        <f>$C21*AL21</f>
        <v>39.346352506187529</v>
      </c>
      <c r="AO21" s="299">
        <f>$D21*AM21</f>
        <v>88.988338682843121</v>
      </c>
      <c r="AP21" s="4"/>
      <c r="AQ21" s="4">
        <f>AQ$19*$F21</f>
        <v>0</v>
      </c>
      <c r="AR21" s="4">
        <f>$F21*AR$19</f>
        <v>40.919011571716368</v>
      </c>
      <c r="AS21" s="4">
        <f>$C21*AQ21</f>
        <v>0</v>
      </c>
      <c r="AT21" s="299">
        <f>$D21*AR21</f>
        <v>125.58044651359754</v>
      </c>
    </row>
    <row r="22" spans="1:46" x14ac:dyDescent="0.4">
      <c r="A22" s="5">
        <f>SUM(E20:E23)</f>
        <v>106981</v>
      </c>
      <c r="B22">
        <v>2.5</v>
      </c>
      <c r="C22" s="1">
        <v>3.4</v>
      </c>
      <c r="D22" s="1">
        <f t="shared" si="0"/>
        <v>3.1619999999999999</v>
      </c>
      <c r="E22" s="4">
        <v>17071</v>
      </c>
      <c r="F22" s="6">
        <f>E22/$A$22</f>
        <v>0.15957039100401005</v>
      </c>
      <c r="H22" s="4">
        <f>H$19*$F22</f>
        <v>16.269062011849499</v>
      </c>
      <c r="I22" s="4">
        <f>$F22*I$21</f>
        <v>0</v>
      </c>
      <c r="J22" s="267">
        <f t="shared" si="51"/>
        <v>55.314810840288295</v>
      </c>
      <c r="K22" s="267">
        <f t="shared" si="51"/>
        <v>0</v>
      </c>
      <c r="L22" s="4"/>
      <c r="M22" s="4">
        <f>M$19*$F22</f>
        <v>16.269062011849499</v>
      </c>
      <c r="N22" s="4">
        <f>$F22*N$21</f>
        <v>0</v>
      </c>
      <c r="O22" s="267">
        <f>$C22*M22</f>
        <v>55.314810840288295</v>
      </c>
      <c r="P22" s="299">
        <f>$D22*N22</f>
        <v>0</v>
      </c>
      <c r="Q22" s="4"/>
      <c r="R22" s="4">
        <f>R$19*$F22</f>
        <v>14.7868236123669</v>
      </c>
      <c r="S22" s="4">
        <f>$F22*S$21</f>
        <v>0</v>
      </c>
      <c r="T22" s="267">
        <f>$C22*R22</f>
        <v>50.275200282047457</v>
      </c>
      <c r="U22" s="299">
        <f>$D22*S22</f>
        <v>0</v>
      </c>
      <c r="V22" s="4"/>
      <c r="W22" s="4">
        <f>W$19*$F22</f>
        <v>13.798664679378499</v>
      </c>
      <c r="X22" s="4">
        <f>$F22*X$19</f>
        <v>2.470397332471002</v>
      </c>
      <c r="Y22" s="267">
        <f>$C22*W22</f>
        <v>46.915459909886891</v>
      </c>
      <c r="Z22" s="299">
        <f>$D22*X22</f>
        <v>7.8113963652733078</v>
      </c>
      <c r="AA22" s="4"/>
      <c r="AB22" s="4">
        <f>AB$19*$F22</f>
        <v>11.328267346907495</v>
      </c>
      <c r="AC22" s="4">
        <f>$F22*AC$19</f>
        <v>4.940794664942004</v>
      </c>
      <c r="AD22" s="267">
        <f>$C22*AB22</f>
        <v>38.51610897948548</v>
      </c>
      <c r="AE22" s="299">
        <f>$D22*AC22</f>
        <v>15.622792730546616</v>
      </c>
      <c r="AF22" s="4"/>
      <c r="AG22" s="4">
        <f>AG$19*$F22</f>
        <v>6.3874726819654919</v>
      </c>
      <c r="AH22" s="4">
        <f>$F22*AH$19</f>
        <v>9.8815893298840081</v>
      </c>
      <c r="AI22" s="267">
        <f>$C22*AG22</f>
        <v>21.717407118682672</v>
      </c>
      <c r="AJ22" s="299">
        <f>$D22*AH22</f>
        <v>31.245585461093231</v>
      </c>
      <c r="AK22" s="4"/>
      <c r="AL22" s="4">
        <f>AL$19*$F22</f>
        <v>4.7405411269848239</v>
      </c>
      <c r="AM22" s="4">
        <f>$F22*AM$19</f>
        <v>11.528520884864676</v>
      </c>
      <c r="AN22" s="267">
        <f>$C22*AL22</f>
        <v>16.117839831748402</v>
      </c>
      <c r="AO22" s="299">
        <f>$D22*AM22</f>
        <v>36.453183037942104</v>
      </c>
      <c r="AP22" s="4"/>
      <c r="AQ22" s="4">
        <f>AQ$19*$F22</f>
        <v>0</v>
      </c>
      <c r="AR22" s="4">
        <f>$F22*AR$19</f>
        <v>16.269062011849499</v>
      </c>
      <c r="AS22" s="267">
        <f>$C22*AQ22</f>
        <v>0</v>
      </c>
      <c r="AT22" s="299">
        <f>$D22*AR22</f>
        <v>51.442774081468116</v>
      </c>
    </row>
    <row r="23" spans="1:46" x14ac:dyDescent="0.4">
      <c r="A23" s="6">
        <f>A22/$E$51</f>
        <v>0.16732723132171323</v>
      </c>
      <c r="B23">
        <v>3</v>
      </c>
      <c r="C23" s="1">
        <v>3.2</v>
      </c>
      <c r="D23" s="1">
        <f t="shared" si="0"/>
        <v>2.9760000000000004</v>
      </c>
      <c r="E23" s="4">
        <v>4964</v>
      </c>
      <c r="F23" s="6">
        <f>E23/$A$22</f>
        <v>4.6400762752264423E-2</v>
      </c>
      <c r="H23" s="4">
        <f>H$19*$F23</f>
        <v>4.7308080268772139</v>
      </c>
      <c r="I23" s="4">
        <f>$F23*I$21</f>
        <v>0</v>
      </c>
      <c r="J23" s="267">
        <f t="shared" si="51"/>
        <v>15.138585686007085</v>
      </c>
      <c r="K23" s="267">
        <f t="shared" si="51"/>
        <v>0</v>
      </c>
      <c r="L23" s="4"/>
      <c r="M23" s="4">
        <f>M$19*$F23</f>
        <v>4.7308080268772139</v>
      </c>
      <c r="N23" s="4">
        <f>$F23*N$21</f>
        <v>0</v>
      </c>
      <c r="O23" s="267">
        <f>$C23*M23</f>
        <v>15.138585686007085</v>
      </c>
      <c r="P23" s="299">
        <f>$D23*N23</f>
        <v>0</v>
      </c>
      <c r="Q23" s="4"/>
      <c r="R23" s="4">
        <f>R$19*$F23</f>
        <v>4.2997945294235427</v>
      </c>
      <c r="S23" s="4">
        <f>$F23*S$21</f>
        <v>0</v>
      </c>
      <c r="T23" s="267">
        <f>$C23*R23</f>
        <v>13.759342494155337</v>
      </c>
      <c r="U23" s="299">
        <f>$D23*S23</f>
        <v>0</v>
      </c>
      <c r="V23" s="4"/>
      <c r="W23" s="4">
        <f>W$19*$F23</f>
        <v>4.0124521977877619</v>
      </c>
      <c r="X23" s="4">
        <f>$F23*X$19</f>
        <v>0.71835582908945317</v>
      </c>
      <c r="Y23" s="267">
        <f>$C23*W23</f>
        <v>12.839847032920838</v>
      </c>
      <c r="Z23" s="299">
        <f>$D23*X23</f>
        <v>2.1378269473702129</v>
      </c>
      <c r="AA23" s="4"/>
      <c r="AB23" s="4">
        <f>AB$19*$F23</f>
        <v>3.2940963686983076</v>
      </c>
      <c r="AC23" s="4">
        <f>$F23*AC$19</f>
        <v>1.4367116581789063</v>
      </c>
      <c r="AD23" s="267">
        <f>$C23*AB23</f>
        <v>10.541108379834585</v>
      </c>
      <c r="AE23" s="299">
        <f>$D23*AC23</f>
        <v>4.2756538947404259</v>
      </c>
      <c r="AF23" s="4"/>
      <c r="AG23" s="4">
        <f>AG$19*$F23</f>
        <v>1.8573847105194017</v>
      </c>
      <c r="AH23" s="4">
        <f>$F23*AH$19</f>
        <v>2.8734233163578127</v>
      </c>
      <c r="AI23" s="267">
        <f>$C23*AG23</f>
        <v>5.9436310736620861</v>
      </c>
      <c r="AJ23" s="299">
        <f>$D23*AH23</f>
        <v>8.5513077894808518</v>
      </c>
      <c r="AK23" s="4"/>
      <c r="AL23" s="4">
        <f>AL$19*$F23</f>
        <v>1.3784808244597662</v>
      </c>
      <c r="AM23" s="4">
        <f>$F23*AM$19</f>
        <v>3.352327202417448</v>
      </c>
      <c r="AN23" s="267">
        <f>$C23*AL23</f>
        <v>4.4111386382712521</v>
      </c>
      <c r="AO23" s="299">
        <f>$D23*AM23</f>
        <v>9.9765257543943271</v>
      </c>
      <c r="AP23" s="4"/>
      <c r="AQ23" s="4">
        <f>AQ$19*$F23</f>
        <v>0</v>
      </c>
      <c r="AR23" s="4">
        <f>$F23*AR$19</f>
        <v>4.7308080268772139</v>
      </c>
      <c r="AS23" s="267">
        <f>$C23*AQ23</f>
        <v>0</v>
      </c>
      <c r="AT23" s="299">
        <f>$D23*AR23</f>
        <v>14.078884687986591</v>
      </c>
    </row>
    <row r="24" spans="1:46" x14ac:dyDescent="0.4">
      <c r="A24" s="6"/>
      <c r="D24" s="1">
        <f t="shared" si="0"/>
        <v>0</v>
      </c>
      <c r="F24" s="6"/>
      <c r="H24" s="4">
        <f>機器台数４!D65</f>
        <v>78.052614303232048</v>
      </c>
      <c r="I24" s="4">
        <f>機器台数４!D72</f>
        <v>0</v>
      </c>
      <c r="J24" s="4">
        <f>SUM(J25:J31)</f>
        <v>328.00863037584941</v>
      </c>
      <c r="K24" s="4">
        <f>SUM(K25:K31)</f>
        <v>0</v>
      </c>
      <c r="L24" s="4"/>
      <c r="M24" s="4">
        <f>機器台数４!F65</f>
        <v>78.052614303232048</v>
      </c>
      <c r="N24" s="4">
        <v>0</v>
      </c>
      <c r="O24" s="4">
        <f>SUM(O25:O31)</f>
        <v>328.00863037584941</v>
      </c>
      <c r="P24" s="297">
        <f>SUM(P25:P31)</f>
        <v>0</v>
      </c>
      <c r="Q24" s="4"/>
      <c r="R24" s="4">
        <f>機器台数４!H65</f>
        <v>70.941412562406967</v>
      </c>
      <c r="S24" s="4">
        <f>機器台数４!H72</f>
        <v>7.111201740825086</v>
      </c>
      <c r="T24" s="4">
        <f>SUM(T25:T31)</f>
        <v>298.12448665873364</v>
      </c>
      <c r="U24" s="297">
        <f>SUM(U25:U31)</f>
        <v>27.792253656917669</v>
      </c>
      <c r="V24" s="4"/>
      <c r="W24" s="4">
        <f>機器台数４!J65</f>
        <v>66.200611401856904</v>
      </c>
      <c r="X24" s="4">
        <f>機器台数４!J72</f>
        <v>11.852002901375146</v>
      </c>
      <c r="Y24" s="4">
        <f>SUM(Y25:Y31)</f>
        <v>278.20172418065647</v>
      </c>
      <c r="Z24" s="297">
        <f>SUM(Z25:Z31)</f>
        <v>46.320422761529457</v>
      </c>
      <c r="AA24" s="4"/>
      <c r="AB24" s="4">
        <f>機器台数４!L65</f>
        <v>54.34860850048176</v>
      </c>
      <c r="AC24" s="4">
        <f>機器台数４!L72</f>
        <v>23.704005802750292</v>
      </c>
      <c r="AD24" s="4">
        <f>SUM(AD25:AD31)</f>
        <v>228.39481798546348</v>
      </c>
      <c r="AE24" s="297">
        <f>SUM(AE25:AE31)</f>
        <v>92.640845523058914</v>
      </c>
      <c r="AF24" s="4"/>
      <c r="AG24" s="4">
        <f>機器台数４!N65</f>
        <v>30.644602697731465</v>
      </c>
      <c r="AH24" s="4">
        <f>機器台数４!N72</f>
        <v>47.408011605500583</v>
      </c>
      <c r="AI24" s="4">
        <f>SUM(AI25:AI31)</f>
        <v>128.78100559507754</v>
      </c>
      <c r="AJ24" s="297">
        <f>SUM(AJ25:AJ31)</f>
        <v>185.28169104611783</v>
      </c>
      <c r="AK24" s="4"/>
      <c r="AL24" s="4">
        <f>機器台数４!P65</f>
        <v>22.743267430148038</v>
      </c>
      <c r="AM24" s="4">
        <f>機器台数４!P72</f>
        <v>55.30934687308401</v>
      </c>
      <c r="AN24" s="4">
        <f>SUM(AN25:AN31)</f>
        <v>95.57640146494893</v>
      </c>
      <c r="AO24" s="297">
        <f>SUM(AO25:AO31)</f>
        <v>216.16197288713744</v>
      </c>
      <c r="AP24" s="4"/>
      <c r="AQ24" s="4">
        <f>機器台数４!R65</f>
        <v>0</v>
      </c>
      <c r="AR24" s="4">
        <f>機器台数４!R72</f>
        <v>78.052614303232048</v>
      </c>
      <c r="AS24" s="4">
        <f>SUM(AS25:AS31)</f>
        <v>0</v>
      </c>
      <c r="AT24" s="297">
        <f>SUM(AT25:AT31)</f>
        <v>305.04802624953993</v>
      </c>
    </row>
    <row r="25" spans="1:46" s="291" customFormat="1" x14ac:dyDescent="0.4">
      <c r="A25" s="291" t="s">
        <v>6</v>
      </c>
      <c r="B25" s="291">
        <v>1.5</v>
      </c>
      <c r="C25" s="292">
        <v>3</v>
      </c>
      <c r="D25" s="292">
        <f t="shared" si="0"/>
        <v>2.79</v>
      </c>
      <c r="E25" s="293">
        <v>10837</v>
      </c>
      <c r="F25" s="294">
        <f t="shared" ref="F25:F31" si="52">E25/$A$27</f>
        <v>0.13231990231990232</v>
      </c>
      <c r="G25" s="114">
        <f>SUM(H25:H31)</f>
        <v>78.052614303232048</v>
      </c>
      <c r="H25" s="293">
        <f t="shared" ref="H25:H31" si="53">F25*H$24</f>
        <v>10.327914300416674</v>
      </c>
      <c r="I25" s="293">
        <f t="shared" ref="I25:I31" si="54">$F25*I$24</f>
        <v>0</v>
      </c>
      <c r="J25" s="295">
        <f t="shared" ref="J25:K31" si="55">C25*H25</f>
        <v>30.983742901250025</v>
      </c>
      <c r="K25" s="295">
        <f t="shared" si="55"/>
        <v>0</v>
      </c>
      <c r="L25" s="293"/>
      <c r="M25" s="293">
        <f t="shared" ref="M25:M31" si="56">M$24*$F25</f>
        <v>10.327914300416674</v>
      </c>
      <c r="N25" s="293">
        <f t="shared" ref="N25:N31" si="57">$F25*N$24</f>
        <v>0</v>
      </c>
      <c r="O25" s="295">
        <f t="shared" ref="O25:O31" si="58">$C25*M25</f>
        <v>30.983742901250025</v>
      </c>
      <c r="P25" s="301">
        <f t="shared" ref="P25:P31" si="59">$D25*N25</f>
        <v>0</v>
      </c>
      <c r="Q25" s="293"/>
      <c r="R25" s="293">
        <f t="shared" ref="R25:R31" si="60">R$24*$F25</f>
        <v>9.3869607806935811</v>
      </c>
      <c r="S25" s="293">
        <f t="shared" ref="S25:S31" si="61">$F25*S$24</f>
        <v>0.94095351972309471</v>
      </c>
      <c r="T25" s="295">
        <f t="shared" ref="T25:T31" si="62">$C25*R25</f>
        <v>28.160882342080743</v>
      </c>
      <c r="U25" s="301">
        <f t="shared" ref="U25:U31" si="63">$D25*S25</f>
        <v>2.6252603200274343</v>
      </c>
      <c r="V25" s="293"/>
      <c r="W25" s="293">
        <f t="shared" ref="W25:W31" si="64">W$24*$F25</f>
        <v>8.7596584342115165</v>
      </c>
      <c r="X25" s="293">
        <f t="shared" ref="X25:X31" si="65">$F25*X$24</f>
        <v>1.5682558662051582</v>
      </c>
      <c r="Y25" s="295">
        <f t="shared" ref="Y25:Y31" si="66">$C25*W25</f>
        <v>26.278975302634549</v>
      </c>
      <c r="Z25" s="301">
        <f t="shared" ref="Z25:Z31" si="67">$D25*X25</f>
        <v>4.3754338667123918</v>
      </c>
      <c r="AA25" s="293"/>
      <c r="AB25" s="293">
        <f t="shared" ref="AB25:AB31" si="68">AB$24*$F25</f>
        <v>7.1914025680063594</v>
      </c>
      <c r="AC25" s="293">
        <f t="shared" ref="AC25:AC31" si="69">$F25*AC$24</f>
        <v>3.1365117324103164</v>
      </c>
      <c r="AD25" s="295">
        <f t="shared" ref="AD25:AD31" si="70">$C25*AB25</f>
        <v>21.574207704019077</v>
      </c>
      <c r="AE25" s="301">
        <f t="shared" ref="AE25:AE31" si="71">$D25*AC25</f>
        <v>8.7508677334247835</v>
      </c>
      <c r="AF25" s="114">
        <f>SUM(AG25:AG31)</f>
        <v>30.644602697731461</v>
      </c>
      <c r="AG25" s="293">
        <f t="shared" ref="AG25:AG31" si="72">AG$24*$F25</f>
        <v>4.0548908355960425</v>
      </c>
      <c r="AH25" s="293">
        <f t="shared" ref="AH25:AH31" si="73">$F25*AH$24</f>
        <v>6.2730234648206329</v>
      </c>
      <c r="AI25" s="295">
        <f t="shared" ref="AI25:AI31" si="74">$C25*AG25</f>
        <v>12.164672506788127</v>
      </c>
      <c r="AJ25" s="301">
        <f t="shared" ref="AJ25:AJ31" si="75">$D25*AH25</f>
        <v>17.501735466849567</v>
      </c>
      <c r="AK25" s="114">
        <f>SUM(AL25:AL31)</f>
        <v>22.743267430148038</v>
      </c>
      <c r="AL25" s="293">
        <f t="shared" ref="AL25:AL31" si="76">AL$24*$F25</f>
        <v>3.0093869247926039</v>
      </c>
      <c r="AM25" s="293">
        <f t="shared" ref="AM25:AM31" si="77">$F25*AM$24</f>
        <v>7.318527375624071</v>
      </c>
      <c r="AN25" s="295">
        <f t="shared" ref="AN25:AN31" si="78">$C25*AL25</f>
        <v>9.0281607743778114</v>
      </c>
      <c r="AO25" s="301">
        <f t="shared" ref="AO25:AO31" si="79">$D25*AM25</f>
        <v>20.418691377991159</v>
      </c>
      <c r="AP25" s="293"/>
      <c r="AQ25" s="293">
        <f t="shared" ref="AQ25:AQ31" si="80">AQ$24*$F25</f>
        <v>0</v>
      </c>
      <c r="AR25" s="293">
        <f t="shared" ref="AR25:AR31" si="81">$F25*AR$24</f>
        <v>10.327914300416674</v>
      </c>
      <c r="AS25" s="295">
        <f t="shared" ref="AS25:AS31" si="82">$C25*AQ25</f>
        <v>0</v>
      </c>
      <c r="AT25" s="301">
        <f t="shared" ref="AT25:AT31" si="83">$D25*AR25</f>
        <v>28.814880898162521</v>
      </c>
    </row>
    <row r="26" spans="1:46" x14ac:dyDescent="0.4">
      <c r="A26" t="s">
        <v>11</v>
      </c>
      <c r="B26">
        <v>2</v>
      </c>
      <c r="C26" s="1">
        <v>3.3</v>
      </c>
      <c r="D26" s="1">
        <f t="shared" si="0"/>
        <v>3.069</v>
      </c>
      <c r="E26" s="4">
        <v>14510</v>
      </c>
      <c r="F26" s="6">
        <f t="shared" si="52"/>
        <v>0.17716727716727718</v>
      </c>
      <c r="H26" s="4">
        <f t="shared" si="53"/>
        <v>13.828369151891295</v>
      </c>
      <c r="I26" s="4">
        <f t="shared" si="54"/>
        <v>0</v>
      </c>
      <c r="J26" s="267">
        <f t="shared" si="55"/>
        <v>45.633618201241269</v>
      </c>
      <c r="K26" s="267">
        <f t="shared" si="55"/>
        <v>0</v>
      </c>
      <c r="L26" s="4"/>
      <c r="M26" s="4">
        <f t="shared" si="56"/>
        <v>13.828369151891295</v>
      </c>
      <c r="N26" s="4">
        <f t="shared" si="57"/>
        <v>0</v>
      </c>
      <c r="O26" s="267">
        <f t="shared" si="58"/>
        <v>45.633618201241269</v>
      </c>
      <c r="P26" s="299">
        <f t="shared" si="59"/>
        <v>0</v>
      </c>
      <c r="Q26" s="4"/>
      <c r="R26" s="4">
        <f t="shared" si="60"/>
        <v>12.568496902082114</v>
      </c>
      <c r="S26" s="4">
        <f t="shared" si="61"/>
        <v>1.2598722498091819</v>
      </c>
      <c r="T26" s="267">
        <f t="shared" si="62"/>
        <v>41.476039776870969</v>
      </c>
      <c r="U26" s="299">
        <f t="shared" si="63"/>
        <v>3.866547934664379</v>
      </c>
      <c r="V26" s="4"/>
      <c r="W26" s="4">
        <f t="shared" si="64"/>
        <v>11.728582068875992</v>
      </c>
      <c r="X26" s="4">
        <f t="shared" si="65"/>
        <v>2.0997870830153036</v>
      </c>
      <c r="Y26" s="267">
        <f t="shared" si="66"/>
        <v>38.704320827290772</v>
      </c>
      <c r="Z26" s="299">
        <f t="shared" si="67"/>
        <v>6.4442465577739663</v>
      </c>
      <c r="AA26" s="4"/>
      <c r="AB26" s="4">
        <f t="shared" si="68"/>
        <v>9.6287949858606883</v>
      </c>
      <c r="AC26" s="4">
        <f t="shared" si="69"/>
        <v>4.1995741660306072</v>
      </c>
      <c r="AD26" s="267">
        <f t="shared" si="70"/>
        <v>31.775023453340271</v>
      </c>
      <c r="AE26" s="299">
        <f t="shared" si="71"/>
        <v>12.888493115547933</v>
      </c>
      <c r="AF26" s="4"/>
      <c r="AG26" s="4">
        <f t="shared" si="72"/>
        <v>5.4292208198300802</v>
      </c>
      <c r="AH26" s="4">
        <f t="shared" si="73"/>
        <v>8.3991483320612144</v>
      </c>
      <c r="AI26" s="267">
        <f t="shared" si="74"/>
        <v>17.916428705439262</v>
      </c>
      <c r="AJ26" s="299">
        <f t="shared" si="75"/>
        <v>25.776986231095865</v>
      </c>
      <c r="AK26" s="4"/>
      <c r="AL26" s="4">
        <f t="shared" si="76"/>
        <v>4.0293627644865451</v>
      </c>
      <c r="AM26" s="4">
        <f t="shared" si="77"/>
        <v>9.7990063874047504</v>
      </c>
      <c r="AN26" s="267">
        <f t="shared" si="78"/>
        <v>13.296897122805598</v>
      </c>
      <c r="AO26" s="299">
        <f t="shared" si="79"/>
        <v>30.07315060294518</v>
      </c>
      <c r="AP26" s="4"/>
      <c r="AQ26" s="4">
        <f t="shared" si="80"/>
        <v>0</v>
      </c>
      <c r="AR26" s="4">
        <f t="shared" si="81"/>
        <v>13.828369151891295</v>
      </c>
      <c r="AS26" s="267">
        <f t="shared" si="82"/>
        <v>0</v>
      </c>
      <c r="AT26" s="299">
        <f t="shared" si="83"/>
        <v>42.439264927154383</v>
      </c>
    </row>
    <row r="27" spans="1:46" x14ac:dyDescent="0.4">
      <c r="A27" s="5">
        <f>SUM(E25:E31)</f>
        <v>81900</v>
      </c>
      <c r="B27">
        <v>2.5</v>
      </c>
      <c r="C27" s="1">
        <v>3.4</v>
      </c>
      <c r="D27" s="1">
        <f t="shared" si="0"/>
        <v>3.1619999999999999</v>
      </c>
      <c r="E27" s="4">
        <v>12890</v>
      </c>
      <c r="F27" s="6">
        <f t="shared" si="52"/>
        <v>0.15738705738705738</v>
      </c>
      <c r="H27" s="4">
        <f t="shared" si="53"/>
        <v>12.284471286552638</v>
      </c>
      <c r="I27" s="4">
        <f t="shared" si="54"/>
        <v>0</v>
      </c>
      <c r="J27" s="267">
        <f t="shared" si="55"/>
        <v>41.767202374278966</v>
      </c>
      <c r="K27" s="267">
        <f t="shared" si="55"/>
        <v>0</v>
      </c>
      <c r="L27" s="4"/>
      <c r="M27" s="4">
        <f t="shared" si="56"/>
        <v>12.284471286552638</v>
      </c>
      <c r="N27" s="4">
        <f t="shared" si="57"/>
        <v>0</v>
      </c>
      <c r="O27" s="267">
        <f t="shared" si="58"/>
        <v>41.767202374278966</v>
      </c>
      <c r="P27" s="299">
        <f t="shared" si="59"/>
        <v>0</v>
      </c>
      <c r="Q27" s="4"/>
      <c r="R27" s="4">
        <f t="shared" si="60"/>
        <v>11.16526017007846</v>
      </c>
      <c r="S27" s="4">
        <f t="shared" si="61"/>
        <v>1.1192111164741803</v>
      </c>
      <c r="T27" s="267">
        <f t="shared" si="62"/>
        <v>37.961884578266762</v>
      </c>
      <c r="U27" s="299">
        <f t="shared" si="63"/>
        <v>3.5389455502913578</v>
      </c>
      <c r="V27" s="4"/>
      <c r="W27" s="4">
        <f t="shared" si="64"/>
        <v>10.419119425762338</v>
      </c>
      <c r="X27" s="4">
        <f t="shared" si="65"/>
        <v>1.8653518607903006</v>
      </c>
      <c r="Y27" s="267">
        <f t="shared" si="66"/>
        <v>35.42500604759195</v>
      </c>
      <c r="Z27" s="299">
        <f t="shared" si="67"/>
        <v>5.8982425838189299</v>
      </c>
      <c r="AA27" s="4"/>
      <c r="AB27" s="4">
        <f t="shared" si="68"/>
        <v>8.5537675649720377</v>
      </c>
      <c r="AC27" s="4">
        <f t="shared" si="69"/>
        <v>3.7307037215806012</v>
      </c>
      <c r="AD27" s="267">
        <f t="shared" si="70"/>
        <v>29.082809720904926</v>
      </c>
      <c r="AE27" s="299">
        <f t="shared" si="71"/>
        <v>11.79648516763786</v>
      </c>
      <c r="AF27" s="4"/>
      <c r="AG27" s="4">
        <f t="shared" si="72"/>
        <v>4.8230638433914352</v>
      </c>
      <c r="AH27" s="4">
        <f t="shared" si="73"/>
        <v>7.4614074431612023</v>
      </c>
      <c r="AI27" s="267">
        <f t="shared" si="74"/>
        <v>16.398417067530879</v>
      </c>
      <c r="AJ27" s="299">
        <f t="shared" si="75"/>
        <v>23.592970335275719</v>
      </c>
      <c r="AK27" s="4"/>
      <c r="AL27" s="4">
        <f t="shared" si="76"/>
        <v>3.5794959361979024</v>
      </c>
      <c r="AM27" s="4">
        <f t="shared" si="77"/>
        <v>8.7049753503547365</v>
      </c>
      <c r="AN27" s="267">
        <f t="shared" si="78"/>
        <v>12.170286183072868</v>
      </c>
      <c r="AO27" s="299">
        <f t="shared" si="79"/>
        <v>27.525132057821676</v>
      </c>
      <c r="AP27" s="4"/>
      <c r="AQ27" s="4">
        <f t="shared" si="80"/>
        <v>0</v>
      </c>
      <c r="AR27" s="4">
        <f t="shared" si="81"/>
        <v>12.284471286552638</v>
      </c>
      <c r="AS27" s="267">
        <f t="shared" si="82"/>
        <v>0</v>
      </c>
      <c r="AT27" s="299">
        <f t="shared" si="83"/>
        <v>38.843498208079438</v>
      </c>
    </row>
    <row r="28" spans="1:46" x14ac:dyDescent="0.4">
      <c r="A28" s="6">
        <f>A27/$E$51</f>
        <v>0.12809844968030132</v>
      </c>
      <c r="B28">
        <v>3</v>
      </c>
      <c r="C28" s="1">
        <v>3.2</v>
      </c>
      <c r="D28" s="1">
        <f t="shared" si="0"/>
        <v>2.9760000000000004</v>
      </c>
      <c r="E28" s="4">
        <v>16504</v>
      </c>
      <c r="F28" s="6">
        <f t="shared" si="52"/>
        <v>0.20151404151404151</v>
      </c>
      <c r="H28" s="4">
        <f t="shared" si="53"/>
        <v>15.728697758980973</v>
      </c>
      <c r="I28" s="4">
        <f t="shared" si="54"/>
        <v>0</v>
      </c>
      <c r="J28" s="267">
        <f t="shared" si="55"/>
        <v>50.331832828739117</v>
      </c>
      <c r="K28" s="267">
        <f t="shared" si="55"/>
        <v>0</v>
      </c>
      <c r="L28" s="4"/>
      <c r="M28" s="4">
        <f t="shared" si="56"/>
        <v>15.728697758980973</v>
      </c>
      <c r="N28" s="4">
        <f t="shared" si="57"/>
        <v>0</v>
      </c>
      <c r="O28" s="267">
        <f t="shared" si="58"/>
        <v>50.331832828739117</v>
      </c>
      <c r="P28" s="299">
        <f t="shared" si="59"/>
        <v>0</v>
      </c>
      <c r="Q28" s="4"/>
      <c r="R28" s="4">
        <f t="shared" si="60"/>
        <v>14.295690756165623</v>
      </c>
      <c r="S28" s="4">
        <f t="shared" si="61"/>
        <v>1.4330070028153505</v>
      </c>
      <c r="T28" s="267">
        <f t="shared" si="62"/>
        <v>45.746210419729998</v>
      </c>
      <c r="U28" s="299">
        <f t="shared" si="63"/>
        <v>4.2646288403784842</v>
      </c>
      <c r="V28" s="4"/>
      <c r="W28" s="4">
        <f t="shared" si="64"/>
        <v>13.340352754288721</v>
      </c>
      <c r="X28" s="4">
        <f t="shared" si="65"/>
        <v>2.3883450046922516</v>
      </c>
      <c r="Y28" s="267">
        <f t="shared" si="66"/>
        <v>42.689128813723912</v>
      </c>
      <c r="Z28" s="299">
        <f t="shared" si="67"/>
        <v>7.1077147339641416</v>
      </c>
      <c r="AA28" s="4"/>
      <c r="AB28" s="4">
        <f t="shared" si="68"/>
        <v>10.95200774959647</v>
      </c>
      <c r="AC28" s="4">
        <f t="shared" si="69"/>
        <v>4.7766900093845033</v>
      </c>
      <c r="AD28" s="267">
        <f t="shared" si="70"/>
        <v>35.046424798708706</v>
      </c>
      <c r="AE28" s="299">
        <f t="shared" si="71"/>
        <v>14.215429467928283</v>
      </c>
      <c r="AF28" s="4"/>
      <c r="AG28" s="4">
        <f t="shared" si="72"/>
        <v>6.175317740211967</v>
      </c>
      <c r="AH28" s="4">
        <f t="shared" si="73"/>
        <v>9.5533800187690066</v>
      </c>
      <c r="AI28" s="267">
        <f t="shared" si="74"/>
        <v>19.761016768678296</v>
      </c>
      <c r="AJ28" s="299">
        <f t="shared" si="75"/>
        <v>28.430858935856566</v>
      </c>
      <c r="AK28" s="4"/>
      <c r="AL28" s="4">
        <f t="shared" si="76"/>
        <v>4.5830877370838001</v>
      </c>
      <c r="AM28" s="4">
        <f t="shared" si="77"/>
        <v>11.145610021897173</v>
      </c>
      <c r="AN28" s="267">
        <f t="shared" si="78"/>
        <v>14.665880758668161</v>
      </c>
      <c r="AO28" s="299">
        <f t="shared" si="79"/>
        <v>33.16933542516599</v>
      </c>
      <c r="AP28" s="4"/>
      <c r="AQ28" s="4">
        <f t="shared" si="80"/>
        <v>0</v>
      </c>
      <c r="AR28" s="4">
        <f t="shared" si="81"/>
        <v>15.728697758980973</v>
      </c>
      <c r="AS28" s="267">
        <f t="shared" si="82"/>
        <v>0</v>
      </c>
      <c r="AT28" s="299">
        <f t="shared" si="83"/>
        <v>46.808604530727379</v>
      </c>
    </row>
    <row r="29" spans="1:46" x14ac:dyDescent="0.4">
      <c r="B29">
        <v>3.5</v>
      </c>
      <c r="C29" s="1">
        <v>4.7</v>
      </c>
      <c r="D29" s="1">
        <f t="shared" si="0"/>
        <v>4.3710000000000004</v>
      </c>
      <c r="E29" s="4">
        <v>9281</v>
      </c>
      <c r="F29" s="6">
        <f t="shared" si="52"/>
        <v>0.11332112332112332</v>
      </c>
      <c r="H29" s="4">
        <f t="shared" si="53"/>
        <v>8.8450099309926333</v>
      </c>
      <c r="I29" s="4">
        <f t="shared" si="54"/>
        <v>0</v>
      </c>
      <c r="J29" s="267">
        <f t="shared" si="55"/>
        <v>41.571546675665381</v>
      </c>
      <c r="K29" s="267">
        <f t="shared" si="55"/>
        <v>0</v>
      </c>
      <c r="L29" s="4"/>
      <c r="M29" s="4">
        <f t="shared" si="56"/>
        <v>8.8450099309926333</v>
      </c>
      <c r="N29" s="4">
        <f t="shared" si="57"/>
        <v>0</v>
      </c>
      <c r="O29" s="267">
        <f t="shared" si="58"/>
        <v>41.571546675665381</v>
      </c>
      <c r="P29" s="299">
        <f t="shared" si="59"/>
        <v>0</v>
      </c>
      <c r="Q29" s="4"/>
      <c r="R29" s="4">
        <f t="shared" si="60"/>
        <v>8.039160561559207</v>
      </c>
      <c r="S29" s="4">
        <f t="shared" si="61"/>
        <v>0.80584936943342644</v>
      </c>
      <c r="T29" s="267">
        <f t="shared" si="62"/>
        <v>37.784054639328275</v>
      </c>
      <c r="U29" s="299">
        <f t="shared" si="63"/>
        <v>3.5223675937935073</v>
      </c>
      <c r="V29" s="4"/>
      <c r="W29" s="4">
        <f t="shared" si="64"/>
        <v>7.5019276486035888</v>
      </c>
      <c r="X29" s="4">
        <f t="shared" si="65"/>
        <v>1.3430822823890443</v>
      </c>
      <c r="Y29" s="267">
        <f t="shared" si="66"/>
        <v>35.259059948436871</v>
      </c>
      <c r="Z29" s="299">
        <f t="shared" si="67"/>
        <v>5.8706126563225132</v>
      </c>
      <c r="AA29" s="4"/>
      <c r="AB29" s="4">
        <f t="shared" si="68"/>
        <v>6.1588453662145444</v>
      </c>
      <c r="AC29" s="4">
        <f t="shared" si="69"/>
        <v>2.6861645647780885</v>
      </c>
      <c r="AD29" s="267">
        <f t="shared" si="70"/>
        <v>28.946573221208361</v>
      </c>
      <c r="AE29" s="299">
        <f t="shared" si="71"/>
        <v>11.741225312645026</v>
      </c>
      <c r="AF29" s="4"/>
      <c r="AG29" s="4">
        <f t="shared" si="72"/>
        <v>3.4726808014364554</v>
      </c>
      <c r="AH29" s="4">
        <f t="shared" si="73"/>
        <v>5.372329129556177</v>
      </c>
      <c r="AI29" s="267">
        <f t="shared" si="74"/>
        <v>16.321599766751341</v>
      </c>
      <c r="AJ29" s="299">
        <f t="shared" si="75"/>
        <v>23.482450625290053</v>
      </c>
      <c r="AK29" s="4"/>
      <c r="AL29" s="4">
        <f t="shared" si="76"/>
        <v>2.577292613177093</v>
      </c>
      <c r="AM29" s="4">
        <f t="shared" si="77"/>
        <v>6.2677173178155394</v>
      </c>
      <c r="AN29" s="267">
        <f t="shared" si="78"/>
        <v>12.113275281932337</v>
      </c>
      <c r="AO29" s="299">
        <f t="shared" si="79"/>
        <v>27.396192396171724</v>
      </c>
      <c r="AP29" s="4"/>
      <c r="AQ29" s="4">
        <f t="shared" si="80"/>
        <v>0</v>
      </c>
      <c r="AR29" s="4">
        <f t="shared" si="81"/>
        <v>8.8450099309926333</v>
      </c>
      <c r="AS29" s="267">
        <f t="shared" si="82"/>
        <v>0</v>
      </c>
      <c r="AT29" s="299">
        <f t="shared" si="83"/>
        <v>38.661538408368806</v>
      </c>
    </row>
    <row r="30" spans="1:46" x14ac:dyDescent="0.4">
      <c r="B30">
        <v>4</v>
      </c>
      <c r="C30" s="1">
        <v>6.3</v>
      </c>
      <c r="D30" s="1">
        <f t="shared" si="0"/>
        <v>5.859</v>
      </c>
      <c r="E30" s="4">
        <v>10098</v>
      </c>
      <c r="F30" s="6">
        <f t="shared" si="52"/>
        <v>0.12329670329670329</v>
      </c>
      <c r="H30" s="4">
        <f t="shared" si="53"/>
        <v>9.6236300272776223</v>
      </c>
      <c r="I30" s="4">
        <f t="shared" si="54"/>
        <v>0</v>
      </c>
      <c r="J30" s="4">
        <f t="shared" si="55"/>
        <v>60.628869171849018</v>
      </c>
      <c r="K30" s="267">
        <f t="shared" si="55"/>
        <v>0</v>
      </c>
      <c r="L30" s="4"/>
      <c r="M30" s="4">
        <f t="shared" si="56"/>
        <v>9.6236300272776223</v>
      </c>
      <c r="N30" s="4">
        <f t="shared" si="57"/>
        <v>0</v>
      </c>
      <c r="O30" s="4">
        <f t="shared" si="58"/>
        <v>60.628869171849018</v>
      </c>
      <c r="P30" s="299">
        <f t="shared" si="59"/>
        <v>0</v>
      </c>
      <c r="Q30" s="4"/>
      <c r="R30" s="4">
        <f t="shared" si="60"/>
        <v>8.7468422961561121</v>
      </c>
      <c r="S30" s="4">
        <f t="shared" si="61"/>
        <v>0.87678773112151054</v>
      </c>
      <c r="T30" s="4">
        <f t="shared" si="62"/>
        <v>55.105106465783507</v>
      </c>
      <c r="U30" s="299">
        <f t="shared" si="63"/>
        <v>5.1370993166409304</v>
      </c>
      <c r="V30" s="4"/>
      <c r="W30" s="4">
        <f t="shared" si="64"/>
        <v>8.1623171420751035</v>
      </c>
      <c r="X30" s="4">
        <f t="shared" si="65"/>
        <v>1.4613128852025179</v>
      </c>
      <c r="Y30" s="4">
        <f t="shared" si="66"/>
        <v>51.422597995073147</v>
      </c>
      <c r="Z30" s="299">
        <f t="shared" si="67"/>
        <v>8.5618321944015516</v>
      </c>
      <c r="AA30" s="4"/>
      <c r="AB30" s="4">
        <f t="shared" si="68"/>
        <v>6.7010042568725865</v>
      </c>
      <c r="AC30" s="4">
        <f t="shared" si="69"/>
        <v>2.9226257704050358</v>
      </c>
      <c r="AD30" s="4">
        <f t="shared" si="70"/>
        <v>42.216326818297297</v>
      </c>
      <c r="AE30" s="299">
        <f t="shared" si="71"/>
        <v>17.123664388803103</v>
      </c>
      <c r="AF30" s="4"/>
      <c r="AG30" s="4">
        <f t="shared" si="72"/>
        <v>3.7783784864675498</v>
      </c>
      <c r="AH30" s="4">
        <f t="shared" si="73"/>
        <v>5.8452515408100716</v>
      </c>
      <c r="AI30" s="4">
        <f t="shared" si="74"/>
        <v>23.803784464745561</v>
      </c>
      <c r="AJ30" s="299">
        <f t="shared" si="75"/>
        <v>34.247328777606207</v>
      </c>
      <c r="AK30" s="4"/>
      <c r="AL30" s="4">
        <f t="shared" si="76"/>
        <v>2.8041698963325383</v>
      </c>
      <c r="AM30" s="4">
        <f t="shared" si="77"/>
        <v>6.8194601309450835</v>
      </c>
      <c r="AN30" s="4">
        <f t="shared" si="78"/>
        <v>17.66627034689499</v>
      </c>
      <c r="AO30" s="299">
        <f t="shared" si="79"/>
        <v>39.955216907207245</v>
      </c>
      <c r="AP30" s="4"/>
      <c r="AQ30" s="4">
        <f t="shared" si="80"/>
        <v>0</v>
      </c>
      <c r="AR30" s="4">
        <f t="shared" si="81"/>
        <v>9.6236300272776223</v>
      </c>
      <c r="AS30" s="4">
        <f t="shared" si="82"/>
        <v>0</v>
      </c>
      <c r="AT30" s="299">
        <f t="shared" si="83"/>
        <v>56.38484832981959</v>
      </c>
    </row>
    <row r="31" spans="1:46" x14ac:dyDescent="0.4">
      <c r="B31">
        <v>5</v>
      </c>
      <c r="C31" s="1">
        <v>7.7</v>
      </c>
      <c r="D31" s="1">
        <f t="shared" si="0"/>
        <v>7.1610000000000005</v>
      </c>
      <c r="E31" s="4">
        <v>7780</v>
      </c>
      <c r="F31" s="6">
        <f t="shared" si="52"/>
        <v>9.4993894993894989E-2</v>
      </c>
      <c r="H31" s="4">
        <f t="shared" si="53"/>
        <v>7.414521847120211</v>
      </c>
      <c r="I31" s="4">
        <f t="shared" si="54"/>
        <v>0</v>
      </c>
      <c r="J31" s="267">
        <f t="shared" si="55"/>
        <v>57.091818222825623</v>
      </c>
      <c r="K31" s="267">
        <f t="shared" si="55"/>
        <v>0</v>
      </c>
      <c r="L31" s="4"/>
      <c r="M31" s="4">
        <f t="shared" si="56"/>
        <v>7.414521847120211</v>
      </c>
      <c r="N31" s="4">
        <f t="shared" si="57"/>
        <v>0</v>
      </c>
      <c r="O31" s="267">
        <f t="shared" si="58"/>
        <v>57.091818222825623</v>
      </c>
      <c r="P31" s="299">
        <f t="shared" si="59"/>
        <v>0</v>
      </c>
      <c r="Q31" s="4"/>
      <c r="R31" s="4">
        <f t="shared" si="60"/>
        <v>6.7390010956718704</v>
      </c>
      <c r="S31" s="4">
        <f t="shared" si="61"/>
        <v>0.67552075144834145</v>
      </c>
      <c r="T31" s="267">
        <f t="shared" si="62"/>
        <v>51.890308436673401</v>
      </c>
      <c r="U31" s="299">
        <f t="shared" si="63"/>
        <v>4.8374041011215736</v>
      </c>
      <c r="V31" s="4"/>
      <c r="W31" s="4">
        <f t="shared" si="64"/>
        <v>6.2886539280396425</v>
      </c>
      <c r="X31" s="4">
        <f t="shared" si="65"/>
        <v>1.1258679190805694</v>
      </c>
      <c r="Y31" s="267">
        <f t="shared" si="66"/>
        <v>48.422635245905248</v>
      </c>
      <c r="Z31" s="299">
        <f t="shared" si="67"/>
        <v>8.0623401685359575</v>
      </c>
      <c r="AA31" s="4"/>
      <c r="AB31" s="4">
        <f t="shared" si="68"/>
        <v>5.1627860089590731</v>
      </c>
      <c r="AC31" s="4">
        <f t="shared" si="69"/>
        <v>2.2517358381611388</v>
      </c>
      <c r="AD31" s="267">
        <f t="shared" si="70"/>
        <v>39.753452268984866</v>
      </c>
      <c r="AE31" s="299">
        <f t="shared" si="71"/>
        <v>16.124680337071915</v>
      </c>
      <c r="AF31" s="4"/>
      <c r="AG31" s="4">
        <f t="shared" si="72"/>
        <v>2.9110501707979339</v>
      </c>
      <c r="AH31" s="4">
        <f t="shared" si="73"/>
        <v>4.5034716763222775</v>
      </c>
      <c r="AI31" s="267">
        <f t="shared" si="74"/>
        <v>22.415086315144091</v>
      </c>
      <c r="AJ31" s="299">
        <f t="shared" si="75"/>
        <v>32.24936067414383</v>
      </c>
      <c r="AK31" s="4"/>
      <c r="AL31" s="4">
        <f t="shared" si="76"/>
        <v>2.1604715580775546</v>
      </c>
      <c r="AM31" s="4">
        <f t="shared" si="77"/>
        <v>5.2540502890426568</v>
      </c>
      <c r="AN31" s="267">
        <f t="shared" si="78"/>
        <v>16.635630997197172</v>
      </c>
      <c r="AO31" s="299">
        <f t="shared" si="79"/>
        <v>37.624254119834468</v>
      </c>
      <c r="AP31" s="4"/>
      <c r="AQ31" s="4">
        <f t="shared" si="80"/>
        <v>0</v>
      </c>
      <c r="AR31" s="4">
        <f t="shared" si="81"/>
        <v>7.414521847120211</v>
      </c>
      <c r="AS31" s="267">
        <f t="shared" si="82"/>
        <v>0</v>
      </c>
      <c r="AT31" s="299">
        <f t="shared" si="83"/>
        <v>53.095390947227834</v>
      </c>
    </row>
    <row r="32" spans="1:46" s="274" customFormat="1" x14ac:dyDescent="0.4">
      <c r="C32" s="275"/>
      <c r="D32" s="275">
        <f t="shared" si="0"/>
        <v>0</v>
      </c>
      <c r="E32" s="276"/>
      <c r="F32" s="277"/>
      <c r="G32" s="276"/>
      <c r="H32" s="276">
        <f>機器台数４!D56</f>
        <v>7.5</v>
      </c>
      <c r="I32" s="276">
        <f>機器台数４!D57</f>
        <v>0</v>
      </c>
      <c r="J32" s="4">
        <f>SUM(J33:J39)</f>
        <v>21.19125</v>
      </c>
      <c r="K32" s="278"/>
      <c r="L32" s="276"/>
      <c r="M32" s="276">
        <f>機器台数４!F56</f>
        <v>7.5</v>
      </c>
      <c r="N32" s="276">
        <v>0</v>
      </c>
      <c r="O32" s="4">
        <f>SUM(O33:O39)</f>
        <v>21.19125</v>
      </c>
      <c r="P32" s="297">
        <f>SUM(P33:P39)</f>
        <v>0</v>
      </c>
      <c r="Q32" s="276"/>
      <c r="R32" s="276">
        <f>機器台数４!H56</f>
        <v>6.7500000000000018</v>
      </c>
      <c r="S32" s="276">
        <f>機器台数４!H57</f>
        <v>0.74999999999999822</v>
      </c>
      <c r="T32" s="4">
        <f>SUM(T33:T39)</f>
        <v>19.072125000000003</v>
      </c>
      <c r="U32" s="297">
        <f>SUM(U33:U39)</f>
        <v>1.9707862499999955</v>
      </c>
      <c r="V32" s="276"/>
      <c r="W32" s="276">
        <f>機器台数４!J56</f>
        <v>6.0000000000000009</v>
      </c>
      <c r="X32" s="276">
        <f>機器台数４!J57</f>
        <v>1.5000000000000002</v>
      </c>
      <c r="Y32" s="4">
        <f>SUM(Y33:Y39)</f>
        <v>16.953000000000003</v>
      </c>
      <c r="Z32" s="297">
        <f>SUM(Z33:Z39)</f>
        <v>3.9415725000000008</v>
      </c>
      <c r="AA32" s="276"/>
      <c r="AB32" s="276">
        <f>機器台数４!L56</f>
        <v>9</v>
      </c>
      <c r="AC32" s="276">
        <f>機器台数４!L57</f>
        <v>3</v>
      </c>
      <c r="AD32" s="4">
        <f>SUM(AD33:AD39)</f>
        <v>25.429500000000001</v>
      </c>
      <c r="AE32" s="297">
        <f>SUM(AE33:AE39)</f>
        <v>7.8831450000000007</v>
      </c>
      <c r="AF32" s="276"/>
      <c r="AG32" s="276">
        <f>機器台数４!N56</f>
        <v>3</v>
      </c>
      <c r="AH32" s="276">
        <f>機器台数４!N57</f>
        <v>4.5</v>
      </c>
      <c r="AI32" s="4">
        <f>SUM(AI33:AI39)</f>
        <v>8.4764999999999997</v>
      </c>
      <c r="AJ32" s="297">
        <f>SUM(AJ33:AJ39)</f>
        <v>11.824717500000002</v>
      </c>
      <c r="AK32" s="276"/>
      <c r="AL32" s="276">
        <f>機器台数４!P56</f>
        <v>1.5000000000000002</v>
      </c>
      <c r="AM32" s="276">
        <f>機器台数４!P57</f>
        <v>6</v>
      </c>
      <c r="AN32" s="4">
        <f>SUM(AN33:AN39)</f>
        <v>4.2382500000000007</v>
      </c>
      <c r="AO32" s="297">
        <f>SUM(AO33:AO39)</f>
        <v>15.766290000000001</v>
      </c>
      <c r="AP32" s="276"/>
      <c r="AQ32" s="276">
        <f>機器台数４!R56</f>
        <v>0</v>
      </c>
      <c r="AR32" s="276">
        <f>機器台数４!R57</f>
        <v>7.5</v>
      </c>
      <c r="AS32" s="4">
        <f>SUM(AS33:AS39)</f>
        <v>0</v>
      </c>
      <c r="AT32" s="297">
        <f>SUM(AT33:AT39)</f>
        <v>19.707862500000001</v>
      </c>
    </row>
    <row r="33" spans="1:46" x14ac:dyDescent="0.4">
      <c r="A33" t="s">
        <v>12</v>
      </c>
      <c r="B33">
        <v>1.5</v>
      </c>
      <c r="C33" s="1">
        <v>2.2999999999999998</v>
      </c>
      <c r="D33" s="1">
        <f t="shared" si="0"/>
        <v>2.1389999999999998</v>
      </c>
      <c r="E33" s="4">
        <f t="shared" ref="E33:E39" si="84">$A$35*F33</f>
        <v>3000</v>
      </c>
      <c r="F33" s="6">
        <v>0.03</v>
      </c>
      <c r="G33" s="114">
        <f>SUM(H33:H39)</f>
        <v>7.5</v>
      </c>
      <c r="H33" s="4">
        <f t="shared" ref="H33:H39" si="85">F33*H$32</f>
        <v>0.22499999999999998</v>
      </c>
      <c r="I33" s="4">
        <f t="shared" ref="I33:I39" si="86">$F33*I$32</f>
        <v>0</v>
      </c>
      <c r="J33" s="267">
        <f t="shared" ref="J33:K39" si="87">C33*H33</f>
        <v>0.51749999999999996</v>
      </c>
      <c r="K33" s="267">
        <f t="shared" si="87"/>
        <v>0</v>
      </c>
      <c r="L33" s="4"/>
      <c r="M33" s="4">
        <f t="shared" ref="M33:M39" si="88">M$32*$F33</f>
        <v>0.22499999999999998</v>
      </c>
      <c r="N33" s="4">
        <f t="shared" ref="N33:N39" si="89">$F33*N$32</f>
        <v>0</v>
      </c>
      <c r="O33" s="267">
        <f t="shared" ref="O33:O39" si="90">$C33*M33</f>
        <v>0.51749999999999996</v>
      </c>
      <c r="P33" s="299">
        <f t="shared" ref="P33:P39" si="91">$D33*N33</f>
        <v>0</v>
      </c>
      <c r="Q33" s="4"/>
      <c r="R33" s="4">
        <f t="shared" ref="R33:R39" si="92">R$32*$F33</f>
        <v>0.20250000000000004</v>
      </c>
      <c r="S33" s="4">
        <f t="shared" ref="S33:S39" si="93">$F33*S$32</f>
        <v>2.2499999999999947E-2</v>
      </c>
      <c r="T33" s="267">
        <f t="shared" ref="T33:T39" si="94">$C33*R33</f>
        <v>0.46575000000000005</v>
      </c>
      <c r="U33" s="299">
        <f t="shared" ref="U33:U39" si="95">$D33*S33</f>
        <v>4.8127499999999886E-2</v>
      </c>
      <c r="V33" s="4"/>
      <c r="W33" s="4">
        <f t="shared" ref="W33:W39" si="96">W$32*$F33</f>
        <v>0.18000000000000002</v>
      </c>
      <c r="X33" s="4">
        <f t="shared" ref="X33:X39" si="97">$F33*X$32</f>
        <v>4.5000000000000005E-2</v>
      </c>
      <c r="Y33" s="267">
        <f t="shared" ref="Y33:Y39" si="98">$C33*W33</f>
        <v>0.41400000000000003</v>
      </c>
      <c r="Z33" s="299">
        <f t="shared" ref="Z33:Z39" si="99">$D33*X33</f>
        <v>9.6255000000000007E-2</v>
      </c>
      <c r="AA33" s="4"/>
      <c r="AB33" s="4">
        <f t="shared" ref="AB33:AB39" si="100">AB$32*$F33</f>
        <v>0.27</v>
      </c>
      <c r="AC33" s="4">
        <f t="shared" ref="AC33:AC39" si="101">$F33*AC$32</f>
        <v>0.09</v>
      </c>
      <c r="AD33" s="267">
        <f t="shared" ref="AD33:AD39" si="102">$C33*AB33</f>
        <v>0.621</v>
      </c>
      <c r="AE33" s="299">
        <f t="shared" ref="AE33:AE39" si="103">$D33*AC33</f>
        <v>0.19250999999999999</v>
      </c>
      <c r="AF33" s="114">
        <f>SUM(AG33:AG39)</f>
        <v>2.9999999999999996</v>
      </c>
      <c r="AG33" s="4">
        <f t="shared" ref="AG33:AG39" si="104">AG$32*$F33</f>
        <v>0.09</v>
      </c>
      <c r="AH33" s="4">
        <f t="shared" ref="AH33:AH39" si="105">$F33*AH$32</f>
        <v>0.13500000000000001</v>
      </c>
      <c r="AI33" s="267">
        <f t="shared" ref="AI33:AI39" si="106">$C33*AG33</f>
        <v>0.20699999999999999</v>
      </c>
      <c r="AJ33" s="299">
        <f t="shared" ref="AJ33:AJ39" si="107">$D33*AH33</f>
        <v>0.28876499999999999</v>
      </c>
      <c r="AK33" s="114">
        <f>SUM(AL33:AL39)</f>
        <v>1.5000000000000004</v>
      </c>
      <c r="AL33" s="4">
        <f t="shared" ref="AL33:AL39" si="108">AL$32*$F33</f>
        <v>4.5000000000000005E-2</v>
      </c>
      <c r="AM33" s="4">
        <f t="shared" ref="AM33:AM39" si="109">$F33*AM$32</f>
        <v>0.18</v>
      </c>
      <c r="AN33" s="267">
        <f t="shared" ref="AN33:AN39" si="110">$C33*AL33</f>
        <v>0.10350000000000001</v>
      </c>
      <c r="AO33" s="299">
        <f t="shared" ref="AO33:AO39" si="111">$D33*AM33</f>
        <v>0.38501999999999997</v>
      </c>
      <c r="AP33" s="4"/>
      <c r="AQ33" s="4">
        <f t="shared" ref="AQ33:AQ39" si="112">AQ$32*$F33</f>
        <v>0</v>
      </c>
      <c r="AR33" s="4">
        <f t="shared" ref="AR33:AR39" si="113">$F33*AR$32</f>
        <v>0.22499999999999998</v>
      </c>
      <c r="AS33" s="267">
        <f t="shared" ref="AS33:AS39" si="114">$C33*AQ33</f>
        <v>0</v>
      </c>
      <c r="AT33" s="299">
        <f t="shared" ref="AT33:AT39" si="115">$D33*AR33</f>
        <v>0.4812749999999999</v>
      </c>
    </row>
    <row r="34" spans="1:46" x14ac:dyDescent="0.4">
      <c r="A34" t="s">
        <v>13</v>
      </c>
      <c r="B34">
        <v>2</v>
      </c>
      <c r="C34" s="1">
        <v>2.2999999999999998</v>
      </c>
      <c r="D34" s="1">
        <f t="shared" si="0"/>
        <v>2.1389999999999998</v>
      </c>
      <c r="E34" s="4">
        <f t="shared" si="84"/>
        <v>15000</v>
      </c>
      <c r="F34" s="6">
        <v>0.15</v>
      </c>
      <c r="H34" s="4">
        <f t="shared" si="85"/>
        <v>1.125</v>
      </c>
      <c r="I34" s="4">
        <f t="shared" si="86"/>
        <v>0</v>
      </c>
      <c r="J34" s="267">
        <f t="shared" si="87"/>
        <v>2.5874999999999999</v>
      </c>
      <c r="K34" s="267">
        <f t="shared" si="87"/>
        <v>0</v>
      </c>
      <c r="L34" s="4"/>
      <c r="M34" s="4">
        <f t="shared" si="88"/>
        <v>1.125</v>
      </c>
      <c r="N34" s="4">
        <f t="shared" si="89"/>
        <v>0</v>
      </c>
      <c r="O34" s="267">
        <f t="shared" si="90"/>
        <v>2.5874999999999999</v>
      </c>
      <c r="P34" s="299">
        <f t="shared" si="91"/>
        <v>0</v>
      </c>
      <c r="Q34" s="4"/>
      <c r="R34" s="4">
        <f t="shared" si="92"/>
        <v>1.0125000000000002</v>
      </c>
      <c r="S34" s="4">
        <f t="shared" si="93"/>
        <v>0.11249999999999973</v>
      </c>
      <c r="T34" s="267">
        <f t="shared" si="94"/>
        <v>2.3287500000000003</v>
      </c>
      <c r="U34" s="299">
        <f t="shared" si="95"/>
        <v>0.24063749999999939</v>
      </c>
      <c r="V34" s="4"/>
      <c r="W34" s="4">
        <f t="shared" si="96"/>
        <v>0.90000000000000013</v>
      </c>
      <c r="X34" s="4">
        <f t="shared" si="97"/>
        <v>0.22500000000000003</v>
      </c>
      <c r="Y34" s="267">
        <f t="shared" si="98"/>
        <v>2.0700000000000003</v>
      </c>
      <c r="Z34" s="299">
        <f t="shared" si="99"/>
        <v>0.48127500000000001</v>
      </c>
      <c r="AA34" s="4"/>
      <c r="AB34" s="4">
        <f t="shared" si="100"/>
        <v>1.3499999999999999</v>
      </c>
      <c r="AC34" s="4">
        <f t="shared" si="101"/>
        <v>0.44999999999999996</v>
      </c>
      <c r="AD34" s="267">
        <f t="shared" si="102"/>
        <v>3.1049999999999995</v>
      </c>
      <c r="AE34" s="299">
        <f t="shared" si="103"/>
        <v>0.96254999999999979</v>
      </c>
      <c r="AF34" s="4"/>
      <c r="AG34" s="4">
        <f t="shared" si="104"/>
        <v>0.44999999999999996</v>
      </c>
      <c r="AH34" s="4">
        <f t="shared" si="105"/>
        <v>0.67499999999999993</v>
      </c>
      <c r="AI34" s="267">
        <f t="shared" si="106"/>
        <v>1.0349999999999999</v>
      </c>
      <c r="AJ34" s="299">
        <f t="shared" si="107"/>
        <v>1.4438249999999997</v>
      </c>
      <c r="AK34" s="4"/>
      <c r="AL34" s="4">
        <f t="shared" si="108"/>
        <v>0.22500000000000003</v>
      </c>
      <c r="AM34" s="4">
        <f t="shared" si="109"/>
        <v>0.89999999999999991</v>
      </c>
      <c r="AN34" s="267">
        <f t="shared" si="110"/>
        <v>0.51750000000000007</v>
      </c>
      <c r="AO34" s="299">
        <f t="shared" si="111"/>
        <v>1.9250999999999996</v>
      </c>
      <c r="AP34" s="4"/>
      <c r="AQ34" s="4">
        <f t="shared" si="112"/>
        <v>0</v>
      </c>
      <c r="AR34" s="4">
        <f t="shared" si="113"/>
        <v>1.125</v>
      </c>
      <c r="AS34" s="267">
        <f t="shared" si="114"/>
        <v>0</v>
      </c>
      <c r="AT34" s="299">
        <f t="shared" si="115"/>
        <v>2.4063749999999997</v>
      </c>
    </row>
    <row r="35" spans="1:46" x14ac:dyDescent="0.4">
      <c r="A35" s="7">
        <v>100000</v>
      </c>
      <c r="B35">
        <v>2.5</v>
      </c>
      <c r="C35" s="1">
        <v>2.5</v>
      </c>
      <c r="D35" s="1">
        <f t="shared" si="0"/>
        <v>2.3250000000000002</v>
      </c>
      <c r="E35" s="4">
        <f t="shared" si="84"/>
        <v>17000</v>
      </c>
      <c r="F35" s="6">
        <v>0.17</v>
      </c>
      <c r="H35" s="4">
        <f t="shared" si="85"/>
        <v>1.2750000000000001</v>
      </c>
      <c r="I35" s="4">
        <f t="shared" si="86"/>
        <v>0</v>
      </c>
      <c r="J35" s="267">
        <f t="shared" si="87"/>
        <v>3.1875000000000004</v>
      </c>
      <c r="K35" s="267">
        <f t="shared" si="87"/>
        <v>0</v>
      </c>
      <c r="L35" s="4"/>
      <c r="M35" s="4">
        <f t="shared" si="88"/>
        <v>1.2750000000000001</v>
      </c>
      <c r="N35" s="4">
        <f t="shared" si="89"/>
        <v>0</v>
      </c>
      <c r="O35" s="267">
        <f t="shared" si="90"/>
        <v>3.1875000000000004</v>
      </c>
      <c r="P35" s="299">
        <f t="shared" si="91"/>
        <v>0</v>
      </c>
      <c r="Q35" s="4"/>
      <c r="R35" s="4">
        <f t="shared" si="92"/>
        <v>1.1475000000000004</v>
      </c>
      <c r="S35" s="4">
        <f t="shared" si="93"/>
        <v>0.1274999999999997</v>
      </c>
      <c r="T35" s="267">
        <f t="shared" si="94"/>
        <v>2.8687500000000012</v>
      </c>
      <c r="U35" s="299">
        <f t="shared" si="95"/>
        <v>0.2964374999999993</v>
      </c>
      <c r="V35" s="4"/>
      <c r="W35" s="4">
        <f t="shared" si="96"/>
        <v>1.0200000000000002</v>
      </c>
      <c r="X35" s="4">
        <f t="shared" si="97"/>
        <v>0.25500000000000006</v>
      </c>
      <c r="Y35" s="267">
        <f t="shared" si="98"/>
        <v>2.5500000000000007</v>
      </c>
      <c r="Z35" s="299">
        <f t="shared" si="99"/>
        <v>0.59287500000000015</v>
      </c>
      <c r="AA35" s="4"/>
      <c r="AB35" s="4">
        <f t="shared" si="100"/>
        <v>1.53</v>
      </c>
      <c r="AC35" s="4">
        <f t="shared" si="101"/>
        <v>0.51</v>
      </c>
      <c r="AD35" s="267">
        <f t="shared" si="102"/>
        <v>3.8250000000000002</v>
      </c>
      <c r="AE35" s="299">
        <f t="shared" si="103"/>
        <v>1.1857500000000001</v>
      </c>
      <c r="AF35" s="4"/>
      <c r="AG35" s="4">
        <f t="shared" si="104"/>
        <v>0.51</v>
      </c>
      <c r="AH35" s="4">
        <f t="shared" si="105"/>
        <v>0.76500000000000001</v>
      </c>
      <c r="AI35" s="267">
        <f t="shared" si="106"/>
        <v>1.2749999999999999</v>
      </c>
      <c r="AJ35" s="299">
        <f t="shared" si="107"/>
        <v>1.7786250000000001</v>
      </c>
      <c r="AK35" s="4"/>
      <c r="AL35" s="4">
        <f t="shared" si="108"/>
        <v>0.25500000000000006</v>
      </c>
      <c r="AM35" s="4">
        <f t="shared" si="109"/>
        <v>1.02</v>
      </c>
      <c r="AN35" s="267">
        <f t="shared" si="110"/>
        <v>0.63750000000000018</v>
      </c>
      <c r="AO35" s="299">
        <f t="shared" si="111"/>
        <v>2.3715000000000002</v>
      </c>
      <c r="AP35" s="4"/>
      <c r="AQ35" s="4">
        <f t="shared" si="112"/>
        <v>0</v>
      </c>
      <c r="AR35" s="4">
        <f t="shared" si="113"/>
        <v>1.2750000000000001</v>
      </c>
      <c r="AS35" s="267">
        <f t="shared" si="114"/>
        <v>0</v>
      </c>
      <c r="AT35" s="299">
        <f t="shared" si="115"/>
        <v>2.9643750000000004</v>
      </c>
    </row>
    <row r="36" spans="1:46" x14ac:dyDescent="0.4">
      <c r="B36">
        <v>3</v>
      </c>
      <c r="C36" s="1">
        <v>2.5</v>
      </c>
      <c r="D36" s="1">
        <f t="shared" si="0"/>
        <v>2.3250000000000002</v>
      </c>
      <c r="E36" s="4">
        <f t="shared" si="84"/>
        <v>26000</v>
      </c>
      <c r="F36" s="6">
        <v>0.26</v>
      </c>
      <c r="H36" s="4">
        <f t="shared" si="85"/>
        <v>1.9500000000000002</v>
      </c>
      <c r="I36" s="4">
        <f t="shared" si="86"/>
        <v>0</v>
      </c>
      <c r="J36" s="267">
        <f t="shared" si="87"/>
        <v>4.875</v>
      </c>
      <c r="K36" s="267">
        <f t="shared" si="87"/>
        <v>0</v>
      </c>
      <c r="L36" s="4"/>
      <c r="M36" s="4">
        <f t="shared" si="88"/>
        <v>1.9500000000000002</v>
      </c>
      <c r="N36" s="4">
        <f t="shared" si="89"/>
        <v>0</v>
      </c>
      <c r="O36" s="267">
        <f t="shared" si="90"/>
        <v>4.875</v>
      </c>
      <c r="P36" s="299">
        <f t="shared" si="91"/>
        <v>0</v>
      </c>
      <c r="Q36" s="4"/>
      <c r="R36" s="4">
        <f t="shared" si="92"/>
        <v>1.7550000000000006</v>
      </c>
      <c r="S36" s="4">
        <f t="shared" si="93"/>
        <v>0.19499999999999953</v>
      </c>
      <c r="T36" s="267">
        <f t="shared" si="94"/>
        <v>4.3875000000000011</v>
      </c>
      <c r="U36" s="299">
        <f t="shared" si="95"/>
        <v>0.45337499999999897</v>
      </c>
      <c r="V36" s="4"/>
      <c r="W36" s="4">
        <f t="shared" si="96"/>
        <v>1.5600000000000003</v>
      </c>
      <c r="X36" s="4">
        <f t="shared" si="97"/>
        <v>0.39000000000000007</v>
      </c>
      <c r="Y36" s="267">
        <f t="shared" si="98"/>
        <v>3.9000000000000008</v>
      </c>
      <c r="Z36" s="299">
        <f t="shared" si="99"/>
        <v>0.90675000000000028</v>
      </c>
      <c r="AA36" s="4"/>
      <c r="AB36" s="4">
        <f t="shared" si="100"/>
        <v>2.34</v>
      </c>
      <c r="AC36" s="4">
        <f t="shared" si="101"/>
        <v>0.78</v>
      </c>
      <c r="AD36" s="267">
        <f t="shared" si="102"/>
        <v>5.85</v>
      </c>
      <c r="AE36" s="299">
        <f t="shared" si="103"/>
        <v>1.8135000000000001</v>
      </c>
      <c r="AF36" s="4"/>
      <c r="AG36" s="4">
        <f t="shared" si="104"/>
        <v>0.78</v>
      </c>
      <c r="AH36" s="4">
        <f t="shared" si="105"/>
        <v>1.17</v>
      </c>
      <c r="AI36" s="267">
        <f t="shared" si="106"/>
        <v>1.9500000000000002</v>
      </c>
      <c r="AJ36" s="299">
        <f t="shared" si="107"/>
        <v>2.7202500000000001</v>
      </c>
      <c r="AK36" s="4"/>
      <c r="AL36" s="4">
        <f t="shared" si="108"/>
        <v>0.39000000000000007</v>
      </c>
      <c r="AM36" s="4">
        <f t="shared" si="109"/>
        <v>1.56</v>
      </c>
      <c r="AN36" s="267">
        <f t="shared" si="110"/>
        <v>0.9750000000000002</v>
      </c>
      <c r="AO36" s="299">
        <f t="shared" si="111"/>
        <v>3.6270000000000002</v>
      </c>
      <c r="AP36" s="4"/>
      <c r="AQ36" s="4">
        <f t="shared" si="112"/>
        <v>0</v>
      </c>
      <c r="AR36" s="4">
        <f t="shared" si="113"/>
        <v>1.9500000000000002</v>
      </c>
      <c r="AS36" s="267">
        <f t="shared" si="114"/>
        <v>0</v>
      </c>
      <c r="AT36" s="299">
        <f t="shared" si="115"/>
        <v>4.5337500000000004</v>
      </c>
    </row>
    <row r="37" spans="1:46" x14ac:dyDescent="0.4">
      <c r="B37">
        <v>3.5</v>
      </c>
      <c r="C37" s="1">
        <v>3.35</v>
      </c>
      <c r="D37" s="1">
        <f t="shared" si="0"/>
        <v>3.1155000000000004</v>
      </c>
      <c r="E37" s="4">
        <f t="shared" si="84"/>
        <v>10000</v>
      </c>
      <c r="F37" s="6">
        <v>0.1</v>
      </c>
      <c r="H37" s="4">
        <f t="shared" si="85"/>
        <v>0.75</v>
      </c>
      <c r="I37" s="4">
        <f t="shared" si="86"/>
        <v>0</v>
      </c>
      <c r="J37" s="267">
        <f t="shared" si="87"/>
        <v>2.5125000000000002</v>
      </c>
      <c r="K37" s="267">
        <f t="shared" si="87"/>
        <v>0</v>
      </c>
      <c r="L37" s="4"/>
      <c r="M37" s="4">
        <f t="shared" si="88"/>
        <v>0.75</v>
      </c>
      <c r="N37" s="4">
        <f t="shared" si="89"/>
        <v>0</v>
      </c>
      <c r="O37" s="267">
        <f t="shared" si="90"/>
        <v>2.5125000000000002</v>
      </c>
      <c r="P37" s="299">
        <f t="shared" si="91"/>
        <v>0</v>
      </c>
      <c r="Q37" s="4"/>
      <c r="R37" s="4">
        <f t="shared" si="92"/>
        <v>0.67500000000000027</v>
      </c>
      <c r="S37" s="4">
        <f t="shared" si="93"/>
        <v>7.4999999999999831E-2</v>
      </c>
      <c r="T37" s="267">
        <f t="shared" si="94"/>
        <v>2.2612500000000009</v>
      </c>
      <c r="U37" s="299">
        <f t="shared" si="95"/>
        <v>0.2336624999999995</v>
      </c>
      <c r="V37" s="4"/>
      <c r="W37" s="4">
        <f t="shared" si="96"/>
        <v>0.60000000000000009</v>
      </c>
      <c r="X37" s="4">
        <f t="shared" si="97"/>
        <v>0.15000000000000002</v>
      </c>
      <c r="Y37" s="267">
        <f t="shared" si="98"/>
        <v>2.0100000000000002</v>
      </c>
      <c r="Z37" s="299">
        <f t="shared" si="99"/>
        <v>0.4673250000000001</v>
      </c>
      <c r="AA37" s="4"/>
      <c r="AB37" s="4">
        <f t="shared" si="100"/>
        <v>0.9</v>
      </c>
      <c r="AC37" s="4">
        <f t="shared" si="101"/>
        <v>0.30000000000000004</v>
      </c>
      <c r="AD37" s="267">
        <f t="shared" si="102"/>
        <v>3.0150000000000001</v>
      </c>
      <c r="AE37" s="299">
        <f t="shared" si="103"/>
        <v>0.9346500000000002</v>
      </c>
      <c r="AF37" s="4"/>
      <c r="AG37" s="4">
        <f t="shared" si="104"/>
        <v>0.30000000000000004</v>
      </c>
      <c r="AH37" s="4">
        <f t="shared" si="105"/>
        <v>0.45</v>
      </c>
      <c r="AI37" s="267">
        <f t="shared" si="106"/>
        <v>1.0050000000000001</v>
      </c>
      <c r="AJ37" s="299">
        <f t="shared" si="107"/>
        <v>1.4019750000000002</v>
      </c>
      <c r="AK37" s="4"/>
      <c r="AL37" s="4">
        <f t="shared" si="108"/>
        <v>0.15000000000000002</v>
      </c>
      <c r="AM37" s="4">
        <f t="shared" si="109"/>
        <v>0.60000000000000009</v>
      </c>
      <c r="AN37" s="267">
        <f t="shared" si="110"/>
        <v>0.50250000000000006</v>
      </c>
      <c r="AO37" s="299">
        <f t="shared" si="111"/>
        <v>1.8693000000000004</v>
      </c>
      <c r="AP37" s="4"/>
      <c r="AQ37" s="4">
        <f t="shared" si="112"/>
        <v>0</v>
      </c>
      <c r="AR37" s="4">
        <f t="shared" si="113"/>
        <v>0.75</v>
      </c>
      <c r="AS37" s="267">
        <f t="shared" si="114"/>
        <v>0</v>
      </c>
      <c r="AT37" s="299">
        <f t="shared" si="115"/>
        <v>2.3366250000000002</v>
      </c>
    </row>
    <row r="38" spans="1:46" x14ac:dyDescent="0.4">
      <c r="B38">
        <v>4</v>
      </c>
      <c r="C38" s="1">
        <v>3.35</v>
      </c>
      <c r="D38" s="1">
        <f t="shared" si="0"/>
        <v>3.1155000000000004</v>
      </c>
      <c r="E38" s="4">
        <f t="shared" si="84"/>
        <v>17000</v>
      </c>
      <c r="F38" s="6">
        <v>0.17</v>
      </c>
      <c r="H38" s="4">
        <f t="shared" si="85"/>
        <v>1.2750000000000001</v>
      </c>
      <c r="I38" s="4">
        <f t="shared" si="86"/>
        <v>0</v>
      </c>
      <c r="J38" s="267">
        <f t="shared" si="87"/>
        <v>4.2712500000000002</v>
      </c>
      <c r="K38" s="267">
        <f t="shared" si="87"/>
        <v>0</v>
      </c>
      <c r="L38" s="4"/>
      <c r="M38" s="4">
        <f t="shared" si="88"/>
        <v>1.2750000000000001</v>
      </c>
      <c r="N38" s="4">
        <f t="shared" si="89"/>
        <v>0</v>
      </c>
      <c r="O38" s="267">
        <f t="shared" si="90"/>
        <v>4.2712500000000002</v>
      </c>
      <c r="P38" s="299">
        <f t="shared" si="91"/>
        <v>0</v>
      </c>
      <c r="Q38" s="4"/>
      <c r="R38" s="4">
        <f t="shared" si="92"/>
        <v>1.1475000000000004</v>
      </c>
      <c r="S38" s="4">
        <f t="shared" si="93"/>
        <v>0.1274999999999997</v>
      </c>
      <c r="T38" s="267">
        <f t="shared" si="94"/>
        <v>3.8441250000000013</v>
      </c>
      <c r="U38" s="299">
        <f t="shared" si="95"/>
        <v>0.39722624999999911</v>
      </c>
      <c r="V38" s="4"/>
      <c r="W38" s="4">
        <f t="shared" si="96"/>
        <v>1.0200000000000002</v>
      </c>
      <c r="X38" s="4">
        <f t="shared" si="97"/>
        <v>0.25500000000000006</v>
      </c>
      <c r="Y38" s="267">
        <f t="shared" si="98"/>
        <v>3.4170000000000007</v>
      </c>
      <c r="Z38" s="299">
        <f t="shared" si="99"/>
        <v>0.79445250000000034</v>
      </c>
      <c r="AA38" s="4"/>
      <c r="AB38" s="4">
        <f t="shared" si="100"/>
        <v>1.53</v>
      </c>
      <c r="AC38" s="4">
        <f t="shared" si="101"/>
        <v>0.51</v>
      </c>
      <c r="AD38" s="267">
        <f t="shared" si="102"/>
        <v>5.1255000000000006</v>
      </c>
      <c r="AE38" s="299">
        <f t="shared" si="103"/>
        <v>1.5889050000000002</v>
      </c>
      <c r="AF38" s="4"/>
      <c r="AG38" s="4">
        <f t="shared" si="104"/>
        <v>0.51</v>
      </c>
      <c r="AH38" s="4">
        <f t="shared" si="105"/>
        <v>0.76500000000000001</v>
      </c>
      <c r="AI38" s="267">
        <f t="shared" si="106"/>
        <v>1.7085000000000001</v>
      </c>
      <c r="AJ38" s="299">
        <f t="shared" si="107"/>
        <v>2.3833575000000002</v>
      </c>
      <c r="AK38" s="4"/>
      <c r="AL38" s="4">
        <f t="shared" si="108"/>
        <v>0.25500000000000006</v>
      </c>
      <c r="AM38" s="4">
        <f t="shared" si="109"/>
        <v>1.02</v>
      </c>
      <c r="AN38" s="267">
        <f t="shared" si="110"/>
        <v>0.85425000000000018</v>
      </c>
      <c r="AO38" s="299">
        <f t="shared" si="111"/>
        <v>3.1778100000000005</v>
      </c>
      <c r="AP38" s="4"/>
      <c r="AQ38" s="4">
        <f t="shared" si="112"/>
        <v>0</v>
      </c>
      <c r="AR38" s="4">
        <f t="shared" si="113"/>
        <v>1.2750000000000001</v>
      </c>
      <c r="AS38" s="267">
        <f t="shared" si="114"/>
        <v>0</v>
      </c>
      <c r="AT38" s="299">
        <f t="shared" si="115"/>
        <v>3.9722625000000007</v>
      </c>
    </row>
    <row r="39" spans="1:46" x14ac:dyDescent="0.4">
      <c r="B39">
        <v>5</v>
      </c>
      <c r="C39" s="1">
        <v>3.6</v>
      </c>
      <c r="D39" s="1">
        <f t="shared" si="0"/>
        <v>3.3480000000000003</v>
      </c>
      <c r="E39" s="4">
        <f t="shared" si="84"/>
        <v>12000</v>
      </c>
      <c r="F39" s="6">
        <v>0.12</v>
      </c>
      <c r="H39" s="4">
        <f t="shared" si="85"/>
        <v>0.89999999999999991</v>
      </c>
      <c r="I39" s="4">
        <f t="shared" si="86"/>
        <v>0</v>
      </c>
      <c r="J39" s="4">
        <f t="shared" si="87"/>
        <v>3.2399999999999998</v>
      </c>
      <c r="K39" s="267">
        <f t="shared" si="87"/>
        <v>0</v>
      </c>
      <c r="L39" s="4"/>
      <c r="M39" s="4">
        <f t="shared" si="88"/>
        <v>0.89999999999999991</v>
      </c>
      <c r="N39" s="4">
        <f t="shared" si="89"/>
        <v>0</v>
      </c>
      <c r="O39" s="267">
        <f t="shared" si="90"/>
        <v>3.2399999999999998</v>
      </c>
      <c r="P39" s="299">
        <f t="shared" si="91"/>
        <v>0</v>
      </c>
      <c r="Q39" s="4"/>
      <c r="R39" s="4">
        <f t="shared" si="92"/>
        <v>0.81000000000000016</v>
      </c>
      <c r="S39" s="4">
        <f t="shared" si="93"/>
        <v>8.9999999999999789E-2</v>
      </c>
      <c r="T39" s="267">
        <f t="shared" si="94"/>
        <v>2.9160000000000008</v>
      </c>
      <c r="U39" s="299">
        <f t="shared" si="95"/>
        <v>0.30131999999999931</v>
      </c>
      <c r="V39" s="4"/>
      <c r="W39" s="4">
        <f t="shared" si="96"/>
        <v>0.72000000000000008</v>
      </c>
      <c r="X39" s="4">
        <f t="shared" si="97"/>
        <v>0.18000000000000002</v>
      </c>
      <c r="Y39" s="267">
        <f t="shared" si="98"/>
        <v>2.5920000000000005</v>
      </c>
      <c r="Z39" s="299">
        <f t="shared" si="99"/>
        <v>0.60264000000000018</v>
      </c>
      <c r="AA39" s="4"/>
      <c r="AB39" s="4">
        <f t="shared" si="100"/>
        <v>1.08</v>
      </c>
      <c r="AC39" s="4">
        <f t="shared" si="101"/>
        <v>0.36</v>
      </c>
      <c r="AD39" s="267">
        <f t="shared" si="102"/>
        <v>3.8880000000000003</v>
      </c>
      <c r="AE39" s="299">
        <f t="shared" si="103"/>
        <v>1.2052800000000001</v>
      </c>
      <c r="AF39" s="4"/>
      <c r="AG39" s="4">
        <f t="shared" si="104"/>
        <v>0.36</v>
      </c>
      <c r="AH39" s="4">
        <f t="shared" si="105"/>
        <v>0.54</v>
      </c>
      <c r="AI39" s="267">
        <f t="shared" si="106"/>
        <v>1.296</v>
      </c>
      <c r="AJ39" s="299">
        <f t="shared" si="107"/>
        <v>1.8079200000000002</v>
      </c>
      <c r="AK39" s="4"/>
      <c r="AL39" s="4">
        <f t="shared" si="108"/>
        <v>0.18000000000000002</v>
      </c>
      <c r="AM39" s="4">
        <f t="shared" si="109"/>
        <v>0.72</v>
      </c>
      <c r="AN39" s="267">
        <f t="shared" si="110"/>
        <v>0.64800000000000013</v>
      </c>
      <c r="AO39" s="299">
        <f t="shared" si="111"/>
        <v>2.4105600000000003</v>
      </c>
      <c r="AP39" s="4"/>
      <c r="AQ39" s="4">
        <f t="shared" si="112"/>
        <v>0</v>
      </c>
      <c r="AR39" s="4">
        <f t="shared" si="113"/>
        <v>0.89999999999999991</v>
      </c>
      <c r="AS39" s="267">
        <f t="shared" si="114"/>
        <v>0</v>
      </c>
      <c r="AT39" s="299">
        <f t="shared" si="115"/>
        <v>3.0131999999999999</v>
      </c>
    </row>
    <row r="40" spans="1:46" x14ac:dyDescent="0.4">
      <c r="D40" s="1">
        <f t="shared" si="0"/>
        <v>0</v>
      </c>
      <c r="F40" s="6"/>
      <c r="H40" s="4">
        <f>機器台数４!D66</f>
        <v>32.500956112126033</v>
      </c>
      <c r="I40" s="4">
        <f>機器台数４!D73</f>
        <v>0</v>
      </c>
      <c r="J40" s="4">
        <f>SUM(J41:J44)</f>
        <v>201.61504907146616</v>
      </c>
      <c r="K40" s="267"/>
      <c r="L40" s="4"/>
      <c r="M40" s="4">
        <f>機器台数４!F66</f>
        <v>32.500956112126033</v>
      </c>
      <c r="N40" s="4">
        <v>0</v>
      </c>
      <c r="O40" s="4">
        <f>SUM(O41:O44)</f>
        <v>201.61504907146616</v>
      </c>
      <c r="P40" s="297">
        <f>SUM(P41:P44)</f>
        <v>0</v>
      </c>
      <c r="Q40" s="4"/>
      <c r="R40" s="4">
        <f>機器台数４!H66</f>
        <v>29.539865599704083</v>
      </c>
      <c r="S40" s="4">
        <f>機器台数４!H73</f>
        <v>2.961090512421952</v>
      </c>
      <c r="T40" s="4">
        <f>SUM(T41:T44)</f>
        <v>183.24634610447052</v>
      </c>
      <c r="U40" s="297">
        <f>SUM(U41:U44)</f>
        <v>17.082893759305946</v>
      </c>
      <c r="V40" s="4"/>
      <c r="W40" s="4">
        <f>機器台数４!J66</f>
        <v>27.565805258089448</v>
      </c>
      <c r="X40" s="4">
        <f>機器台数４!J73</f>
        <v>4.9351508540365874</v>
      </c>
      <c r="Y40" s="4">
        <f>SUM(Y41:Y44)</f>
        <v>171.00054412647341</v>
      </c>
      <c r="Z40" s="297">
        <f>SUM(Z41:Z44)</f>
        <v>28.471489598843256</v>
      </c>
      <c r="AA40" s="4"/>
      <c r="AB40" s="4">
        <f>機器台数４!L66</f>
        <v>22.630654404052859</v>
      </c>
      <c r="AC40" s="4">
        <f>機器台数４!L73</f>
        <v>9.8703017080731748</v>
      </c>
      <c r="AD40" s="4">
        <f>SUM(AD41:AD44)</f>
        <v>140.38603918148067</v>
      </c>
      <c r="AE40" s="297">
        <f>SUM(AE41:AE44)</f>
        <v>56.942979197686512</v>
      </c>
      <c r="AF40" s="4"/>
      <c r="AG40" s="4">
        <f>機器台数４!N66</f>
        <v>12.760352695979684</v>
      </c>
      <c r="AH40" s="4">
        <f>機器台数４!N73</f>
        <v>19.74060341614635</v>
      </c>
      <c r="AI40" s="4">
        <f>SUM(AI41:AI44)</f>
        <v>79.157029291495164</v>
      </c>
      <c r="AJ40" s="297">
        <f>SUM(AJ41:AJ44)</f>
        <v>113.88595839537302</v>
      </c>
      <c r="AK40" s="4"/>
      <c r="AL40" s="4">
        <f>機器台数４!P66</f>
        <v>9.4702521266219595</v>
      </c>
      <c r="AM40" s="4">
        <f>機器台数４!P73</f>
        <v>23.030703985504076</v>
      </c>
      <c r="AN40" s="4">
        <f>SUM(AN41:AN44)</f>
        <v>58.747359328166674</v>
      </c>
      <c r="AO40" s="297">
        <f>SUM(AO41:AO44)</f>
        <v>132.86695146126854</v>
      </c>
      <c r="AP40" s="4"/>
      <c r="AQ40" s="4">
        <f>機器台数４!R66</f>
        <v>0</v>
      </c>
      <c r="AR40" s="4">
        <f>機器台数４!R73</f>
        <v>32.500956112126033</v>
      </c>
      <c r="AS40" s="4">
        <f>SUM(AS41:AS44)</f>
        <v>0</v>
      </c>
      <c r="AT40" s="297">
        <f>SUM(AT41:AT44)</f>
        <v>187.5019956364635</v>
      </c>
    </row>
    <row r="41" spans="1:46" s="291" customFormat="1" x14ac:dyDescent="0.4">
      <c r="A41" s="291" t="s">
        <v>14</v>
      </c>
      <c r="B41" s="291">
        <v>2</v>
      </c>
      <c r="C41" s="292">
        <v>3.2</v>
      </c>
      <c r="D41" s="292">
        <f t="shared" si="0"/>
        <v>2.9760000000000004</v>
      </c>
      <c r="E41" s="293">
        <v>5785</v>
      </c>
      <c r="F41" s="294">
        <f>E41/$A$43</f>
        <v>0.16963317010233703</v>
      </c>
      <c r="G41" s="114">
        <f>SUM(H41:H44)</f>
        <v>32.500956112126033</v>
      </c>
      <c r="H41" s="293">
        <f>F41*H$40</f>
        <v>5.5132402166568655</v>
      </c>
      <c r="I41" s="293">
        <f>$F41*I$40</f>
        <v>0</v>
      </c>
      <c r="J41" s="295">
        <f t="shared" ref="J41:K43" si="116">C41*H41</f>
        <v>17.642368693301972</v>
      </c>
      <c r="K41" s="295">
        <f t="shared" si="116"/>
        <v>0</v>
      </c>
      <c r="L41" s="293"/>
      <c r="M41" s="293">
        <f>M$40*$F41</f>
        <v>5.5132402166568655</v>
      </c>
      <c r="N41" s="293">
        <f>$F41*N$40</f>
        <v>0</v>
      </c>
      <c r="O41" s="295">
        <f>$C41*M41</f>
        <v>17.642368693301972</v>
      </c>
      <c r="P41" s="301">
        <f>$D41*N41</f>
        <v>0</v>
      </c>
      <c r="Q41" s="293"/>
      <c r="R41" s="293">
        <f>R$40*$F41</f>
        <v>5.0109410460747768</v>
      </c>
      <c r="S41" s="293">
        <f>$F41*S$40</f>
        <v>0.50229917058208928</v>
      </c>
      <c r="T41" s="295">
        <f>$C41*R41</f>
        <v>16.035011347439287</v>
      </c>
      <c r="U41" s="301">
        <f>$D41*S41</f>
        <v>1.4948423316522979</v>
      </c>
      <c r="V41" s="293"/>
      <c r="W41" s="293">
        <f>W$40*$F41</f>
        <v>4.6760749323533837</v>
      </c>
      <c r="X41" s="293">
        <f>$F41*X$40</f>
        <v>0.83716528430348225</v>
      </c>
      <c r="Y41" s="295">
        <f>$C41*W41</f>
        <v>14.963439783530829</v>
      </c>
      <c r="Z41" s="301">
        <f>$D41*X41</f>
        <v>2.4914038860871637</v>
      </c>
      <c r="AA41" s="293"/>
      <c r="AB41" s="293">
        <f>AB$40*$F41</f>
        <v>3.838909648049901</v>
      </c>
      <c r="AC41" s="293">
        <f>$F41*AC$40</f>
        <v>1.6743305686069645</v>
      </c>
      <c r="AD41" s="295">
        <f>$C41*AB41</f>
        <v>12.284510873759684</v>
      </c>
      <c r="AE41" s="301">
        <f>$D41*AC41</f>
        <v>4.9828077721743274</v>
      </c>
      <c r="AF41" s="114">
        <f>SUM(AG41:AG44)</f>
        <v>12.760352695979684</v>
      </c>
      <c r="AG41" s="293">
        <f>AG$40*$F41</f>
        <v>2.1645790794429365</v>
      </c>
      <c r="AH41" s="293">
        <f>$F41*AH$40</f>
        <v>3.348661137213929</v>
      </c>
      <c r="AI41" s="295">
        <f>$C41*AG41</f>
        <v>6.9266530542173967</v>
      </c>
      <c r="AJ41" s="301">
        <f>$D41*AH41</f>
        <v>9.9656155443486547</v>
      </c>
      <c r="AK41" s="114">
        <f>SUM(AL41:AL44)</f>
        <v>9.4702521266219595</v>
      </c>
      <c r="AL41" s="293">
        <f>AL$40*$F41</f>
        <v>1.6064688899072819</v>
      </c>
      <c r="AM41" s="293">
        <f>$F41*AM$40</f>
        <v>3.9067713267495843</v>
      </c>
      <c r="AN41" s="295">
        <f>$C41*AL41</f>
        <v>5.1407004477033027</v>
      </c>
      <c r="AO41" s="301">
        <f>$D41*AM41</f>
        <v>11.626551468406765</v>
      </c>
      <c r="AP41" s="293"/>
      <c r="AQ41" s="293">
        <f>AQ$40*$F41</f>
        <v>0</v>
      </c>
      <c r="AR41" s="293">
        <f>$F41*AR$40</f>
        <v>5.5132402166568655</v>
      </c>
      <c r="AS41" s="295">
        <f>$C41*AQ41</f>
        <v>0</v>
      </c>
      <c r="AT41" s="301">
        <f>$D41*AR41</f>
        <v>16.407402884770836</v>
      </c>
    </row>
    <row r="42" spans="1:46" x14ac:dyDescent="0.4">
      <c r="A42" t="s">
        <v>15</v>
      </c>
      <c r="B42">
        <v>3</v>
      </c>
      <c r="C42" s="1">
        <v>4.7</v>
      </c>
      <c r="D42" s="1">
        <f t="shared" si="0"/>
        <v>4.3710000000000004</v>
      </c>
      <c r="E42" s="4">
        <v>12483</v>
      </c>
      <c r="F42" s="6">
        <f>E42/$A$43</f>
        <v>0.36603817845937309</v>
      </c>
      <c r="H42" s="4">
        <f>F42*H$40</f>
        <v>11.896590773470642</v>
      </c>
      <c r="I42" s="4">
        <f>$F42*I$40</f>
        <v>0</v>
      </c>
      <c r="J42" s="267">
        <f t="shared" si="116"/>
        <v>55.913976635312018</v>
      </c>
      <c r="K42" s="267">
        <f t="shared" si="116"/>
        <v>0</v>
      </c>
      <c r="L42" s="4"/>
      <c r="M42" s="4">
        <f>M$40*$F42</f>
        <v>11.896590773470642</v>
      </c>
      <c r="N42" s="4">
        <f>$F42*N$40</f>
        <v>0</v>
      </c>
      <c r="O42" s="267">
        <f>$C42*M42</f>
        <v>55.913976635312018</v>
      </c>
      <c r="P42" s="299">
        <f>$D42*N42</f>
        <v>0</v>
      </c>
      <c r="Q42" s="4"/>
      <c r="R42" s="4">
        <f>R$40*$F42</f>
        <v>10.812718596050379</v>
      </c>
      <c r="S42" s="4">
        <f>$F42*S$40</f>
        <v>1.0838721774202629</v>
      </c>
      <c r="T42" s="267">
        <f>$C42*R42</f>
        <v>50.819777401436781</v>
      </c>
      <c r="U42" s="299">
        <f>$D42*S42</f>
        <v>4.7376052875039694</v>
      </c>
      <c r="V42" s="4"/>
      <c r="W42" s="4">
        <f>W$40*$F42</f>
        <v>10.09013714443687</v>
      </c>
      <c r="X42" s="4">
        <f>$F42*X$40</f>
        <v>1.8064536290337718</v>
      </c>
      <c r="Y42" s="267">
        <f>$C42*W42</f>
        <v>47.423644578853292</v>
      </c>
      <c r="Z42" s="299">
        <f>$D42*X42</f>
        <v>7.8960088125066177</v>
      </c>
      <c r="AA42" s="4"/>
      <c r="AB42" s="4">
        <f>AB$40*$F42</f>
        <v>8.2836835154030979</v>
      </c>
      <c r="AC42" s="4">
        <f>$F42*AC$40</f>
        <v>3.6129072580675436</v>
      </c>
      <c r="AD42" s="267">
        <f>$C42*AB42</f>
        <v>38.933312522394559</v>
      </c>
      <c r="AE42" s="299">
        <f>$D42*AC42</f>
        <v>15.792017625013235</v>
      </c>
      <c r="AF42" s="4"/>
      <c r="AG42" s="4">
        <f>AG$40*$F42</f>
        <v>4.6707762573355538</v>
      </c>
      <c r="AH42" s="4">
        <f>$F42*AH$40</f>
        <v>7.2258145161350873</v>
      </c>
      <c r="AI42" s="267">
        <f>$C42*AG42</f>
        <v>21.952648409477103</v>
      </c>
      <c r="AJ42" s="299">
        <f>$D42*AH42</f>
        <v>31.584035250026471</v>
      </c>
      <c r="AK42" s="4"/>
      <c r="AL42" s="4">
        <f>AL$40*$F42</f>
        <v>3.4664738379797062</v>
      </c>
      <c r="AM42" s="4">
        <f>$F42*AM$40</f>
        <v>8.4301169354909362</v>
      </c>
      <c r="AN42" s="267">
        <f>$C42*AL42</f>
        <v>16.29242703850462</v>
      </c>
      <c r="AO42" s="299">
        <f>$D42*AM42</f>
        <v>36.848041125030889</v>
      </c>
      <c r="AP42" s="4"/>
      <c r="AQ42" s="4">
        <f>AQ$40*$F42</f>
        <v>0</v>
      </c>
      <c r="AR42" s="4">
        <f>$F42*AR$40</f>
        <v>11.896590773470642</v>
      </c>
      <c r="AS42" s="267">
        <f>$C42*AQ42</f>
        <v>0</v>
      </c>
      <c r="AT42" s="299">
        <f>$D42*AR42</f>
        <v>51.99999827084018</v>
      </c>
    </row>
    <row r="43" spans="1:46" x14ac:dyDescent="0.4">
      <c r="A43" s="5">
        <f>SUM(E41:E44)</f>
        <v>34103</v>
      </c>
      <c r="B43">
        <v>4</v>
      </c>
      <c r="C43" s="1">
        <v>8.6999999999999993</v>
      </c>
      <c r="D43" s="1">
        <f t="shared" si="0"/>
        <v>8.0909999999999993</v>
      </c>
      <c r="E43" s="4">
        <v>9048</v>
      </c>
      <c r="F43" s="6">
        <f>E43/$A$43</f>
        <v>0.26531390200275634</v>
      </c>
      <c r="H43" s="4">
        <f>F43*H$40</f>
        <v>8.6229554849284913</v>
      </c>
      <c r="I43" s="4">
        <f>$F43*I$40</f>
        <v>0</v>
      </c>
      <c r="J43" s="267">
        <f t="shared" si="116"/>
        <v>75.019712718877869</v>
      </c>
      <c r="K43" s="267">
        <f t="shared" si="116"/>
        <v>0</v>
      </c>
      <c r="L43" s="4"/>
      <c r="M43" s="4">
        <f>M$40*$F43</f>
        <v>8.6229554849284913</v>
      </c>
      <c r="N43" s="4">
        <f>$F43*N$40</f>
        <v>0</v>
      </c>
      <c r="O43" s="267">
        <f>$C43*M43</f>
        <v>75.019712718877869</v>
      </c>
      <c r="P43" s="299">
        <f>$D43*N43</f>
        <v>0</v>
      </c>
      <c r="Q43" s="4"/>
      <c r="R43" s="4">
        <f>R$40*$F43</f>
        <v>7.8373370068944821</v>
      </c>
      <c r="S43" s="4">
        <f>$F43*S$40</f>
        <v>0.7856184780340093</v>
      </c>
      <c r="T43" s="267">
        <f>$C43*R43</f>
        <v>68.184831959981992</v>
      </c>
      <c r="U43" s="299">
        <f>$D43*S43</f>
        <v>6.3564391057731688</v>
      </c>
      <c r="V43" s="4"/>
      <c r="W43" s="4">
        <f>W$40*$F43</f>
        <v>7.313591354871809</v>
      </c>
      <c r="X43" s="4">
        <f>$F43*X$40</f>
        <v>1.3093641300566825</v>
      </c>
      <c r="Y43" s="267">
        <f>$C43*W43</f>
        <v>63.62824478738473</v>
      </c>
      <c r="Z43" s="299">
        <f>$D43*X43</f>
        <v>10.594065176288618</v>
      </c>
      <c r="AA43" s="4"/>
      <c r="AB43" s="4">
        <f>AB$40*$F43</f>
        <v>6.0042272248151267</v>
      </c>
      <c r="AC43" s="4">
        <f>$F43*AC$40</f>
        <v>2.618728260113365</v>
      </c>
      <c r="AD43" s="267">
        <f>$C43*AB43</f>
        <v>52.236776855891598</v>
      </c>
      <c r="AE43" s="299">
        <f>$D43*AC43</f>
        <v>21.188130352577236</v>
      </c>
      <c r="AF43" s="4"/>
      <c r="AG43" s="4">
        <f>AG$40*$F43</f>
        <v>3.3854989647017617</v>
      </c>
      <c r="AH43" s="4">
        <f>$F43*AH$40</f>
        <v>5.23745652022673</v>
      </c>
      <c r="AI43" s="267">
        <f>$C43*AG43</f>
        <v>29.453840992905324</v>
      </c>
      <c r="AJ43" s="299">
        <f>$D43*AH43</f>
        <v>42.376260705154472</v>
      </c>
      <c r="AK43" s="4"/>
      <c r="AL43" s="4">
        <f>AL$40*$F43</f>
        <v>2.5125895446639732</v>
      </c>
      <c r="AM43" s="4">
        <f>$F43*AM$40</f>
        <v>6.1103659402645185</v>
      </c>
      <c r="AN43" s="267">
        <f>$C43*AL43</f>
        <v>21.859529038576564</v>
      </c>
      <c r="AO43" s="299">
        <f>$D43*AM43</f>
        <v>49.438970822680218</v>
      </c>
      <c r="AP43" s="4"/>
      <c r="AQ43" s="4">
        <f>AQ$40*$F43</f>
        <v>0</v>
      </c>
      <c r="AR43" s="4">
        <f>$F43*AR$40</f>
        <v>8.6229554849284913</v>
      </c>
      <c r="AS43" s="267">
        <f>$C43*AQ43</f>
        <v>0</v>
      </c>
      <c r="AT43" s="299">
        <f>$D43*AR43</f>
        <v>69.76833282855641</v>
      </c>
    </row>
    <row r="44" spans="1:46" x14ac:dyDescent="0.4">
      <c r="A44" s="6">
        <f>A43/$E$51</f>
        <v>5.3339944193495914E-2</v>
      </c>
      <c r="B44">
        <v>5</v>
      </c>
      <c r="C44" s="1">
        <v>8.1999999999999993</v>
      </c>
      <c r="D44" s="1">
        <f t="shared" si="0"/>
        <v>7.6259999999999994</v>
      </c>
      <c r="E44" s="4">
        <v>6787</v>
      </c>
      <c r="F44" s="6">
        <f>E44/$A$43</f>
        <v>0.19901474943553354</v>
      </c>
      <c r="H44" s="4">
        <f>F44*H$40</f>
        <v>6.4681696370700346</v>
      </c>
      <c r="I44" s="4">
        <f>$F44*I$40</f>
        <v>0</v>
      </c>
      <c r="J44" s="267">
        <f>$C44*H44</f>
        <v>53.038991023974276</v>
      </c>
      <c r="K44" s="267">
        <f>D44*I44</f>
        <v>0</v>
      </c>
      <c r="L44" s="4"/>
      <c r="M44" s="4">
        <f>M$40*$F44</f>
        <v>6.4681696370700346</v>
      </c>
      <c r="N44" s="4">
        <f>$F44*N$40</f>
        <v>0</v>
      </c>
      <c r="O44" s="267">
        <f>$C44*M44</f>
        <v>53.038991023974276</v>
      </c>
      <c r="P44" s="299">
        <f>$D44*N44</f>
        <v>0</v>
      </c>
      <c r="Q44" s="4"/>
      <c r="R44" s="4">
        <f>R$40*$F44</f>
        <v>5.8788689506844447</v>
      </c>
      <c r="S44" s="4">
        <f>$F44*S$40</f>
        <v>0.58930068638559041</v>
      </c>
      <c r="T44" s="267">
        <f>$C44*R44</f>
        <v>48.206725395612445</v>
      </c>
      <c r="U44" s="299">
        <f>$D44*S44</f>
        <v>4.4940070343765122</v>
      </c>
      <c r="V44" s="4"/>
      <c r="W44" s="4">
        <f>W$40*$F44</f>
        <v>5.4860018264273842</v>
      </c>
      <c r="X44" s="4">
        <f>$F44*X$40</f>
        <v>0.9821678106426508</v>
      </c>
      <c r="Y44" s="267">
        <f>$C44*W44</f>
        <v>44.985214976704547</v>
      </c>
      <c r="Z44" s="299">
        <f>$D44*X44</f>
        <v>7.4900117239608548</v>
      </c>
      <c r="AA44" s="4"/>
      <c r="AB44" s="4">
        <f>AB$40*$F44</f>
        <v>4.503834015784733</v>
      </c>
      <c r="AC44" s="4">
        <f>$F44*AC$40</f>
        <v>1.9643356212853016</v>
      </c>
      <c r="AD44" s="267">
        <f>$C44*AB44</f>
        <v>36.931438929434805</v>
      </c>
      <c r="AE44" s="299">
        <f>$D44*AC44</f>
        <v>14.98002344792171</v>
      </c>
      <c r="AF44" s="4"/>
      <c r="AG44" s="4">
        <f>AG$40*$F44</f>
        <v>2.5394983944994318</v>
      </c>
      <c r="AH44" s="4">
        <f>$F44*AH$40</f>
        <v>3.9286712425706032</v>
      </c>
      <c r="AI44" s="267">
        <f>$C44*AG44</f>
        <v>20.82388683489534</v>
      </c>
      <c r="AJ44" s="299">
        <f>$D44*AH44</f>
        <v>29.960046895843419</v>
      </c>
      <c r="AK44" s="4"/>
      <c r="AL44" s="4">
        <f>AL$40*$F44</f>
        <v>1.884719854070998</v>
      </c>
      <c r="AM44" s="4">
        <f>$F44*AM$40</f>
        <v>4.583449782999037</v>
      </c>
      <c r="AN44" s="267">
        <f>$C44*AL44</f>
        <v>15.454702803382181</v>
      </c>
      <c r="AO44" s="299">
        <f>$D44*AM44</f>
        <v>34.953388045150653</v>
      </c>
      <c r="AP44" s="4"/>
      <c r="AQ44" s="4">
        <f>AQ$40*$F44</f>
        <v>0</v>
      </c>
      <c r="AR44" s="4">
        <f>$F44*AR$40</f>
        <v>6.4681696370700346</v>
      </c>
      <c r="AS44" s="267">
        <f>$C44*AQ44</f>
        <v>0</v>
      </c>
      <c r="AT44" s="299">
        <f>$D44*AR44</f>
        <v>49.326261652296083</v>
      </c>
    </row>
    <row r="45" spans="1:46" x14ac:dyDescent="0.4">
      <c r="A45" s="6"/>
      <c r="D45" s="1">
        <f t="shared" si="0"/>
        <v>0</v>
      </c>
      <c r="F45" s="6"/>
      <c r="H45" s="4">
        <f>機器台数４!D67</f>
        <v>7.9949130816827054</v>
      </c>
      <c r="I45" s="4">
        <f>機器台数４!D74</f>
        <v>0</v>
      </c>
      <c r="J45" s="4">
        <f>SUM(J46:J49)</f>
        <v>56.028530044826653</v>
      </c>
      <c r="K45" s="267"/>
      <c r="L45" s="4"/>
      <c r="M45" s="4">
        <f>機器台数４!F67</f>
        <v>7.9949130816827054</v>
      </c>
      <c r="N45" s="4">
        <v>0</v>
      </c>
      <c r="O45" s="4">
        <f>SUM(O46:O49)</f>
        <v>56.028530044826653</v>
      </c>
      <c r="P45" s="297">
        <f>SUM(P46:P49)</f>
        <v>0</v>
      </c>
      <c r="Q45" s="4"/>
      <c r="R45" s="4">
        <f>機器台数４!H67</f>
        <v>7.2665141634436141</v>
      </c>
      <c r="S45" s="4">
        <f>機器台数４!H74</f>
        <v>0.72839891823909209</v>
      </c>
      <c r="T45" s="4">
        <f>SUM(T46:T49)</f>
        <v>50.923894102169406</v>
      </c>
      <c r="U45" s="297">
        <f>SUM(U46:U49)</f>
        <v>4.7473114266712457</v>
      </c>
      <c r="V45" s="4"/>
      <c r="W45" s="4">
        <f>機器台数４!J67</f>
        <v>6.7809148846175527</v>
      </c>
      <c r="X45" s="4">
        <f>機器台数４!J74</f>
        <v>1.2139981970651537</v>
      </c>
      <c r="Y45" s="4">
        <f>SUM(Y46:Y49)</f>
        <v>47.520803473731235</v>
      </c>
      <c r="Z45" s="297">
        <f>SUM(Z46:Z49)</f>
        <v>7.9121857111187452</v>
      </c>
      <c r="AA45" s="4"/>
      <c r="AB45" s="4">
        <f>機器台数４!L67</f>
        <v>5.5669166875523981</v>
      </c>
      <c r="AC45" s="4">
        <f>機器台数４!L74</f>
        <v>2.4279963941303073</v>
      </c>
      <c r="AD45" s="4">
        <f>SUM(AD46:AD49)</f>
        <v>39.013076902635802</v>
      </c>
      <c r="AE45" s="297">
        <f>SUM(AE46:AE49)</f>
        <v>15.82437142223749</v>
      </c>
      <c r="AF45" s="114"/>
      <c r="AG45" s="4">
        <f>機器台数４!N67</f>
        <v>3.1389202934220908</v>
      </c>
      <c r="AH45" s="4">
        <f>機器台数４!N74</f>
        <v>4.8559927882606146</v>
      </c>
      <c r="AI45" s="4">
        <f>SUM(AI46:AI49)</f>
        <v>21.997623760444956</v>
      </c>
      <c r="AJ45" s="297">
        <f>SUM(AJ46:AJ49)</f>
        <v>31.648742844474981</v>
      </c>
      <c r="AK45" s="114"/>
      <c r="AL45" s="4">
        <f>機器台数４!P67</f>
        <v>2.3295881620453218</v>
      </c>
      <c r="AM45" s="4">
        <f>機器台数４!P74</f>
        <v>5.6653249196373832</v>
      </c>
      <c r="AN45" s="4">
        <f>SUM(AN46:AN49)</f>
        <v>16.325806046381345</v>
      </c>
      <c r="AO45" s="297">
        <f>SUM(AO46:AO49)</f>
        <v>36.923533318554135</v>
      </c>
      <c r="AP45" s="4"/>
      <c r="AQ45" s="4">
        <f>機器台数４!R67</f>
        <v>0</v>
      </c>
      <c r="AR45" s="4">
        <f>機器台数４!R74</f>
        <v>7.9949130816827054</v>
      </c>
      <c r="AS45" s="4">
        <f>SUM(AS46:AS49)</f>
        <v>0</v>
      </c>
      <c r="AT45" s="297">
        <f>SUM(AT46:AT49)</f>
        <v>52.106532941688783</v>
      </c>
    </row>
    <row r="46" spans="1:46" x14ac:dyDescent="0.4">
      <c r="A46" t="s">
        <v>16</v>
      </c>
      <c r="B46">
        <v>2</v>
      </c>
      <c r="C46" s="1">
        <v>4.7</v>
      </c>
      <c r="D46" s="1">
        <f t="shared" si="0"/>
        <v>4.3710000000000004</v>
      </c>
      <c r="E46" s="4">
        <v>1935</v>
      </c>
      <c r="F46" s="6">
        <f>E46/$A$47</f>
        <v>0.2306591965669329</v>
      </c>
      <c r="G46" s="114">
        <f>SUM(H46:H49)</f>
        <v>7.9949130816827054</v>
      </c>
      <c r="H46" s="4">
        <f>F46*H$45</f>
        <v>1.8441002280433945</v>
      </c>
      <c r="I46" s="4">
        <f>$F46*I$45</f>
        <v>0</v>
      </c>
      <c r="J46" s="267">
        <f t="shared" ref="J46:K49" si="117">C46*H46</f>
        <v>8.6672710718039543</v>
      </c>
      <c r="K46" s="267">
        <f t="shared" si="117"/>
        <v>0</v>
      </c>
      <c r="L46" s="4"/>
      <c r="M46" s="4">
        <f>M$45*$F46</f>
        <v>1.8441002280433945</v>
      </c>
      <c r="N46" s="4">
        <f>$F46*N$45</f>
        <v>0</v>
      </c>
      <c r="O46" s="267">
        <f>$C46*M46</f>
        <v>8.6672710718039543</v>
      </c>
      <c r="P46" s="299">
        <f>$D46*N46</f>
        <v>0</v>
      </c>
      <c r="Q46" s="4"/>
      <c r="R46" s="4">
        <f>R$45*$F46</f>
        <v>1.6760883187821425</v>
      </c>
      <c r="S46" s="4">
        <f>$F46*S$45</f>
        <v>0.16801190926125203</v>
      </c>
      <c r="T46" s="267">
        <f>$C46*R46</f>
        <v>7.8776150982760695</v>
      </c>
      <c r="U46" s="299">
        <f>$D46*S46</f>
        <v>0.73438005538093276</v>
      </c>
      <c r="V46" s="4"/>
      <c r="W46" s="4">
        <f>W$45*$F46</f>
        <v>1.5640803792746412</v>
      </c>
      <c r="X46" s="4">
        <f>$F46*X$45</f>
        <v>0.28001984876875341</v>
      </c>
      <c r="Y46" s="267">
        <f>$C46*W46</f>
        <v>7.3511777825908133</v>
      </c>
      <c r="Z46" s="299">
        <f>$D46*X46</f>
        <v>1.2239667589682213</v>
      </c>
      <c r="AA46" s="4"/>
      <c r="AB46" s="4">
        <f>AB$45*$F46</f>
        <v>1.2840605305058876</v>
      </c>
      <c r="AC46" s="4">
        <f>$F46*AC$45</f>
        <v>0.56003969753750682</v>
      </c>
      <c r="AD46" s="267">
        <f>$C46*AB46</f>
        <v>6.0350844933776724</v>
      </c>
      <c r="AE46" s="299">
        <f>$D46*AC46</f>
        <v>2.4479335179364425</v>
      </c>
      <c r="AF46" s="114">
        <f>SUM(AG46:AG49)</f>
        <v>3.1389202934220908</v>
      </c>
      <c r="AG46" s="4">
        <f>AG$45*$F46</f>
        <v>0.72402083296838071</v>
      </c>
      <c r="AH46" s="4">
        <f>$F46*AH$45</f>
        <v>1.1200793950750136</v>
      </c>
      <c r="AI46" s="267">
        <f>$C46*AG46</f>
        <v>3.4028979149513896</v>
      </c>
      <c r="AJ46" s="299">
        <f>$D46*AH46</f>
        <v>4.8958670358728851</v>
      </c>
      <c r="AK46" s="114">
        <f>SUM(AL46:AL49)</f>
        <v>2.3295881620453218</v>
      </c>
      <c r="AL46" s="4">
        <f>AL$45*$F46</f>
        <v>0.53734093378921177</v>
      </c>
      <c r="AM46" s="4">
        <f>$F46*AM$45</f>
        <v>1.3067592942541826</v>
      </c>
      <c r="AN46" s="267">
        <f>$C46*AL46</f>
        <v>2.5255023888092953</v>
      </c>
      <c r="AO46" s="299">
        <f>$D46*AM46</f>
        <v>5.711844875185033</v>
      </c>
      <c r="AP46" s="4"/>
      <c r="AQ46" s="4">
        <f>AQ$45*$F46</f>
        <v>0</v>
      </c>
      <c r="AR46" s="4">
        <f>$F46*AR$45</f>
        <v>1.8441002280433945</v>
      </c>
      <c r="AS46" s="267">
        <f>$C46*AQ46</f>
        <v>0</v>
      </c>
      <c r="AT46" s="299">
        <f>$D46*AR46</f>
        <v>8.0605620967776783</v>
      </c>
    </row>
    <row r="47" spans="1:46" x14ac:dyDescent="0.4">
      <c r="A47" s="5">
        <f>SUM(E46:E49)</f>
        <v>8389</v>
      </c>
      <c r="B47">
        <v>3</v>
      </c>
      <c r="C47" s="1">
        <v>7.7</v>
      </c>
      <c r="D47" s="1">
        <f t="shared" si="0"/>
        <v>7.1610000000000005</v>
      </c>
      <c r="E47" s="4">
        <v>2780</v>
      </c>
      <c r="F47" s="6">
        <f>E47/$A$47</f>
        <v>0.33138633925378475</v>
      </c>
      <c r="H47" s="4">
        <f>F47*H$45</f>
        <v>2.6494049787910265</v>
      </c>
      <c r="I47" s="4">
        <f>$F47*I$45</f>
        <v>0</v>
      </c>
      <c r="J47" s="267">
        <f t="shared" si="117"/>
        <v>20.400418336690905</v>
      </c>
      <c r="K47" s="267">
        <f t="shared" si="117"/>
        <v>0</v>
      </c>
      <c r="L47" s="4"/>
      <c r="M47" s="4">
        <f>M$45*$F47</f>
        <v>2.6494049787910265</v>
      </c>
      <c r="N47" s="4">
        <f>$F47*N$45</f>
        <v>0</v>
      </c>
      <c r="O47" s="267">
        <f>$C47*M47</f>
        <v>20.400418336690905</v>
      </c>
      <c r="P47" s="299">
        <f>$D47*N47</f>
        <v>0</v>
      </c>
      <c r="Q47" s="4"/>
      <c r="R47" s="4">
        <f>R$45*$F47</f>
        <v>2.4080235277593576</v>
      </c>
      <c r="S47" s="4">
        <f>$F47*S$45</f>
        <v>0.24138145103166958</v>
      </c>
      <c r="T47" s="267">
        <f>$C47*R47</f>
        <v>18.541781163747054</v>
      </c>
      <c r="U47" s="299">
        <f>$D47*S47</f>
        <v>1.7285325708377859</v>
      </c>
      <c r="V47" s="4"/>
      <c r="W47" s="4">
        <f>W$45*$F47</f>
        <v>2.2471025604049109</v>
      </c>
      <c r="X47" s="4">
        <f>$F47*X$45</f>
        <v>0.40230241838611602</v>
      </c>
      <c r="Y47" s="267">
        <f>$C47*W47</f>
        <v>17.302689715117815</v>
      </c>
      <c r="Z47" s="299">
        <f>$D47*X47</f>
        <v>2.8808876180629772</v>
      </c>
      <c r="AA47" s="4"/>
      <c r="AB47" s="4">
        <f>AB$45*$F47</f>
        <v>1.8448001420187947</v>
      </c>
      <c r="AC47" s="4">
        <f>$F47*AC$45</f>
        <v>0.80460483677223205</v>
      </c>
      <c r="AD47" s="267">
        <f>$C47*AB47</f>
        <v>14.204961093544719</v>
      </c>
      <c r="AE47" s="299">
        <f>$D47*AC47</f>
        <v>5.7617752361259544</v>
      </c>
      <c r="AF47" s="4"/>
      <c r="AG47" s="4">
        <f>AG$45*$F47</f>
        <v>1.0401953052465625</v>
      </c>
      <c r="AH47" s="4">
        <f>$F47*AH$45</f>
        <v>1.6092096735444641</v>
      </c>
      <c r="AI47" s="267">
        <f>$C47*AG47</f>
        <v>8.0095038503985307</v>
      </c>
      <c r="AJ47" s="299">
        <f>$D47*AH47</f>
        <v>11.523550472251909</v>
      </c>
      <c r="AK47" s="4"/>
      <c r="AL47" s="4">
        <f>AL$45*$F47</f>
        <v>0.77199369298915188</v>
      </c>
      <c r="AM47" s="4">
        <f>$F47*AM$45</f>
        <v>1.8774112858018746</v>
      </c>
      <c r="AN47" s="267">
        <f>$C47*AL47</f>
        <v>5.9443514360164693</v>
      </c>
      <c r="AO47" s="299">
        <f>$D47*AM47</f>
        <v>13.444142217627224</v>
      </c>
      <c r="AP47" s="4"/>
      <c r="AQ47" s="4">
        <f>AQ$45*$F47</f>
        <v>0</v>
      </c>
      <c r="AR47" s="4">
        <f>$F47*AR$45</f>
        <v>2.6494049787910265</v>
      </c>
      <c r="AS47" s="267">
        <f>$C47*AQ47</f>
        <v>0</v>
      </c>
      <c r="AT47" s="299">
        <f>$D47*AR47</f>
        <v>18.972389053122541</v>
      </c>
    </row>
    <row r="48" spans="1:46" x14ac:dyDescent="0.4">
      <c r="A48" s="6">
        <f>A47/$E$51</f>
        <v>1.3121097611331473E-2</v>
      </c>
      <c r="B48">
        <v>4</v>
      </c>
      <c r="C48" s="1">
        <v>7.7</v>
      </c>
      <c r="D48" s="1">
        <f t="shared" si="0"/>
        <v>7.1610000000000005</v>
      </c>
      <c r="E48" s="4">
        <v>2111</v>
      </c>
      <c r="F48" s="6">
        <f>E48/$A$47</f>
        <v>0.25163905113839552</v>
      </c>
      <c r="H48" s="4">
        <f>F48*H$45</f>
        <v>2.0118323418085815</v>
      </c>
      <c r="I48" s="4">
        <f>$F48*I$45</f>
        <v>0</v>
      </c>
      <c r="J48" s="267">
        <f t="shared" si="117"/>
        <v>15.491109031926078</v>
      </c>
      <c r="K48" s="267">
        <f t="shared" si="117"/>
        <v>0</v>
      </c>
      <c r="L48" s="4"/>
      <c r="M48" s="4">
        <f>M$45*$F48</f>
        <v>2.0118323418085815</v>
      </c>
      <c r="N48" s="4">
        <f>$F48*N$45</f>
        <v>0</v>
      </c>
      <c r="O48" s="267">
        <f>$C48*M48</f>
        <v>15.491109031926078</v>
      </c>
      <c r="P48" s="299">
        <f>$D48*N48</f>
        <v>0</v>
      </c>
      <c r="Q48" s="4"/>
      <c r="R48" s="4">
        <f>R$45*$F48</f>
        <v>1.8285387291726629</v>
      </c>
      <c r="S48" s="4">
        <f>$F48*S$45</f>
        <v>0.18329361263591887</v>
      </c>
      <c r="T48" s="267">
        <f>$C48*R48</f>
        <v>14.079748214629504</v>
      </c>
      <c r="U48" s="299">
        <f>$D48*S48</f>
        <v>1.312565560085815</v>
      </c>
      <c r="V48" s="4"/>
      <c r="W48" s="4">
        <f>W$45*$F48</f>
        <v>1.7063429874153837</v>
      </c>
      <c r="X48" s="4">
        <f>$F48*X$45</f>
        <v>0.30548935439319819</v>
      </c>
      <c r="Y48" s="267">
        <f>$C48*W48</f>
        <v>13.138841003098454</v>
      </c>
      <c r="Z48" s="299">
        <f>$D48*X48</f>
        <v>2.1876092668096923</v>
      </c>
      <c r="AA48" s="4"/>
      <c r="AB48" s="4">
        <f>AB$45*$F48</f>
        <v>1.4008536330221852</v>
      </c>
      <c r="AC48" s="4">
        <f>$F48*AC$45</f>
        <v>0.61097870878639637</v>
      </c>
      <c r="AD48" s="267">
        <f>$C48*AB48</f>
        <v>10.786572974270827</v>
      </c>
      <c r="AE48" s="299">
        <f>$D48*AC48</f>
        <v>4.3752185336193845</v>
      </c>
      <c r="AF48" s="4"/>
      <c r="AG48" s="4">
        <f>AG$45*$F48</f>
        <v>0.78987492423578898</v>
      </c>
      <c r="AH48" s="4">
        <f>$F48*AH$45</f>
        <v>1.2219574175727927</v>
      </c>
      <c r="AI48" s="267">
        <f>$C48*AG48</f>
        <v>6.082036916615575</v>
      </c>
      <c r="AJ48" s="299">
        <f>$D48*AH48</f>
        <v>8.750437067238769</v>
      </c>
      <c r="AK48" s="4"/>
      <c r="AL48" s="4">
        <f>AL$45*$F48</f>
        <v>0.58621535464032359</v>
      </c>
      <c r="AM48" s="4">
        <f>$F48*AM$45</f>
        <v>1.425616987168258</v>
      </c>
      <c r="AN48" s="267">
        <f>$C48*AL48</f>
        <v>4.5138582307304915</v>
      </c>
      <c r="AO48" s="299">
        <f>$D48*AM48</f>
        <v>10.208843245111897</v>
      </c>
      <c r="AP48" s="4"/>
      <c r="AQ48" s="4">
        <f>AQ$45*$F48</f>
        <v>0</v>
      </c>
      <c r="AR48" s="4">
        <f>$F48*AR$45</f>
        <v>2.0118323418085815</v>
      </c>
      <c r="AS48" s="267">
        <f>$C48*AQ48</f>
        <v>0</v>
      </c>
      <c r="AT48" s="299">
        <f>$D48*AR48</f>
        <v>14.406731399691253</v>
      </c>
    </row>
    <row r="49" spans="1:46" x14ac:dyDescent="0.4">
      <c r="B49">
        <v>5</v>
      </c>
      <c r="C49" s="1">
        <v>7.7</v>
      </c>
      <c r="D49" s="1">
        <f t="shared" si="0"/>
        <v>7.1610000000000005</v>
      </c>
      <c r="E49" s="4">
        <v>1563</v>
      </c>
      <c r="F49" s="6">
        <f>E49/$A$47</f>
        <v>0.18631541304088686</v>
      </c>
      <c r="H49" s="4">
        <f>F49*H$45</f>
        <v>1.4895755330397029</v>
      </c>
      <c r="I49" s="4">
        <f>$F49*I$45</f>
        <v>0</v>
      </c>
      <c r="J49" s="267">
        <f t="shared" si="117"/>
        <v>11.469731604405712</v>
      </c>
      <c r="K49" s="267">
        <f t="shared" si="117"/>
        <v>0</v>
      </c>
      <c r="L49" s="4"/>
      <c r="M49" s="4">
        <f>M$45*$F49</f>
        <v>1.4895755330397029</v>
      </c>
      <c r="N49" s="4">
        <f>$F49*N$45</f>
        <v>0</v>
      </c>
      <c r="O49" s="267">
        <f>$C49*M49</f>
        <v>11.469731604405712</v>
      </c>
      <c r="P49" s="299">
        <f>$D49*N49</f>
        <v>0</v>
      </c>
      <c r="Q49" s="4"/>
      <c r="R49" s="4">
        <f>R$45*$F49</f>
        <v>1.3538635877294514</v>
      </c>
      <c r="S49" s="4">
        <f>$F49*S$45</f>
        <v>0.13571194531025163</v>
      </c>
      <c r="T49" s="267">
        <f>$C49*R49</f>
        <v>10.424749625516776</v>
      </c>
      <c r="U49" s="299">
        <f>$D49*S49</f>
        <v>0.97183324036671204</v>
      </c>
      <c r="V49" s="4"/>
      <c r="W49" s="4">
        <f>W$45*$F49</f>
        <v>1.2633889575226169</v>
      </c>
      <c r="X49" s="4">
        <f>$F49*X$45</f>
        <v>0.22618657551708607</v>
      </c>
      <c r="Y49" s="267">
        <f>$C49*W49</f>
        <v>9.7280949729241506</v>
      </c>
      <c r="Z49" s="299">
        <f>$D49*X49</f>
        <v>1.6197220672778534</v>
      </c>
      <c r="AA49" s="4"/>
      <c r="AB49" s="4">
        <f>AB$45*$F49</f>
        <v>1.0372023820055307</v>
      </c>
      <c r="AC49" s="4">
        <f>$F49*AC$45</f>
        <v>0.45237315103417214</v>
      </c>
      <c r="AD49" s="267">
        <f>$C49*AB49</f>
        <v>7.9864583414425869</v>
      </c>
      <c r="AE49" s="299">
        <f>$D49*AC49</f>
        <v>3.2394441345557068</v>
      </c>
      <c r="AF49" s="4"/>
      <c r="AG49" s="4">
        <f>AG$45*$F49</f>
        <v>0.58482923097135864</v>
      </c>
      <c r="AH49" s="4">
        <f>$F49*AH$45</f>
        <v>0.90474630206834428</v>
      </c>
      <c r="AI49" s="267">
        <f>$C49*AG49</f>
        <v>4.5031850784794614</v>
      </c>
      <c r="AJ49" s="299">
        <f>$D49*AH49</f>
        <v>6.4788882691114136</v>
      </c>
      <c r="AK49" s="4"/>
      <c r="AL49" s="4">
        <f>AL$45*$F49</f>
        <v>0.43403818062663463</v>
      </c>
      <c r="AM49" s="4">
        <f>$F49*AM$45</f>
        <v>1.0555373524130682</v>
      </c>
      <c r="AN49" s="267">
        <f>$C49*AL49</f>
        <v>3.3420939908250866</v>
      </c>
      <c r="AO49" s="299">
        <f>$D49*AM49</f>
        <v>7.5587029806299819</v>
      </c>
      <c r="AP49" s="4"/>
      <c r="AQ49" s="4">
        <f>AQ$45*$F49</f>
        <v>0</v>
      </c>
      <c r="AR49" s="4">
        <f>$F49*AR$45</f>
        <v>1.4895755330397029</v>
      </c>
      <c r="AS49" s="267">
        <f>$C49*AQ49</f>
        <v>0</v>
      </c>
      <c r="AT49" s="299">
        <f>$D49*AR49</f>
        <v>10.666850392097313</v>
      </c>
    </row>
    <row r="50" spans="1:46" s="283" customFormat="1" x14ac:dyDescent="0.4">
      <c r="A50" s="283" t="s">
        <v>20</v>
      </c>
      <c r="C50" s="284"/>
      <c r="D50" s="284">
        <f>C50*0.85</f>
        <v>0</v>
      </c>
      <c r="E50" s="285">
        <f>SUM(E4:E49)</f>
        <v>739352</v>
      </c>
      <c r="F50" s="286">
        <f>E50/$E$50</f>
        <v>1</v>
      </c>
      <c r="G50" s="285"/>
      <c r="H50" s="285">
        <f>SUM(H3,H11,H19,H24,H32,H40,H45)</f>
        <v>616.81740000000013</v>
      </c>
      <c r="I50" s="285">
        <f>SUM(I3,I11,I19,I24,I32,I40,I45)</f>
        <v>0</v>
      </c>
      <c r="J50" s="285">
        <f>SUM(J3,J11,J19,J24,J32,J40,J45)</f>
        <v>2448.4913677904196</v>
      </c>
      <c r="K50" s="285">
        <f>SUM(K3,K11,K19,K24,K32,K40,K45)</f>
        <v>0</v>
      </c>
      <c r="L50" s="285"/>
      <c r="M50" s="285">
        <f>SUM(M3,M11,M19,M24,M32,M40,M45)</f>
        <v>616.81740000000013</v>
      </c>
      <c r="N50" s="285">
        <f>SUM(N3,N11,N19,N24,N32,N40,N45)</f>
        <v>0.16732723132171323</v>
      </c>
      <c r="O50" s="285">
        <f>SUM(O3,O11,O19,O24,O32,O40,O45)</f>
        <v>2328.3818320073142</v>
      </c>
      <c r="P50" s="296">
        <f>SUM(P3,P11,P19,P24,P32,P40,P45)</f>
        <v>0</v>
      </c>
      <c r="Q50" s="285"/>
      <c r="R50" s="285">
        <f>SUM(R3,R11,R19,R24,R32,R40,R45)</f>
        <v>560.55383399999982</v>
      </c>
      <c r="S50" s="285">
        <f>SUM(S3,S11,S19,S24,S32,S40,S45)</f>
        <v>56.263566000000004</v>
      </c>
      <c r="T50" s="285">
        <f>SUM(T3,T11,T19,T24,T32,T40,T45)</f>
        <v>2116.0596557751614</v>
      </c>
      <c r="U50" s="296">
        <f>SUM(U3,U11,U19,U24,U32,U40,U45)</f>
        <v>183.19186329758347</v>
      </c>
      <c r="V50" s="285"/>
      <c r="W50" s="285">
        <f>SUM(W3,W11,W19,W24,W32,W40,W45)</f>
        <v>522.79479000000026</v>
      </c>
      <c r="X50" s="285">
        <f>SUM(X3,X11,X19,X24,X32,X40,X45)</f>
        <v>94.022610000000014</v>
      </c>
      <c r="Y50" s="285">
        <f>SUM(Y3,Y11,Y19,Y24,Y32,Y40,Y45)</f>
        <v>2789.2010548570042</v>
      </c>
      <c r="Z50" s="296">
        <f>SUM(Z3,Z11,Z19,Z24,Z32,Z40,Z45)</f>
        <v>346.7178204796042</v>
      </c>
      <c r="AA50" s="285"/>
      <c r="AB50" s="285">
        <f>SUM(AB3,AB11,AB19,AB24,AB32,AB40,AB45)</f>
        <v>433.27218000000011</v>
      </c>
      <c r="AC50" s="285">
        <f>SUM(AC3,AC11,AC19,AC24,AC32,AC40,AC45)</f>
        <v>188.04522000000003</v>
      </c>
      <c r="AD50" s="285">
        <f>SUM(AD3,AD11,AD19,AD24,AD32,AD40,AD45)</f>
        <v>1715.5763963289053</v>
      </c>
      <c r="AE50" s="296">
        <f>SUM(AE3,AE11,AE19,AE24,AE32,AE40,AE45)</f>
        <v>693.4356409592084</v>
      </c>
      <c r="AF50" s="285"/>
      <c r="AG50" s="285">
        <f>SUM(AG3,AG11,AG19,AG24,AG32,AG40,AG45)</f>
        <v>242.2269600000001</v>
      </c>
      <c r="AH50" s="285">
        <f>SUM(AH3,AH11,AH19,AH24,AH32,AH40,AH45)</f>
        <v>374.59044000000006</v>
      </c>
      <c r="AI50" s="285">
        <f>SUM(AI3,AI11,AI19,AI24,AI32,AI40,AI45)</f>
        <v>961.47017486739117</v>
      </c>
      <c r="AJ50" s="296">
        <f>SUM(AJ3,AJ11,AJ19,AJ24,AJ32,AJ40,AJ45)</f>
        <v>1382.9297094184167</v>
      </c>
      <c r="AK50" s="285"/>
      <c r="AL50" s="285">
        <f>SUM(AL3,AL11,AL19,AL24,AL32,AL40,AL45)</f>
        <v>179.04522000000011</v>
      </c>
      <c r="AM50" s="285">
        <f>SUM(AM3,AM11,AM19,AM24,AM32,AM40,AM45)</f>
        <v>437.77218000000005</v>
      </c>
      <c r="AN50" s="285">
        <f>SUM(AN3,AN11,AN19,AN24,AN32,AN40,AN45)</f>
        <v>711.51418438021972</v>
      </c>
      <c r="AO50" s="296">
        <f>SUM(AO3,AO11,AO19,AO24,AO32,AO40,AO45)</f>
        <v>1615.388780571486</v>
      </c>
      <c r="AP50" s="285"/>
      <c r="AQ50" s="285">
        <f>SUM(AQ3,AQ11,AQ19,AQ24,AQ32,AQ40,AQ45)</f>
        <v>0</v>
      </c>
      <c r="AR50" s="285">
        <f>SUM(AR3,AR11,AR19,AR24,AR32,AR40,AR45)</f>
        <v>616.81740000000013</v>
      </c>
      <c r="AS50" s="285">
        <f>SUM(AS3,AS11,AS19,AS24,AS32,AS40,AS45)</f>
        <v>0</v>
      </c>
      <c r="AT50" s="296">
        <f>SUM(AT3,AT11,AT19,AT24,AT32,AT40,AT45)</f>
        <v>2277.0969720450898</v>
      </c>
    </row>
    <row r="51" spans="1:46" x14ac:dyDescent="0.4">
      <c r="A51" t="s">
        <v>74</v>
      </c>
      <c r="D51" s="1">
        <f>C51*0.85</f>
        <v>0</v>
      </c>
      <c r="E51" s="4">
        <f>E50-A35</f>
        <v>639352</v>
      </c>
      <c r="J51" s="267"/>
      <c r="K51" s="267"/>
    </row>
    <row r="52" spans="1:46" x14ac:dyDescent="0.4">
      <c r="D52" s="1">
        <f>C52*0.85</f>
        <v>0</v>
      </c>
      <c r="E52" s="4">
        <f>E51+[2]ﾕﾆﾀﾘAC!E66</f>
        <v>2151955</v>
      </c>
      <c r="J52" s="267"/>
      <c r="K52" s="267"/>
      <c r="R52" s="5">
        <f>R50+S50</f>
        <v>616.81739999999979</v>
      </c>
      <c r="W52" s="5">
        <f>W50+X50</f>
        <v>616.81740000000025</v>
      </c>
      <c r="AB52" s="5">
        <f>AB50+AC50</f>
        <v>621.31740000000013</v>
      </c>
      <c r="AG52" s="5">
        <f>AG50+AH50</f>
        <v>616.81740000000013</v>
      </c>
      <c r="AL52" s="5">
        <f>AL50+AM50</f>
        <v>616.81740000000013</v>
      </c>
      <c r="AQ52" s="5">
        <f>AQ50+AR50</f>
        <v>616.81740000000013</v>
      </c>
    </row>
    <row r="53" spans="1:46" x14ac:dyDescent="0.4">
      <c r="D53" s="1">
        <f>C53*0.85</f>
        <v>0</v>
      </c>
      <c r="E53" s="4">
        <f>E50+[2]ﾕﾆﾀﾘAC!E65</f>
        <v>2551955</v>
      </c>
      <c r="J53" s="267"/>
      <c r="K53" s="267"/>
    </row>
    <row r="54" spans="1:46" x14ac:dyDescent="0.4">
      <c r="K54" s="267"/>
    </row>
    <row r="55" spans="1:46" x14ac:dyDescent="0.4">
      <c r="J55" s="267"/>
      <c r="K55" s="267"/>
    </row>
    <row r="56" spans="1:46" x14ac:dyDescent="0.4">
      <c r="E56" s="4">
        <f>E51+[2]ﾕﾆﾀﾘAC!E66</f>
        <v>2151955</v>
      </c>
      <c r="J56" s="267"/>
      <c r="K56" s="267"/>
    </row>
    <row r="57" spans="1:46" x14ac:dyDescent="0.4">
      <c r="J57" s="267"/>
      <c r="K57" s="267"/>
    </row>
    <row r="58" spans="1:46" x14ac:dyDescent="0.4">
      <c r="J58" s="267"/>
      <c r="K58" s="267"/>
    </row>
    <row r="59" spans="1:46" x14ac:dyDescent="0.4">
      <c r="J59" s="267"/>
      <c r="K59" s="267"/>
    </row>
    <row r="60" spans="1:46" x14ac:dyDescent="0.4">
      <c r="J60" s="267"/>
      <c r="K60" s="267"/>
    </row>
    <row r="61" spans="1:46" x14ac:dyDescent="0.4">
      <c r="J61" s="267"/>
      <c r="K61" s="267"/>
    </row>
    <row r="62" spans="1:46" x14ac:dyDescent="0.4">
      <c r="G62" s="276"/>
      <c r="H62" s="276"/>
      <c r="I62" s="276"/>
      <c r="J62" s="276"/>
      <c r="K62" s="278"/>
    </row>
    <row r="63" spans="1:46" x14ac:dyDescent="0.4">
      <c r="J63" s="267"/>
      <c r="K63" s="267"/>
    </row>
    <row r="64" spans="1:46" x14ac:dyDescent="0.4">
      <c r="J64" s="267"/>
      <c r="K64" s="267"/>
    </row>
    <row r="65" spans="8:11" x14ac:dyDescent="0.4">
      <c r="J65" s="267"/>
      <c r="K65" s="267"/>
    </row>
    <row r="66" spans="8:11" x14ac:dyDescent="0.4">
      <c r="J66" s="267"/>
      <c r="K66" s="267"/>
    </row>
    <row r="67" spans="8:11" x14ac:dyDescent="0.4">
      <c r="J67" s="267"/>
      <c r="K67" s="267"/>
    </row>
    <row r="68" spans="8:11" x14ac:dyDescent="0.4">
      <c r="J68" s="267"/>
      <c r="K68" s="267"/>
    </row>
    <row r="69" spans="8:11" x14ac:dyDescent="0.4">
      <c r="J69" s="267"/>
      <c r="K69" s="267"/>
    </row>
    <row r="70" spans="8:11" x14ac:dyDescent="0.4">
      <c r="K70" s="267"/>
    </row>
    <row r="71" spans="8:11" x14ac:dyDescent="0.4">
      <c r="J71" s="267"/>
      <c r="K71" s="267"/>
    </row>
    <row r="72" spans="8:11" x14ac:dyDescent="0.4">
      <c r="J72" s="267"/>
      <c r="K72" s="267"/>
    </row>
    <row r="73" spans="8:11" x14ac:dyDescent="0.4">
      <c r="J73" s="267"/>
      <c r="K73" s="267"/>
    </row>
    <row r="74" spans="8:11" x14ac:dyDescent="0.4">
      <c r="J74" s="267"/>
      <c r="K74" s="267"/>
    </row>
    <row r="75" spans="8:11" x14ac:dyDescent="0.4">
      <c r="K75" s="267"/>
    </row>
    <row r="76" spans="8:11" x14ac:dyDescent="0.4">
      <c r="J76" s="267"/>
      <c r="K76" s="267"/>
    </row>
    <row r="77" spans="8:11" x14ac:dyDescent="0.4">
      <c r="J77" s="267"/>
      <c r="K77" s="267"/>
    </row>
    <row r="78" spans="8:11" x14ac:dyDescent="0.4">
      <c r="J78" s="267"/>
      <c r="K78" s="267"/>
    </row>
    <row r="79" spans="8:11" x14ac:dyDescent="0.4">
      <c r="J79" s="267"/>
      <c r="K79" s="267"/>
    </row>
    <row r="80" spans="8:11" x14ac:dyDescent="0.4">
      <c r="H80" s="267"/>
      <c r="I80" s="267"/>
      <c r="J80" s="267"/>
      <c r="K80" s="267"/>
    </row>
    <row r="81" spans="10:11" x14ac:dyDescent="0.4">
      <c r="J81" s="267"/>
      <c r="K81" s="267"/>
    </row>
    <row r="82" spans="10:11" x14ac:dyDescent="0.4">
      <c r="J82" s="267"/>
    </row>
  </sheetData>
  <phoneticPr fontId="2"/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6B39D-560B-4822-A1EA-6A9E814C76AD}">
  <dimension ref="A1:S66"/>
  <sheetViews>
    <sheetView workbookViewId="0"/>
  </sheetViews>
  <sheetFormatPr defaultRowHeight="15" x14ac:dyDescent="0.4"/>
  <cols>
    <col min="1" max="1" width="15.5" bestFit="1" customWidth="1"/>
    <col min="2" max="2" width="12.625" customWidth="1"/>
    <col min="3" max="3" width="17.125" style="1" bestFit="1" customWidth="1"/>
    <col min="4" max="4" width="6.75" style="1" bestFit="1" customWidth="1"/>
    <col min="5" max="5" width="9.375" style="4" bestFit="1" customWidth="1"/>
    <col min="6" max="6" width="7.25" style="4" customWidth="1"/>
    <col min="7" max="7" width="9.375" style="4" customWidth="1"/>
    <col min="8" max="8" width="6.75" style="4" bestFit="1" customWidth="1"/>
    <col min="9" max="12" width="8.75" style="4"/>
    <col min="13" max="13" width="9.375" style="4" bestFit="1" customWidth="1"/>
    <col min="14" max="14" width="9.375" style="4" customWidth="1"/>
  </cols>
  <sheetData>
    <row r="1" spans="1:19" x14ac:dyDescent="0.4">
      <c r="A1" s="8"/>
      <c r="E1" s="4" t="s">
        <v>18</v>
      </c>
      <c r="O1" s="1"/>
      <c r="P1" s="1"/>
      <c r="Q1" s="4"/>
      <c r="R1" s="4"/>
      <c r="S1" s="4"/>
    </row>
    <row r="2" spans="1:19" ht="18" customHeight="1" x14ac:dyDescent="0.4">
      <c r="C2" s="2" t="s">
        <v>4</v>
      </c>
      <c r="D2" s="2"/>
      <c r="G2" s="4" t="s">
        <v>42</v>
      </c>
      <c r="O2" s="2" t="s">
        <v>32</v>
      </c>
      <c r="P2" s="2"/>
      <c r="Q2" s="4"/>
      <c r="R2" s="4"/>
      <c r="S2" s="4"/>
    </row>
    <row r="3" spans="1:19" x14ac:dyDescent="0.4">
      <c r="B3" t="s">
        <v>2</v>
      </c>
      <c r="C3" s="3" t="s">
        <v>8</v>
      </c>
      <c r="D3" s="3"/>
      <c r="G3" s="4" t="s">
        <v>143</v>
      </c>
      <c r="I3" s="4" t="s">
        <v>21</v>
      </c>
      <c r="K3" s="4" t="s">
        <v>21</v>
      </c>
      <c r="M3" s="4" t="s">
        <v>3</v>
      </c>
      <c r="O3" s="3"/>
      <c r="P3" s="3"/>
      <c r="Q3" s="4" t="s">
        <v>18</v>
      </c>
      <c r="R3" s="4"/>
      <c r="S3" s="4"/>
    </row>
    <row r="4" spans="1:19" x14ac:dyDescent="0.4">
      <c r="A4" t="s">
        <v>0</v>
      </c>
      <c r="B4">
        <v>1.5</v>
      </c>
      <c r="C4" s="1">
        <v>2.1</v>
      </c>
      <c r="E4" s="4">
        <v>39305</v>
      </c>
      <c r="I4" s="6">
        <v>0.12088750280650926</v>
      </c>
      <c r="J4" s="6"/>
      <c r="K4" s="6">
        <f t="shared" ref="K4:K10" si="0">E4/$A$6</f>
        <v>0.12088750280650926</v>
      </c>
      <c r="L4" s="6"/>
      <c r="M4" s="4">
        <f t="shared" ref="M4:M35" si="1">E4*C4</f>
        <v>82540.5</v>
      </c>
      <c r="O4" t="s">
        <v>0</v>
      </c>
    </row>
    <row r="5" spans="1:19" x14ac:dyDescent="0.4">
      <c r="A5" t="s">
        <v>1</v>
      </c>
      <c r="B5">
        <v>2</v>
      </c>
      <c r="C5" s="1">
        <v>2.1</v>
      </c>
      <c r="E5" s="4">
        <v>92478</v>
      </c>
      <c r="I5" s="6">
        <v>0.28442779505254706</v>
      </c>
      <c r="J5" s="6"/>
      <c r="K5" s="6">
        <f t="shared" si="0"/>
        <v>0.28442779505254706</v>
      </c>
      <c r="L5" s="6"/>
      <c r="M5" s="4">
        <f t="shared" si="1"/>
        <v>194203.80000000002</v>
      </c>
      <c r="O5" t="s">
        <v>1</v>
      </c>
    </row>
    <row r="6" spans="1:19" x14ac:dyDescent="0.4">
      <c r="A6" s="5">
        <f>SUM(E4:E10)</f>
        <v>325137</v>
      </c>
      <c r="B6">
        <v>2.5</v>
      </c>
      <c r="C6" s="1">
        <v>2.2999999999999998</v>
      </c>
      <c r="E6" s="4">
        <v>79805</v>
      </c>
      <c r="I6" s="6">
        <v>0.24545037937853889</v>
      </c>
      <c r="J6" s="6"/>
      <c r="K6" s="6">
        <f t="shared" si="0"/>
        <v>0.24545037937853889</v>
      </c>
      <c r="L6" s="6"/>
      <c r="M6" s="4">
        <f t="shared" si="1"/>
        <v>183551.5</v>
      </c>
      <c r="O6" s="5"/>
      <c r="P6" s="5"/>
    </row>
    <row r="7" spans="1:19" x14ac:dyDescent="0.4">
      <c r="A7" s="237">
        <f>A6/$E$66</f>
        <v>0.2149519735184976</v>
      </c>
      <c r="B7">
        <v>3</v>
      </c>
      <c r="C7" s="1">
        <v>2.2000000000000002</v>
      </c>
      <c r="E7" s="4">
        <v>64156</v>
      </c>
      <c r="I7" s="6">
        <v>0.19731989899642305</v>
      </c>
      <c r="J7" s="6"/>
      <c r="K7" s="6">
        <f t="shared" si="0"/>
        <v>0.19731989899642305</v>
      </c>
      <c r="L7" s="6"/>
      <c r="M7" s="4">
        <f t="shared" si="1"/>
        <v>141143.20000000001</v>
      </c>
    </row>
    <row r="8" spans="1:19" x14ac:dyDescent="0.4">
      <c r="B8">
        <v>3.5</v>
      </c>
      <c r="C8" s="1">
        <v>2.5</v>
      </c>
      <c r="E8" s="4">
        <v>16575</v>
      </c>
      <c r="I8" s="6">
        <v>5.097851059707139E-2</v>
      </c>
      <c r="J8" s="6"/>
      <c r="K8" s="6">
        <f t="shared" si="0"/>
        <v>5.097851059707139E-2</v>
      </c>
      <c r="L8" s="6"/>
      <c r="M8" s="4">
        <f t="shared" si="1"/>
        <v>41437.5</v>
      </c>
    </row>
    <row r="9" spans="1:19" x14ac:dyDescent="0.4">
      <c r="B9">
        <v>4</v>
      </c>
      <c r="C9" s="1">
        <v>3.4</v>
      </c>
      <c r="E9" s="4">
        <v>15110</v>
      </c>
      <c r="I9" s="6">
        <v>4.6472717654404146E-2</v>
      </c>
      <c r="J9" s="6"/>
      <c r="K9" s="6">
        <f t="shared" si="0"/>
        <v>4.6472717654404146E-2</v>
      </c>
      <c r="L9" s="6"/>
      <c r="M9" s="4">
        <f t="shared" si="1"/>
        <v>51374</v>
      </c>
    </row>
    <row r="10" spans="1:19" x14ac:dyDescent="0.4">
      <c r="B10">
        <v>5</v>
      </c>
      <c r="C10" s="1">
        <v>6</v>
      </c>
      <c r="E10" s="4">
        <v>17708</v>
      </c>
      <c r="I10" s="6">
        <v>5.4463195514506194E-2</v>
      </c>
      <c r="J10" s="6"/>
      <c r="K10" s="6">
        <f t="shared" si="0"/>
        <v>5.4463195514506194E-2</v>
      </c>
      <c r="L10" s="6"/>
      <c r="M10" s="4">
        <f t="shared" si="1"/>
        <v>106248</v>
      </c>
    </row>
    <row r="11" spans="1:19" x14ac:dyDescent="0.4">
      <c r="A11" t="s">
        <v>0</v>
      </c>
      <c r="B11">
        <v>1.5</v>
      </c>
      <c r="C11" s="1">
        <v>1.8</v>
      </c>
      <c r="E11" s="4">
        <v>5564</v>
      </c>
      <c r="I11" s="6">
        <v>5.5664492376645724E-2</v>
      </c>
      <c r="J11" s="6"/>
      <c r="K11" s="6">
        <f t="shared" ref="K11:K17" si="2">E11/$A$14</f>
        <v>5.5664492376645724E-2</v>
      </c>
      <c r="L11" s="6"/>
      <c r="M11" s="4">
        <f t="shared" si="1"/>
        <v>10015.200000000001</v>
      </c>
      <c r="O11" t="s">
        <v>0</v>
      </c>
    </row>
    <row r="12" spans="1:19" x14ac:dyDescent="0.4">
      <c r="A12" t="s">
        <v>1</v>
      </c>
      <c r="B12">
        <v>2</v>
      </c>
      <c r="C12" s="1">
        <v>1.9</v>
      </c>
      <c r="E12" s="4">
        <v>19551</v>
      </c>
      <c r="I12" s="6">
        <v>0.19559606226739765</v>
      </c>
      <c r="J12" s="6"/>
      <c r="K12" s="6">
        <f t="shared" si="2"/>
        <v>0.19559606226739765</v>
      </c>
      <c r="L12" s="6"/>
      <c r="M12" s="4">
        <f t="shared" si="1"/>
        <v>37146.9</v>
      </c>
      <c r="O12" t="s">
        <v>1</v>
      </c>
    </row>
    <row r="13" spans="1:19" x14ac:dyDescent="0.4">
      <c r="A13" t="s">
        <v>5</v>
      </c>
      <c r="B13">
        <v>2.5</v>
      </c>
      <c r="C13" s="1">
        <v>2.1</v>
      </c>
      <c r="E13" s="4">
        <v>20512</v>
      </c>
      <c r="I13" s="6">
        <v>0.20521029252871265</v>
      </c>
      <c r="J13" s="6"/>
      <c r="K13" s="6">
        <f t="shared" si="2"/>
        <v>0.20521029252871265</v>
      </c>
      <c r="L13" s="6"/>
      <c r="M13" s="4">
        <f t="shared" si="1"/>
        <v>43075.200000000004</v>
      </c>
      <c r="O13" t="s">
        <v>5</v>
      </c>
    </row>
    <row r="14" spans="1:19" x14ac:dyDescent="0.4">
      <c r="A14" s="5">
        <f>SUM(E12:E18)</f>
        <v>99956</v>
      </c>
      <c r="B14">
        <v>3</v>
      </c>
      <c r="C14" s="1">
        <v>2.2000000000000002</v>
      </c>
      <c r="E14" s="4">
        <v>15655</v>
      </c>
      <c r="I14" s="6">
        <v>0.15661891232142142</v>
      </c>
      <c r="J14" s="6"/>
      <c r="K14" s="6">
        <f t="shared" si="2"/>
        <v>0.15661891232142142</v>
      </c>
      <c r="L14" s="6"/>
      <c r="M14" s="4">
        <f t="shared" si="1"/>
        <v>34441</v>
      </c>
      <c r="O14" s="5">
        <f>SUM(S12:S18)</f>
        <v>0</v>
      </c>
      <c r="P14" s="5"/>
    </row>
    <row r="15" spans="1:19" x14ac:dyDescent="0.4">
      <c r="A15" s="237">
        <f>A14/$E$66</f>
        <v>6.608211143307266E-2</v>
      </c>
      <c r="B15">
        <v>3.5</v>
      </c>
      <c r="C15" s="1">
        <v>2.5</v>
      </c>
      <c r="E15" s="4">
        <v>4647</v>
      </c>
      <c r="I15" s="6">
        <v>4.6490455800552243E-2</v>
      </c>
      <c r="J15" s="6"/>
      <c r="K15" s="6">
        <f t="shared" si="2"/>
        <v>4.6490455800552243E-2</v>
      </c>
      <c r="L15" s="6"/>
      <c r="M15" s="4">
        <f t="shared" si="1"/>
        <v>11617.5</v>
      </c>
    </row>
    <row r="16" spans="1:19" x14ac:dyDescent="0.4">
      <c r="B16">
        <v>4</v>
      </c>
      <c r="C16" s="1">
        <v>3.4</v>
      </c>
      <c r="E16" s="4">
        <v>3913</v>
      </c>
      <c r="I16" s="6">
        <v>3.9147224778902714E-2</v>
      </c>
      <c r="J16" s="6"/>
      <c r="K16" s="6">
        <f t="shared" si="2"/>
        <v>3.9147224778902714E-2</v>
      </c>
      <c r="L16" s="6"/>
      <c r="M16" s="4">
        <f t="shared" si="1"/>
        <v>13304.199999999999</v>
      </c>
    </row>
    <row r="17" spans="1:16" x14ac:dyDescent="0.4">
      <c r="B17">
        <v>5</v>
      </c>
      <c r="C17" s="1">
        <v>6</v>
      </c>
      <c r="E17" s="4">
        <v>2732</v>
      </c>
      <c r="I17" s="6">
        <v>2.7332026091480253E-2</v>
      </c>
      <c r="J17" s="6"/>
      <c r="K17" s="6">
        <f t="shared" si="2"/>
        <v>2.7332026091480253E-2</v>
      </c>
      <c r="L17" s="6"/>
      <c r="M17" s="4">
        <f t="shared" si="1"/>
        <v>16392</v>
      </c>
    </row>
    <row r="18" spans="1:16" x14ac:dyDescent="0.4">
      <c r="A18" t="s">
        <v>6</v>
      </c>
      <c r="B18">
        <v>1.5</v>
      </c>
      <c r="C18" s="1">
        <v>1.8</v>
      </c>
      <c r="E18" s="4">
        <v>32946</v>
      </c>
      <c r="I18" s="6">
        <v>6.5181005591013225E-2</v>
      </c>
      <c r="J18" s="6"/>
      <c r="K18" s="6">
        <f t="shared" ref="K18:K24" si="3">E18/$A$20</f>
        <v>6.5181005591013225E-2</v>
      </c>
      <c r="L18" s="6"/>
      <c r="M18" s="4">
        <f t="shared" si="1"/>
        <v>59302.8</v>
      </c>
      <c r="O18" t="s">
        <v>6</v>
      </c>
    </row>
    <row r="19" spans="1:16" x14ac:dyDescent="0.4">
      <c r="A19" t="s">
        <v>17</v>
      </c>
      <c r="B19">
        <v>2</v>
      </c>
      <c r="C19" s="1">
        <v>2</v>
      </c>
      <c r="E19" s="4">
        <v>122471</v>
      </c>
      <c r="I19" s="6">
        <v>0.24229900248093794</v>
      </c>
      <c r="J19" s="6"/>
      <c r="K19" s="6">
        <f t="shared" si="3"/>
        <v>0.24229900248093794</v>
      </c>
      <c r="L19" s="6"/>
      <c r="M19" s="4">
        <f t="shared" si="1"/>
        <v>244942</v>
      </c>
      <c r="O19" t="s">
        <v>17</v>
      </c>
    </row>
    <row r="20" spans="1:16" x14ac:dyDescent="0.4">
      <c r="A20" s="5">
        <f>SUM(E18:E24)</f>
        <v>505454</v>
      </c>
      <c r="B20">
        <v>2.5</v>
      </c>
      <c r="C20" s="1">
        <v>2.2000000000000002</v>
      </c>
      <c r="E20" s="4">
        <v>82511</v>
      </c>
      <c r="I20" s="6">
        <v>0.16324136321010418</v>
      </c>
      <c r="J20" s="6"/>
      <c r="K20" s="6">
        <f t="shared" si="3"/>
        <v>0.16324136321010418</v>
      </c>
      <c r="L20" s="6"/>
      <c r="M20" s="4">
        <f t="shared" si="1"/>
        <v>181524.2</v>
      </c>
      <c r="O20" s="5">
        <f>SUM(S18:S24)</f>
        <v>0</v>
      </c>
      <c r="P20" s="5"/>
    </row>
    <row r="21" spans="1:16" x14ac:dyDescent="0.4">
      <c r="A21" s="237">
        <f>A20/$E$66</f>
        <v>0.33416170667385958</v>
      </c>
      <c r="B21">
        <v>3</v>
      </c>
      <c r="C21" s="1">
        <v>2.7</v>
      </c>
      <c r="E21" s="4">
        <v>111538</v>
      </c>
      <c r="I21" s="6">
        <v>0.22066894316792429</v>
      </c>
      <c r="J21" s="6"/>
      <c r="K21" s="6">
        <f t="shared" si="3"/>
        <v>0.22066894316792429</v>
      </c>
      <c r="L21" s="6"/>
      <c r="M21" s="4">
        <f t="shared" si="1"/>
        <v>301152.60000000003</v>
      </c>
    </row>
    <row r="22" spans="1:16" x14ac:dyDescent="0.4">
      <c r="B22">
        <v>3.5</v>
      </c>
      <c r="C22" s="1">
        <v>3</v>
      </c>
      <c r="E22" s="4">
        <v>50267</v>
      </c>
      <c r="I22" s="6">
        <v>9.944920803871371E-2</v>
      </c>
      <c r="J22" s="6"/>
      <c r="K22" s="6">
        <f t="shared" si="3"/>
        <v>9.944920803871371E-2</v>
      </c>
      <c r="L22" s="6"/>
      <c r="M22" s="4">
        <f t="shared" si="1"/>
        <v>150801</v>
      </c>
    </row>
    <row r="23" spans="1:16" x14ac:dyDescent="0.4">
      <c r="B23">
        <v>4</v>
      </c>
      <c r="C23" s="1">
        <v>3.4</v>
      </c>
      <c r="E23" s="4">
        <v>62294</v>
      </c>
      <c r="I23" s="6">
        <v>0.12324365817660954</v>
      </c>
      <c r="J23" s="6"/>
      <c r="K23" s="6">
        <f t="shared" si="3"/>
        <v>0.12324365817660954</v>
      </c>
      <c r="L23" s="6"/>
      <c r="M23" s="4">
        <f t="shared" si="1"/>
        <v>211799.6</v>
      </c>
    </row>
    <row r="24" spans="1:16" x14ac:dyDescent="0.4">
      <c r="B24">
        <v>5</v>
      </c>
      <c r="C24" s="1">
        <v>5.0999999999999996</v>
      </c>
      <c r="E24" s="4">
        <v>43427</v>
      </c>
      <c r="I24" s="6">
        <v>8.5916819334697123E-2</v>
      </c>
      <c r="J24" s="6"/>
      <c r="K24" s="6">
        <f t="shared" si="3"/>
        <v>8.5916819334697123E-2</v>
      </c>
      <c r="L24" s="6"/>
      <c r="M24" s="4">
        <f t="shared" si="1"/>
        <v>221477.69999999998</v>
      </c>
    </row>
    <row r="25" spans="1:16" x14ac:dyDescent="0.4">
      <c r="A25" t="s">
        <v>6</v>
      </c>
      <c r="B25">
        <v>1.5</v>
      </c>
      <c r="C25" s="1">
        <v>2</v>
      </c>
      <c r="E25" s="4">
        <v>15724</v>
      </c>
      <c r="I25" s="6">
        <v>0.13545480389031986</v>
      </c>
      <c r="J25" s="6"/>
      <c r="K25" s="6">
        <f t="shared" ref="K25:K31" si="4">E25/$A$27</f>
        <v>0.13545480389031986</v>
      </c>
      <c r="L25" s="6"/>
      <c r="M25" s="4">
        <f t="shared" si="1"/>
        <v>31448</v>
      </c>
      <c r="O25" t="s">
        <v>6</v>
      </c>
    </row>
    <row r="26" spans="1:16" x14ac:dyDescent="0.4">
      <c r="A26" t="s">
        <v>7</v>
      </c>
      <c r="B26">
        <v>2</v>
      </c>
      <c r="C26" s="1">
        <v>2</v>
      </c>
      <c r="E26" s="4">
        <v>30745</v>
      </c>
      <c r="I26" s="6">
        <v>0.26485359613380083</v>
      </c>
      <c r="J26" s="6"/>
      <c r="K26" s="6">
        <f t="shared" si="4"/>
        <v>0.26485359613380083</v>
      </c>
      <c r="L26" s="6"/>
      <c r="M26" s="4">
        <f t="shared" si="1"/>
        <v>61490</v>
      </c>
      <c r="O26" t="s">
        <v>7</v>
      </c>
    </row>
    <row r="27" spans="1:16" x14ac:dyDescent="0.4">
      <c r="A27" s="5">
        <f>SUM(E25:E31)</f>
        <v>116083</v>
      </c>
      <c r="B27">
        <v>2.5</v>
      </c>
      <c r="C27" s="1">
        <v>2.9</v>
      </c>
      <c r="E27" s="4">
        <v>18615</v>
      </c>
      <c r="I27" s="6">
        <v>0.16035939801693616</v>
      </c>
      <c r="J27" s="6"/>
      <c r="K27" s="6">
        <f t="shared" si="4"/>
        <v>0.16035939801693616</v>
      </c>
      <c r="L27" s="6"/>
      <c r="M27" s="4">
        <f t="shared" si="1"/>
        <v>53983.5</v>
      </c>
      <c r="O27" s="5">
        <f>SUM(S25:S31)</f>
        <v>0</v>
      </c>
      <c r="P27" s="5"/>
    </row>
    <row r="28" spans="1:16" x14ac:dyDescent="0.4">
      <c r="A28" s="237">
        <f>A27/$E$66</f>
        <v>7.6743864715328472E-2</v>
      </c>
      <c r="B28">
        <v>3</v>
      </c>
      <c r="C28" s="1">
        <v>2.9</v>
      </c>
      <c r="E28" s="4">
        <v>22438</v>
      </c>
      <c r="I28" s="6">
        <v>0.19329273020166604</v>
      </c>
      <c r="J28" s="6"/>
      <c r="K28" s="6">
        <f t="shared" si="4"/>
        <v>0.19329273020166604</v>
      </c>
      <c r="L28" s="6"/>
      <c r="M28" s="4">
        <f t="shared" si="1"/>
        <v>65070.2</v>
      </c>
    </row>
    <row r="29" spans="1:16" x14ac:dyDescent="0.4">
      <c r="B29">
        <v>3.5</v>
      </c>
      <c r="C29" s="1">
        <v>5</v>
      </c>
      <c r="E29" s="4">
        <v>9244</v>
      </c>
      <c r="I29" s="6">
        <v>7.9632676619315487E-2</v>
      </c>
      <c r="J29" s="6"/>
      <c r="K29" s="6">
        <f t="shared" si="4"/>
        <v>7.9632676619315487E-2</v>
      </c>
      <c r="L29" s="6"/>
      <c r="M29" s="4">
        <f t="shared" si="1"/>
        <v>46220</v>
      </c>
    </row>
    <row r="30" spans="1:16" x14ac:dyDescent="0.4">
      <c r="B30">
        <v>4</v>
      </c>
      <c r="C30" s="1">
        <v>5.0999999999999996</v>
      </c>
      <c r="E30" s="4">
        <v>11475</v>
      </c>
      <c r="I30" s="6">
        <v>9.8851683709070229E-2</v>
      </c>
      <c r="J30" s="6"/>
      <c r="K30" s="6">
        <f t="shared" si="4"/>
        <v>9.8851683709070229E-2</v>
      </c>
      <c r="L30" s="6"/>
      <c r="M30" s="4">
        <f t="shared" si="1"/>
        <v>58522.499999999993</v>
      </c>
    </row>
    <row r="31" spans="1:16" x14ac:dyDescent="0.4">
      <c r="B31">
        <v>5</v>
      </c>
      <c r="C31" s="1">
        <v>5.9</v>
      </c>
      <c r="E31" s="4">
        <v>7842</v>
      </c>
      <c r="I31" s="6">
        <v>6.7555111428891396E-2</v>
      </c>
      <c r="J31" s="6"/>
      <c r="K31" s="6">
        <f t="shared" si="4"/>
        <v>6.7555111428891396E-2</v>
      </c>
      <c r="L31" s="6"/>
      <c r="M31" s="4">
        <f t="shared" si="1"/>
        <v>46267.8</v>
      </c>
    </row>
    <row r="32" spans="1:16" x14ac:dyDescent="0.4">
      <c r="A32" t="s">
        <v>6</v>
      </c>
      <c r="B32">
        <v>1.5</v>
      </c>
      <c r="C32" s="1">
        <v>1.8</v>
      </c>
      <c r="E32" s="4">
        <v>2328</v>
      </c>
      <c r="I32" s="6">
        <v>3.8079659769362888E-2</v>
      </c>
      <c r="J32" s="6"/>
      <c r="K32" s="6">
        <f t="shared" ref="K32:K39" si="5">E32/$A$34</f>
        <v>3.8079659769362888E-2</v>
      </c>
      <c r="L32" s="6"/>
      <c r="M32" s="4">
        <f t="shared" si="1"/>
        <v>4190.4000000000005</v>
      </c>
      <c r="O32" t="s">
        <v>6</v>
      </c>
    </row>
    <row r="33" spans="1:16" x14ac:dyDescent="0.4">
      <c r="A33" t="s">
        <v>5</v>
      </c>
      <c r="B33">
        <v>2</v>
      </c>
      <c r="C33" s="1">
        <v>2</v>
      </c>
      <c r="E33" s="4">
        <v>11267</v>
      </c>
      <c r="I33" s="6">
        <v>0.1842970475177885</v>
      </c>
      <c r="J33" s="6"/>
      <c r="K33" s="6">
        <f t="shared" si="5"/>
        <v>0.1842970475177885</v>
      </c>
      <c r="L33" s="6"/>
      <c r="M33" s="4">
        <f t="shared" si="1"/>
        <v>22534</v>
      </c>
      <c r="O33" t="s">
        <v>5</v>
      </c>
    </row>
    <row r="34" spans="1:16" x14ac:dyDescent="0.4">
      <c r="A34" s="5">
        <f>SUM(E32:E38)</f>
        <v>61135</v>
      </c>
      <c r="B34">
        <v>2.5</v>
      </c>
      <c r="C34" s="1">
        <v>2.9</v>
      </c>
      <c r="E34" s="4">
        <v>12189</v>
      </c>
      <c r="I34" s="6">
        <v>0.19937842479757914</v>
      </c>
      <c r="J34" s="6"/>
      <c r="K34" s="6">
        <f t="shared" si="5"/>
        <v>0.19937842479757914</v>
      </c>
      <c r="L34" s="6"/>
      <c r="M34" s="4">
        <f t="shared" si="1"/>
        <v>35348.1</v>
      </c>
      <c r="O34" s="5">
        <f>SUM(S32:S38)</f>
        <v>0</v>
      </c>
      <c r="P34" s="5"/>
    </row>
    <row r="35" spans="1:16" x14ac:dyDescent="0.4">
      <c r="A35" s="237">
        <f>A34/$E$66</f>
        <v>4.041708234083894E-2</v>
      </c>
      <c r="B35">
        <v>3</v>
      </c>
      <c r="C35" s="1">
        <v>2.9</v>
      </c>
      <c r="E35" s="4">
        <v>15247</v>
      </c>
      <c r="I35" s="6">
        <v>0.24939887135029035</v>
      </c>
      <c r="J35" s="6"/>
      <c r="K35" s="6">
        <f t="shared" si="5"/>
        <v>0.24939887135029035</v>
      </c>
      <c r="L35" s="6"/>
      <c r="M35" s="4">
        <f t="shared" si="1"/>
        <v>44216.299999999996</v>
      </c>
    </row>
    <row r="36" spans="1:16" x14ac:dyDescent="0.4">
      <c r="B36">
        <v>3.5</v>
      </c>
      <c r="C36" s="1">
        <v>5</v>
      </c>
      <c r="E36" s="4">
        <v>6555</v>
      </c>
      <c r="I36" s="6">
        <v>0.10722172241760039</v>
      </c>
      <c r="J36" s="6"/>
      <c r="K36" s="6">
        <f t="shared" si="5"/>
        <v>0.10722172241760039</v>
      </c>
      <c r="L36" s="6"/>
      <c r="M36" s="4">
        <f t="shared" ref="M36:M64" si="6">E36*C36</f>
        <v>32775</v>
      </c>
    </row>
    <row r="37" spans="1:16" x14ac:dyDescent="0.4">
      <c r="B37">
        <v>4</v>
      </c>
      <c r="C37" s="1">
        <v>5.0999999999999996</v>
      </c>
      <c r="E37" s="4">
        <v>7840</v>
      </c>
      <c r="I37" s="6">
        <v>0.12824077860472724</v>
      </c>
      <c r="J37" s="6"/>
      <c r="K37" s="6">
        <f t="shared" si="5"/>
        <v>0.12824077860472724</v>
      </c>
      <c r="L37" s="6"/>
      <c r="M37" s="4">
        <f t="shared" si="6"/>
        <v>39984</v>
      </c>
    </row>
    <row r="38" spans="1:16" x14ac:dyDescent="0.4">
      <c r="B38">
        <v>5</v>
      </c>
      <c r="C38" s="1">
        <v>5.9</v>
      </c>
      <c r="E38" s="4">
        <v>5709</v>
      </c>
      <c r="I38" s="6">
        <v>9.3383495542651504E-2</v>
      </c>
      <c r="J38" s="6"/>
      <c r="K38" s="6">
        <f t="shared" si="5"/>
        <v>9.3383495542651504E-2</v>
      </c>
      <c r="L38" s="6"/>
      <c r="M38" s="4">
        <f t="shared" si="6"/>
        <v>33683.1</v>
      </c>
    </row>
    <row r="39" spans="1:16" x14ac:dyDescent="0.4">
      <c r="A39" t="s">
        <v>6</v>
      </c>
      <c r="B39">
        <v>1.5</v>
      </c>
      <c r="C39" s="1">
        <v>1.8</v>
      </c>
      <c r="E39" s="4">
        <v>49877</v>
      </c>
      <c r="I39" s="6">
        <v>0.81585016766173224</v>
      </c>
      <c r="J39" s="6"/>
      <c r="K39" s="6">
        <f t="shared" si="5"/>
        <v>0.81585016766173224</v>
      </c>
      <c r="L39" s="6"/>
      <c r="M39" s="4">
        <f t="shared" si="6"/>
        <v>89778.6</v>
      </c>
      <c r="O39" t="s">
        <v>6</v>
      </c>
    </row>
    <row r="40" spans="1:16" x14ac:dyDescent="0.4">
      <c r="A40" t="s">
        <v>10</v>
      </c>
      <c r="B40">
        <v>2</v>
      </c>
      <c r="C40" s="1">
        <v>2</v>
      </c>
      <c r="E40" s="4">
        <v>44700</v>
      </c>
      <c r="I40" s="6">
        <v>0.36247161855335713</v>
      </c>
      <c r="J40" s="6"/>
      <c r="K40" s="6">
        <f>E40/$A$41</f>
        <v>0.36247161855335713</v>
      </c>
      <c r="L40" s="6"/>
      <c r="M40" s="4">
        <f t="shared" si="6"/>
        <v>89400</v>
      </c>
      <c r="O40" t="s">
        <v>10</v>
      </c>
    </row>
    <row r="41" spans="1:16" x14ac:dyDescent="0.4">
      <c r="A41" s="5">
        <f>SUM(E39:E42)</f>
        <v>123320</v>
      </c>
      <c r="B41">
        <v>2.5</v>
      </c>
      <c r="C41" s="1">
        <v>2.9</v>
      </c>
      <c r="E41" s="4">
        <v>18322</v>
      </c>
      <c r="I41" s="6">
        <v>0.14857281868310088</v>
      </c>
      <c r="J41" s="6"/>
      <c r="K41" s="6">
        <f>E41/$A$41</f>
        <v>0.14857281868310088</v>
      </c>
      <c r="L41" s="6"/>
      <c r="M41" s="4">
        <f t="shared" si="6"/>
        <v>53133.799999999996</v>
      </c>
      <c r="O41" s="5">
        <f>SUM(S39:S42)</f>
        <v>0</v>
      </c>
      <c r="P41" s="5"/>
    </row>
    <row r="42" spans="1:16" x14ac:dyDescent="0.4">
      <c r="A42" s="237">
        <f>A41/$E$66</f>
        <v>8.1528332285470809E-2</v>
      </c>
      <c r="B42">
        <v>3</v>
      </c>
      <c r="C42" s="1">
        <v>2.9</v>
      </c>
      <c r="E42" s="4">
        <v>10421</v>
      </c>
      <c r="I42" s="6">
        <v>8.4503730132987356E-2</v>
      </c>
      <c r="J42" s="6"/>
      <c r="K42" s="6">
        <f>E42/$A$41</f>
        <v>8.4503730132987356E-2</v>
      </c>
      <c r="L42" s="6"/>
      <c r="M42" s="4">
        <f t="shared" si="6"/>
        <v>30220.899999999998</v>
      </c>
    </row>
    <row r="43" spans="1:16" x14ac:dyDescent="0.4">
      <c r="A43" t="s">
        <v>6</v>
      </c>
      <c r="B43">
        <v>1.5</v>
      </c>
      <c r="C43" s="1">
        <v>1.8</v>
      </c>
      <c r="E43" s="4">
        <v>13841</v>
      </c>
      <c r="I43" s="6">
        <v>5.4543448362829594E-2</v>
      </c>
      <c r="J43" s="6"/>
      <c r="K43" s="6">
        <f t="shared" ref="K43:K49" si="7">E43/$A$45</f>
        <v>5.4543448362829594E-2</v>
      </c>
      <c r="L43" s="6"/>
      <c r="M43" s="4">
        <f t="shared" si="6"/>
        <v>24913.8</v>
      </c>
      <c r="O43" t="s">
        <v>6</v>
      </c>
    </row>
    <row r="44" spans="1:16" x14ac:dyDescent="0.4">
      <c r="A44" t="s">
        <v>11</v>
      </c>
      <c r="B44">
        <v>2</v>
      </c>
      <c r="C44" s="1">
        <v>2</v>
      </c>
      <c r="E44" s="4">
        <v>43671</v>
      </c>
      <c r="I44" s="6">
        <v>0.17209500277820469</v>
      </c>
      <c r="J44" s="6"/>
      <c r="K44" s="6">
        <f t="shared" si="7"/>
        <v>0.17209500277820469</v>
      </c>
      <c r="L44" s="6"/>
      <c r="M44" s="4">
        <f t="shared" si="6"/>
        <v>87342</v>
      </c>
      <c r="O44" t="s">
        <v>11</v>
      </c>
    </row>
    <row r="45" spans="1:16" x14ac:dyDescent="0.4">
      <c r="A45" s="5">
        <f>SUM(E43:E49)</f>
        <v>253761</v>
      </c>
      <c r="B45">
        <v>2.5</v>
      </c>
      <c r="C45" s="1">
        <v>2.9</v>
      </c>
      <c r="E45" s="4">
        <v>45259</v>
      </c>
      <c r="I45" s="6">
        <v>0.1783528595804714</v>
      </c>
      <c r="J45" s="6"/>
      <c r="K45" s="6">
        <f t="shared" si="7"/>
        <v>0.1783528595804714</v>
      </c>
      <c r="L45" s="6"/>
      <c r="M45" s="4">
        <f t="shared" si="6"/>
        <v>131251.1</v>
      </c>
      <c r="O45" s="5">
        <f>SUM(S43:S49)</f>
        <v>0</v>
      </c>
      <c r="P45" s="5"/>
    </row>
    <row r="46" spans="1:16" x14ac:dyDescent="0.4">
      <c r="A46" s="237">
        <f>A45/$E$66</f>
        <v>0.16776444314866493</v>
      </c>
      <c r="B46">
        <v>3</v>
      </c>
      <c r="C46" s="1">
        <v>2.9</v>
      </c>
      <c r="E46" s="4">
        <v>54168</v>
      </c>
      <c r="I46" s="6">
        <v>0.21346069727026612</v>
      </c>
      <c r="J46" s="6"/>
      <c r="K46" s="6">
        <f t="shared" si="7"/>
        <v>0.21346069727026612</v>
      </c>
      <c r="L46" s="6"/>
      <c r="M46" s="4">
        <f t="shared" si="6"/>
        <v>157087.19999999998</v>
      </c>
    </row>
    <row r="47" spans="1:16" x14ac:dyDescent="0.4">
      <c r="B47">
        <v>3.5</v>
      </c>
      <c r="C47" s="1">
        <v>5</v>
      </c>
      <c r="E47" s="4">
        <v>32408</v>
      </c>
      <c r="I47" s="6">
        <v>0.12771071992938238</v>
      </c>
      <c r="J47" s="6"/>
      <c r="K47" s="6">
        <f t="shared" si="7"/>
        <v>0.12771071992938238</v>
      </c>
      <c r="L47" s="6"/>
      <c r="M47" s="4">
        <f t="shared" si="6"/>
        <v>162040</v>
      </c>
    </row>
    <row r="48" spans="1:16" x14ac:dyDescent="0.4">
      <c r="B48">
        <v>4</v>
      </c>
      <c r="C48" s="1">
        <v>5.0999999999999996</v>
      </c>
      <c r="E48" s="4">
        <v>37011</v>
      </c>
      <c r="I48" s="6">
        <v>0.14584983508104082</v>
      </c>
      <c r="J48" s="6"/>
      <c r="K48" s="6">
        <f t="shared" si="7"/>
        <v>0.14584983508104082</v>
      </c>
      <c r="L48" s="6"/>
      <c r="M48" s="4">
        <f t="shared" si="6"/>
        <v>188756.09999999998</v>
      </c>
    </row>
    <row r="49" spans="1:16" x14ac:dyDescent="0.4">
      <c r="B49">
        <v>5</v>
      </c>
      <c r="C49" s="1">
        <v>5.9</v>
      </c>
      <c r="E49" s="4">
        <v>27403</v>
      </c>
      <c r="I49" s="6">
        <v>0.10798743699780503</v>
      </c>
      <c r="J49" s="6"/>
      <c r="K49" s="6">
        <f t="shared" si="7"/>
        <v>0.10798743699780503</v>
      </c>
      <c r="L49" s="6"/>
      <c r="M49" s="4">
        <f t="shared" si="6"/>
        <v>161677.70000000001</v>
      </c>
    </row>
    <row r="50" spans="1:16" x14ac:dyDescent="0.4">
      <c r="A50" t="s">
        <v>12</v>
      </c>
      <c r="B50">
        <v>1.5</v>
      </c>
      <c r="C50" s="1">
        <v>2.15</v>
      </c>
      <c r="E50" s="4">
        <f>$A$52*K50</f>
        <v>9000</v>
      </c>
      <c r="I50" s="6">
        <v>0.03</v>
      </c>
      <c r="J50" s="6"/>
      <c r="K50" s="6">
        <v>0.03</v>
      </c>
      <c r="L50" s="6"/>
      <c r="M50" s="4">
        <f t="shared" si="6"/>
        <v>19350</v>
      </c>
      <c r="O50" t="s">
        <v>12</v>
      </c>
    </row>
    <row r="51" spans="1:16" x14ac:dyDescent="0.4">
      <c r="A51" t="s">
        <v>13</v>
      </c>
      <c r="B51">
        <v>2</v>
      </c>
      <c r="C51" s="1">
        <v>2.15</v>
      </c>
      <c r="E51" s="4">
        <f t="shared" ref="E51:E56" si="8">$A$52*K51</f>
        <v>45000</v>
      </c>
      <c r="I51" s="6">
        <v>0.15</v>
      </c>
      <c r="J51" s="6"/>
      <c r="K51" s="6">
        <v>0.15</v>
      </c>
      <c r="L51" s="6"/>
      <c r="M51" s="4">
        <f t="shared" si="6"/>
        <v>96750</v>
      </c>
      <c r="O51" t="s">
        <v>13</v>
      </c>
    </row>
    <row r="52" spans="1:16" x14ac:dyDescent="0.4">
      <c r="A52" s="7">
        <v>300000</v>
      </c>
      <c r="B52">
        <v>2.5</v>
      </c>
      <c r="C52" s="1">
        <v>2.25</v>
      </c>
      <c r="E52" s="4">
        <f t="shared" si="8"/>
        <v>51000.000000000007</v>
      </c>
      <c r="I52" s="6">
        <v>0.17</v>
      </c>
      <c r="J52" s="6"/>
      <c r="K52" s="6">
        <v>0.17</v>
      </c>
      <c r="L52" s="6"/>
      <c r="M52" s="4">
        <f t="shared" si="6"/>
        <v>114750.00000000001</v>
      </c>
      <c r="O52" s="7">
        <v>200000</v>
      </c>
      <c r="P52" s="7"/>
    </row>
    <row r="53" spans="1:16" x14ac:dyDescent="0.4">
      <c r="B53">
        <v>3</v>
      </c>
      <c r="C53" s="1">
        <v>2.4</v>
      </c>
      <c r="E53" s="4">
        <f t="shared" si="8"/>
        <v>78000</v>
      </c>
      <c r="I53" s="6">
        <v>0.26</v>
      </c>
      <c r="J53" s="6"/>
      <c r="K53" s="6">
        <v>0.26</v>
      </c>
      <c r="L53" s="6"/>
      <c r="M53" s="4">
        <f t="shared" si="6"/>
        <v>187200</v>
      </c>
    </row>
    <row r="54" spans="1:16" x14ac:dyDescent="0.4">
      <c r="B54">
        <v>3.5</v>
      </c>
      <c r="C54" s="1">
        <v>3.15</v>
      </c>
      <c r="E54" s="4">
        <f t="shared" si="8"/>
        <v>30000</v>
      </c>
      <c r="I54" s="6">
        <v>0.1</v>
      </c>
      <c r="J54" s="6"/>
      <c r="K54" s="6">
        <v>0.1</v>
      </c>
      <c r="L54" s="6"/>
      <c r="M54" s="4">
        <f t="shared" si="6"/>
        <v>94500</v>
      </c>
    </row>
    <row r="55" spans="1:16" x14ac:dyDescent="0.4">
      <c r="B55">
        <v>4</v>
      </c>
      <c r="C55" s="1">
        <v>3.15</v>
      </c>
      <c r="E55" s="4">
        <f t="shared" si="8"/>
        <v>51000.000000000007</v>
      </c>
      <c r="I55" s="6">
        <v>0.17</v>
      </c>
      <c r="J55" s="6"/>
      <c r="K55" s="6">
        <v>0.17</v>
      </c>
      <c r="L55" s="6"/>
      <c r="M55" s="4">
        <f t="shared" si="6"/>
        <v>160650.00000000003</v>
      </c>
    </row>
    <row r="56" spans="1:16" x14ac:dyDescent="0.4">
      <c r="B56">
        <v>5</v>
      </c>
      <c r="C56" s="1">
        <v>3.7</v>
      </c>
      <c r="E56" s="4">
        <f t="shared" si="8"/>
        <v>36000</v>
      </c>
      <c r="I56" s="6">
        <v>0.12</v>
      </c>
      <c r="J56" s="6"/>
      <c r="K56" s="6">
        <v>0.12</v>
      </c>
      <c r="L56" s="6"/>
      <c r="M56" s="4">
        <f t="shared" si="6"/>
        <v>133200</v>
      </c>
    </row>
    <row r="57" spans="1:16" x14ac:dyDescent="0.4">
      <c r="A57" t="s">
        <v>14</v>
      </c>
      <c r="B57">
        <v>2</v>
      </c>
      <c r="C57" s="1">
        <v>3.3</v>
      </c>
      <c r="E57" s="4">
        <v>6624</v>
      </c>
      <c r="I57" s="6">
        <v>0.13006597549481622</v>
      </c>
      <c r="J57" s="6"/>
      <c r="K57" s="6">
        <f>E57/$A$59</f>
        <v>0.13006597549481622</v>
      </c>
      <c r="L57" s="6"/>
      <c r="M57" s="4">
        <f t="shared" si="6"/>
        <v>21859.199999999997</v>
      </c>
      <c r="O57" t="s">
        <v>14</v>
      </c>
    </row>
    <row r="58" spans="1:16" x14ac:dyDescent="0.4">
      <c r="A58" t="s">
        <v>15</v>
      </c>
      <c r="B58">
        <v>3</v>
      </c>
      <c r="C58" s="1">
        <v>3.3</v>
      </c>
      <c r="E58" s="4">
        <v>19777</v>
      </c>
      <c r="I58" s="6">
        <v>0.38833254791077598</v>
      </c>
      <c r="J58" s="6"/>
      <c r="K58" s="6">
        <f>E58/$A$59</f>
        <v>0.38833254791077598</v>
      </c>
      <c r="L58" s="6"/>
      <c r="M58" s="4">
        <f t="shared" si="6"/>
        <v>65264.1</v>
      </c>
      <c r="O58" t="s">
        <v>15</v>
      </c>
    </row>
    <row r="59" spans="1:16" x14ac:dyDescent="0.4">
      <c r="A59" s="5">
        <f>SUM(E57:E60)</f>
        <v>50928</v>
      </c>
      <c r="B59">
        <v>4</v>
      </c>
      <c r="C59" s="1">
        <v>5.7</v>
      </c>
      <c r="E59" s="4">
        <v>15652</v>
      </c>
      <c r="I59" s="6">
        <v>0.30733584668551683</v>
      </c>
      <c r="J59" s="6"/>
      <c r="K59" s="6">
        <f>E59/$A$59</f>
        <v>0.30733584668551683</v>
      </c>
      <c r="L59" s="6"/>
      <c r="M59" s="4">
        <f t="shared" si="6"/>
        <v>89216.400000000009</v>
      </c>
      <c r="O59" s="5">
        <f>SUM(S57:S60)</f>
        <v>0</v>
      </c>
      <c r="P59" s="5"/>
    </row>
    <row r="60" spans="1:16" x14ac:dyDescent="0.4">
      <c r="A60" s="237">
        <f>A59/$E$66</f>
        <v>3.366911211996803E-2</v>
      </c>
      <c r="B60">
        <v>5</v>
      </c>
      <c r="C60" s="1">
        <v>5.8</v>
      </c>
      <c r="E60" s="4">
        <v>8875</v>
      </c>
      <c r="I60" s="6">
        <v>0.174265629908891</v>
      </c>
      <c r="J60" s="6"/>
      <c r="K60" s="6">
        <f>E60/$A$59</f>
        <v>0.174265629908891</v>
      </c>
      <c r="L60" s="6"/>
      <c r="M60" s="4">
        <f t="shared" si="6"/>
        <v>51475</v>
      </c>
    </row>
    <row r="61" spans="1:16" x14ac:dyDescent="0.4">
      <c r="A61" t="s">
        <v>16</v>
      </c>
      <c r="B61">
        <v>2</v>
      </c>
      <c r="C61" s="1">
        <v>4.3</v>
      </c>
      <c r="E61" s="4">
        <v>700</v>
      </c>
      <c r="I61" s="6">
        <v>0.16623129897886488</v>
      </c>
      <c r="J61" s="6"/>
      <c r="K61" s="6">
        <f>E61/$A$62</f>
        <v>0.16623129897886488</v>
      </c>
      <c r="L61" s="6"/>
      <c r="M61" s="4">
        <f t="shared" si="6"/>
        <v>3010</v>
      </c>
      <c r="O61" t="s">
        <v>16</v>
      </c>
    </row>
    <row r="62" spans="1:16" x14ac:dyDescent="0.4">
      <c r="A62" s="5">
        <f>SUM(E61:E64)</f>
        <v>4211</v>
      </c>
      <c r="B62">
        <v>3</v>
      </c>
      <c r="C62" s="1">
        <v>4.4000000000000004</v>
      </c>
      <c r="E62" s="4">
        <v>1138</v>
      </c>
      <c r="I62" s="6">
        <v>0.27024459748278318</v>
      </c>
      <c r="J62" s="6"/>
      <c r="K62" s="6">
        <f>E62/$A$62</f>
        <v>0.27024459748278318</v>
      </c>
      <c r="L62" s="6"/>
      <c r="M62" s="4">
        <f t="shared" si="6"/>
        <v>5007.2000000000007</v>
      </c>
      <c r="O62" s="5">
        <f>SUM(S61:S64)</f>
        <v>0</v>
      </c>
      <c r="P62" s="5"/>
    </row>
    <row r="63" spans="1:16" x14ac:dyDescent="0.4">
      <c r="A63" s="237">
        <f>A62/$E$66</f>
        <v>2.7839426472114626E-3</v>
      </c>
      <c r="B63">
        <v>4</v>
      </c>
      <c r="C63" s="1">
        <v>7</v>
      </c>
      <c r="E63" s="4">
        <v>1229</v>
      </c>
      <c r="I63" s="6">
        <v>0.2918546663500356</v>
      </c>
      <c r="J63" s="6"/>
      <c r="K63" s="6">
        <f>E63/$A$62</f>
        <v>0.2918546663500356</v>
      </c>
      <c r="L63" s="6"/>
      <c r="M63" s="4">
        <f t="shared" si="6"/>
        <v>8603</v>
      </c>
    </row>
    <row r="64" spans="1:16" x14ac:dyDescent="0.4">
      <c r="B64">
        <v>5</v>
      </c>
      <c r="C64" s="1">
        <v>7</v>
      </c>
      <c r="E64" s="4">
        <v>1144</v>
      </c>
      <c r="I64" s="6">
        <v>0.27166943718831632</v>
      </c>
      <c r="J64" s="6"/>
      <c r="K64" s="6">
        <f>E64/$A$62</f>
        <v>0.27166943718831632</v>
      </c>
      <c r="L64" s="6"/>
      <c r="M64" s="4">
        <f t="shared" si="6"/>
        <v>8008</v>
      </c>
    </row>
    <row r="65" spans="1:15" x14ac:dyDescent="0.4">
      <c r="A65" t="s">
        <v>20</v>
      </c>
      <c r="E65" s="4">
        <f>SUM(E4:E64)</f>
        <v>1812603</v>
      </c>
      <c r="I65" s="6">
        <v>1</v>
      </c>
      <c r="J65" s="6"/>
      <c r="K65" s="6">
        <f>E65/$E$65</f>
        <v>1</v>
      </c>
      <c r="L65" s="6"/>
      <c r="M65" s="11">
        <f>SUM(M4:M64)</f>
        <v>5147667.4000000004</v>
      </c>
      <c r="N65" s="11"/>
      <c r="O65" t="s">
        <v>20</v>
      </c>
    </row>
    <row r="66" spans="1:15" x14ac:dyDescent="0.4">
      <c r="A66" t="s">
        <v>74</v>
      </c>
      <c r="E66" s="4">
        <f>E65-A52</f>
        <v>1512603</v>
      </c>
      <c r="O66" t="s">
        <v>74</v>
      </c>
    </row>
  </sheetData>
  <phoneticPr fontId="2"/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C5B9A-4013-49CD-89E7-A37E3229140A}">
  <dimension ref="A1:C7"/>
  <sheetViews>
    <sheetView workbookViewId="0"/>
  </sheetViews>
  <sheetFormatPr defaultRowHeight="15" x14ac:dyDescent="0.4"/>
  <cols>
    <col min="1" max="1" width="9.375" bestFit="1" customWidth="1"/>
  </cols>
  <sheetData>
    <row r="1" spans="1:3" x14ac:dyDescent="0.4">
      <c r="A1" s="10"/>
      <c r="B1" s="10" t="s">
        <v>25</v>
      </c>
      <c r="C1" s="10" t="s">
        <v>18</v>
      </c>
    </row>
    <row r="2" spans="1:3" x14ac:dyDescent="0.4">
      <c r="A2" s="10" t="s">
        <v>24</v>
      </c>
      <c r="B2" s="10">
        <v>430</v>
      </c>
      <c r="C2" s="10">
        <v>138000</v>
      </c>
    </row>
    <row r="3" spans="1:3" x14ac:dyDescent="0.4">
      <c r="A3" s="10" t="s">
        <v>22</v>
      </c>
      <c r="B3" s="10">
        <v>129</v>
      </c>
      <c r="C3" s="10">
        <v>36200</v>
      </c>
    </row>
    <row r="4" spans="1:3" x14ac:dyDescent="0.4">
      <c r="A4" s="10" t="s">
        <v>26</v>
      </c>
      <c r="B4" s="10">
        <v>235</v>
      </c>
      <c r="C4" s="10">
        <v>341000</v>
      </c>
    </row>
    <row r="5" spans="1:3" x14ac:dyDescent="0.4">
      <c r="A5" s="10" t="s">
        <v>27</v>
      </c>
      <c r="B5" s="10">
        <v>217</v>
      </c>
      <c r="C5" s="10">
        <v>19300</v>
      </c>
    </row>
    <row r="6" spans="1:3" x14ac:dyDescent="0.4">
      <c r="A6" s="10" t="s">
        <v>28</v>
      </c>
      <c r="B6" s="10">
        <v>61</v>
      </c>
      <c r="C6" s="10">
        <v>21000</v>
      </c>
    </row>
    <row r="7" spans="1:3" x14ac:dyDescent="0.4">
      <c r="A7" s="12" t="s">
        <v>20</v>
      </c>
      <c r="B7" s="13">
        <f>SUM(B2:B6)</f>
        <v>1072</v>
      </c>
      <c r="C7" s="13">
        <f>SUM(C2:C6)</f>
        <v>555500</v>
      </c>
    </row>
  </sheetData>
  <phoneticPr fontId="2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3724B-3435-4092-AB0A-695FF1FD5AFA}">
  <dimension ref="A1"/>
  <sheetViews>
    <sheetView workbookViewId="0"/>
  </sheetViews>
  <sheetFormatPr defaultRowHeight="15" x14ac:dyDescent="0.4"/>
  <sheetData/>
  <phoneticPr fontId="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8900952606EBDD469EFD187E1104ED2F" ma:contentTypeVersion="13" ma:contentTypeDescription="新しいドキュメントを作成します。" ma:contentTypeScope="" ma:versionID="ea5af1f16d6a3c15916e45ca1c0b1d72">
  <xsd:schema xmlns:xsd="http://www.w3.org/2001/XMLSchema" xmlns:xs="http://www.w3.org/2001/XMLSchema" xmlns:p="http://schemas.microsoft.com/office/2006/metadata/properties" xmlns:ns3="79f7ffe0-5219-4fdf-ba87-8b959284d024" xmlns:ns4="280f7a34-9980-42d2-aa4d-4f920e37104a" targetNamespace="http://schemas.microsoft.com/office/2006/metadata/properties" ma:root="true" ma:fieldsID="eb678f3af2a32a3aacfe9339ca466fae" ns3:_="" ns4:_="">
    <xsd:import namespace="79f7ffe0-5219-4fdf-ba87-8b959284d024"/>
    <xsd:import namespace="280f7a34-9980-42d2-aa4d-4f920e37104a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ServiceOCR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f7ffe0-5219-4fdf-ba87-8b959284d02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共有のヒントのハッシュ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0f7a34-9980-42d2-aa4d-4f920e3710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3C9A409-41A6-49F1-B23E-A65D21BECD5A}">
  <ds:schemaRefs>
    <ds:schemaRef ds:uri="http://schemas.microsoft.com/office/2006/metadata/properties"/>
    <ds:schemaRef ds:uri="http://purl.org/dc/terms/"/>
    <ds:schemaRef ds:uri="280f7a34-9980-42d2-aa4d-4f920e37104a"/>
    <ds:schemaRef ds:uri="http://schemas.microsoft.com/office/2006/documentManagement/types"/>
    <ds:schemaRef ds:uri="79f7ffe0-5219-4fdf-ba87-8b959284d024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CA486792-BDC2-431E-B731-8C3FF6AEAC9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D6CB935-6C24-4D0C-8A2F-AC534B11D63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f7ffe0-5219-4fdf-ba87-8b959284d024"/>
    <ds:schemaRef ds:uri="280f7a34-9980-42d2-aa4d-4f920e37104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31</vt:i4>
      </vt:variant>
    </vt:vector>
  </HeadingPairs>
  <TitlesOfParts>
    <vt:vector size="31" baseType="lpstr">
      <vt:lpstr>case1 R32・INV・HP拡販</vt:lpstr>
      <vt:lpstr>case2　ワーストケース</vt:lpstr>
      <vt:lpstr>case3 他社</vt:lpstr>
      <vt:lpstr>case4他社</vt:lpstr>
      <vt:lpstr>⇒裏データcase1</vt:lpstr>
      <vt:lpstr>計算用case1</vt:lpstr>
      <vt:lpstr>機器台数case1</vt:lpstr>
      <vt:lpstr>ﾕﾆﾀﾘACcase1</vt:lpstr>
      <vt:lpstr>ﾕﾆﾀﾘHPcase1</vt:lpstr>
      <vt:lpstr>Sheet3</vt:lpstr>
      <vt:lpstr>シミュレーション (3)</vt:lpstr>
      <vt:lpstr>シミュレーション (2)</vt:lpstr>
      <vt:lpstr>シミュレーション</vt:lpstr>
      <vt:lpstr>⇒裏case2</vt:lpstr>
      <vt:lpstr>計算用2</vt:lpstr>
      <vt:lpstr>機器台数2</vt:lpstr>
      <vt:lpstr>ﾕﾆﾀﾘAC2</vt:lpstr>
      <vt:lpstr>ﾕﾆﾀﾘHP2</vt:lpstr>
      <vt:lpstr>⇒裏case3</vt:lpstr>
      <vt:lpstr>機器台数case３</vt:lpstr>
      <vt:lpstr>計算用case３</vt:lpstr>
      <vt:lpstr>ﾕﾆﾀﾘACcase３</vt:lpstr>
      <vt:lpstr>ﾕﾆﾀﾘHPcase３</vt:lpstr>
      <vt:lpstr>⇒裏case4</vt:lpstr>
      <vt:lpstr>計算用４</vt:lpstr>
      <vt:lpstr>機器台数４</vt:lpstr>
      <vt:lpstr>ﾕﾆﾀﾘAC４</vt:lpstr>
      <vt:lpstr>ﾕﾆﾀﾘHP４</vt:lpstr>
      <vt:lpstr>ﾕﾆﾀﾘAC</vt:lpstr>
      <vt:lpstr>業務用</vt:lpstr>
      <vt:lpstr>RA QA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Jiagui 李 佳桂</dc:creator>
  <cp:lastModifiedBy>LI Jiagui 李 佳桂</cp:lastModifiedBy>
  <dcterms:created xsi:type="dcterms:W3CDTF">2022-03-04T15:03:40Z</dcterms:created>
  <dcterms:modified xsi:type="dcterms:W3CDTF">2022-03-14T19:59:52Z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0x0101008900952606EBDD469EFD187E1104ED2F</vt:lpwstr>
  </property>
</Properties>
</file>