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rian\Desktop\"/>
    </mc:Choice>
  </mc:AlternateContent>
  <xr:revisionPtr revIDLastSave="0" documentId="8_{3FC9E770-F940-4451-B515-F385EF6D0852}" xr6:coauthVersionLast="45" xr6:coauthVersionMax="45" xr10:uidLastSave="{00000000-0000-0000-0000-000000000000}"/>
  <bookViews>
    <workbookView xWindow="-108" yWindow="-108" windowWidth="23256" windowHeight="12576" tabRatio="728" firstSheet="1" activeTab="1" xr2:uid="{00000000-000D-0000-FFFF-FFFF00000000}"/>
  </bookViews>
  <sheets>
    <sheet name="Справочные данные" sheetId="5" r:id="rId1"/>
    <sheet name="Учет персонала" sheetId="6" r:id="rId2"/>
    <sheet name="Баллы по итогам рабочего период" sheetId="9" r:id="rId3"/>
    <sheet name="Вознаграждение" sheetId="10" r:id="rId4"/>
  </sheets>
  <definedNames>
    <definedName name="_xlnm._FilterDatabase" localSheetId="1" hidden="1">'Учет персонала'!$A$1:$N$21</definedName>
    <definedName name="БАЗА">Таблица1[#All]</definedName>
    <definedName name="Балы_проценты">'Справочные данные'!$K$3:$L$8</definedName>
    <definedName name="ЗП">'Справочные данные'!$C$3:$G$8</definedName>
    <definedName name="_xlnm.Extract" localSheetId="1">'Учет персонала'!$A$41:$N$41</definedName>
    <definedName name="_xlnm.Criteria" localSheetId="1">'Учет персонала'!$A$39:$A$40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6" l="1"/>
  <c r="B24" i="6"/>
  <c r="A24" i="6"/>
  <c r="N3" i="6"/>
  <c r="D3" i="10" s="1"/>
  <c r="N4" i="6"/>
  <c r="D4" i="10" s="1"/>
  <c r="N5" i="6"/>
  <c r="D5" i="10" s="1"/>
  <c r="N6" i="6"/>
  <c r="N7" i="6"/>
  <c r="D6" i="10" s="1"/>
  <c r="N8" i="6"/>
  <c r="D7" i="10" s="1"/>
  <c r="N9" i="6"/>
  <c r="D8" i="10" s="1"/>
  <c r="N10" i="6"/>
  <c r="N11" i="6"/>
  <c r="D9" i="10" s="1"/>
  <c r="N12" i="6"/>
  <c r="N13" i="6"/>
  <c r="D10" i="10" s="1"/>
  <c r="N14" i="6"/>
  <c r="D11" i="10" s="1"/>
  <c r="N15" i="6"/>
  <c r="D12" i="10" s="1"/>
  <c r="N16" i="6"/>
  <c r="D13" i="10" s="1"/>
  <c r="N17" i="6"/>
  <c r="D14" i="10" s="1"/>
  <c r="N18" i="6"/>
  <c r="D15" i="10" s="1"/>
  <c r="N19" i="6"/>
  <c r="D16" i="10" s="1"/>
  <c r="N20" i="6"/>
  <c r="N21" i="6"/>
  <c r="D17" i="10" s="1"/>
  <c r="N2" i="6"/>
  <c r="D2" i="10" s="1"/>
  <c r="M3" i="6"/>
  <c r="B3" i="10" s="1"/>
  <c r="C3" i="10" s="1"/>
  <c r="M4" i="6"/>
  <c r="B4" i="10" s="1"/>
  <c r="C4" i="10" s="1"/>
  <c r="M5" i="6"/>
  <c r="B5" i="10" s="1"/>
  <c r="C5" i="10" s="1"/>
  <c r="M6" i="6"/>
  <c r="M7" i="6"/>
  <c r="B6" i="10" s="1"/>
  <c r="C6" i="10" s="1"/>
  <c r="M8" i="6"/>
  <c r="B7" i="10" s="1"/>
  <c r="C7" i="10" s="1"/>
  <c r="M9" i="6"/>
  <c r="B8" i="10" s="1"/>
  <c r="C8" i="10" s="1"/>
  <c r="M10" i="6"/>
  <c r="M11" i="6"/>
  <c r="B9" i="10" s="1"/>
  <c r="C9" i="10" s="1"/>
  <c r="M12" i="6"/>
  <c r="M13" i="6"/>
  <c r="B10" i="10" s="1"/>
  <c r="C10" i="10" s="1"/>
  <c r="M14" i="6"/>
  <c r="B11" i="10" s="1"/>
  <c r="C11" i="10" s="1"/>
  <c r="M15" i="6"/>
  <c r="B12" i="10" s="1"/>
  <c r="C12" i="10" s="1"/>
  <c r="M16" i="6"/>
  <c r="B13" i="10" s="1"/>
  <c r="C13" i="10" s="1"/>
  <c r="M17" i="6"/>
  <c r="B14" i="10" s="1"/>
  <c r="C14" i="10" s="1"/>
  <c r="M18" i="6"/>
  <c r="B15" i="10" s="1"/>
  <c r="C15" i="10" s="1"/>
  <c r="M19" i="6"/>
  <c r="B16" i="10" s="1"/>
  <c r="C16" i="10" s="1"/>
  <c r="M20" i="6"/>
  <c r="M21" i="6"/>
  <c r="B17" i="10" s="1"/>
  <c r="C17" i="10" s="1"/>
  <c r="M2" i="6"/>
  <c r="B2" i="10" s="1"/>
  <c r="C2" i="10" s="1"/>
  <c r="A40" i="6" l="1"/>
  <c r="E14" i="10"/>
  <c r="E8" i="10"/>
  <c r="E13" i="10"/>
  <c r="E7" i="10"/>
  <c r="E12" i="10"/>
  <c r="E6" i="10"/>
  <c r="E2" i="10"/>
  <c r="E11" i="10"/>
  <c r="E15" i="10"/>
  <c r="E17" i="10"/>
  <c r="E10" i="10"/>
  <c r="E5" i="10"/>
  <c r="E4" i="10"/>
  <c r="E16" i="10"/>
  <c r="E9" i="10"/>
  <c r="E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0DFE0-EE4A-4926-AE24-9AF210168746}" keepAlive="1" name="Запрос — Вознаграждение" description="Соединение с запросом &quot;Вознаграждение&quot; в книге." type="5" refreshedVersion="6" background="1">
    <dbPr connection="Provider=Microsoft.Mashup.OleDb.1;Data Source=$Workbook$;Location=Вознаграждение;Extended Properties=&quot;&quot;" command="SELECT * FROM [Вознаграждение]"/>
  </connection>
  <connection id="2" xr16:uid="{4D83E65F-9B0B-4E48-8647-003606969E9A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<sst xmlns="http://schemas.openxmlformats.org/spreadsheetml/2006/main" count="443" uniqueCount="136">
  <si>
    <t>№пп</t>
  </si>
  <si>
    <t>Таб. номер</t>
  </si>
  <si>
    <t>Фамилия</t>
  </si>
  <si>
    <t xml:space="preserve"> Имя</t>
  </si>
  <si>
    <t>Отчество</t>
  </si>
  <si>
    <t>Отдел</t>
  </si>
  <si>
    <t>Должность</t>
  </si>
  <si>
    <t>Дата приема на работу</t>
  </si>
  <si>
    <t>Дата увольне-ния</t>
  </si>
  <si>
    <t>Пол</t>
  </si>
  <si>
    <t>Кол-во иждивенцев</t>
  </si>
  <si>
    <t>Оклад</t>
  </si>
  <si>
    <t>00001</t>
  </si>
  <si>
    <t>Иванов</t>
  </si>
  <si>
    <t>Иван</t>
  </si>
  <si>
    <t>Иванович</t>
  </si>
  <si>
    <t>м</t>
  </si>
  <si>
    <t>00454</t>
  </si>
  <si>
    <t>Иваненко</t>
  </si>
  <si>
    <t>Петрович</t>
  </si>
  <si>
    <t>01234</t>
  </si>
  <si>
    <t>Петров</t>
  </si>
  <si>
    <t>Петр</t>
  </si>
  <si>
    <t>12312</t>
  </si>
  <si>
    <t>Петренко</t>
  </si>
  <si>
    <t>12345</t>
  </si>
  <si>
    <t>Сидоров</t>
  </si>
  <si>
    <t xml:space="preserve">Сидор </t>
  </si>
  <si>
    <t>Сидорович</t>
  </si>
  <si>
    <t>23456</t>
  </si>
  <si>
    <t>Седов</t>
  </si>
  <si>
    <t>Кузьма</t>
  </si>
  <si>
    <t>Фомич</t>
  </si>
  <si>
    <t>34567</t>
  </si>
  <si>
    <t>Фомин</t>
  </si>
  <si>
    <t>Фома</t>
  </si>
  <si>
    <t>45454</t>
  </si>
  <si>
    <t>Фоменко</t>
  </si>
  <si>
    <t>Кузьмич</t>
  </si>
  <si>
    <t>45564</t>
  </si>
  <si>
    <t>Кукина</t>
  </si>
  <si>
    <t>Юлия</t>
  </si>
  <si>
    <t>Петровна</t>
  </si>
  <si>
    <t>ж</t>
  </si>
  <si>
    <t>45678</t>
  </si>
  <si>
    <t>Макова</t>
  </si>
  <si>
    <t>Алина</t>
  </si>
  <si>
    <t>Игоревна</t>
  </si>
  <si>
    <t>56565</t>
  </si>
  <si>
    <t>Сушкина</t>
  </si>
  <si>
    <t>Алла</t>
  </si>
  <si>
    <t>Вадимовна</t>
  </si>
  <si>
    <t>56786</t>
  </si>
  <si>
    <t>Кротова</t>
  </si>
  <si>
    <t>Инна</t>
  </si>
  <si>
    <t>Павловна</t>
  </si>
  <si>
    <t>56789</t>
  </si>
  <si>
    <t>Бойцов</t>
  </si>
  <si>
    <t>Семен</t>
  </si>
  <si>
    <t>Семенович</t>
  </si>
  <si>
    <t>67890</t>
  </si>
  <si>
    <t>Гайдай</t>
  </si>
  <si>
    <t>Михайлович</t>
  </si>
  <si>
    <t>78787</t>
  </si>
  <si>
    <t>Краснов</t>
  </si>
  <si>
    <t>Павел</t>
  </si>
  <si>
    <t>Павлович</t>
  </si>
  <si>
    <t>78901</t>
  </si>
  <si>
    <t>Рябов</t>
  </si>
  <si>
    <t>Олег</t>
  </si>
  <si>
    <t>Евгеньевич</t>
  </si>
  <si>
    <t>89012</t>
  </si>
  <si>
    <t>Белова</t>
  </si>
  <si>
    <t xml:space="preserve">Софья </t>
  </si>
  <si>
    <t>90123</t>
  </si>
  <si>
    <t>Чернова</t>
  </si>
  <si>
    <t>Зоя</t>
  </si>
  <si>
    <t>Богдановна</t>
  </si>
  <si>
    <t>98989</t>
  </si>
  <si>
    <t>Родионов</t>
  </si>
  <si>
    <t>Андрей</t>
  </si>
  <si>
    <t>Вадимович</t>
  </si>
  <si>
    <t>99999</t>
  </si>
  <si>
    <t>Хрустов</t>
  </si>
  <si>
    <t>Юрий</t>
  </si>
  <si>
    <t>Юрьевич</t>
  </si>
  <si>
    <t>Плановый</t>
  </si>
  <si>
    <t>Снабжения</t>
  </si>
  <si>
    <t>Бухгалтерия</t>
  </si>
  <si>
    <t>Маркетинга</t>
  </si>
  <si>
    <t>Подразделения</t>
  </si>
  <si>
    <t>Должности</t>
  </si>
  <si>
    <t>менеджер</t>
  </si>
  <si>
    <t>экономист</t>
  </si>
  <si>
    <t>бухгалтер</t>
  </si>
  <si>
    <t>начальник</t>
  </si>
  <si>
    <t>секретарь</t>
  </si>
  <si>
    <t>Дата
 рождения</t>
  </si>
  <si>
    <t>Должностные оклады</t>
  </si>
  <si>
    <t>Баллы</t>
  </si>
  <si>
    <t>Премиальный процент</t>
  </si>
  <si>
    <t>Диапазон баллов</t>
  </si>
  <si>
    <t>Процент</t>
  </si>
  <si>
    <t>Стаж</t>
  </si>
  <si>
    <t>Премия по итогам рабочего периода</t>
  </si>
  <si>
    <t>Доплата за стаж</t>
  </si>
  <si>
    <t>СуммаИтого</t>
  </si>
  <si>
    <t>Таб№</t>
  </si>
  <si>
    <t>Общий итог</t>
  </si>
  <si>
    <t>янв</t>
  </si>
  <si>
    <t>окт</t>
  </si>
  <si>
    <t>дек</t>
  </si>
  <si>
    <t>нояб</t>
  </si>
  <si>
    <t>февр</t>
  </si>
  <si>
    <t>апр</t>
  </si>
  <si>
    <t>июль</t>
  </si>
  <si>
    <t>сент</t>
  </si>
  <si>
    <t>март</t>
  </si>
  <si>
    <t>авг</t>
  </si>
  <si>
    <t>Условие1</t>
  </si>
  <si>
    <t>Условие 2</t>
  </si>
  <si>
    <t>3)Уволеные скретари</t>
  </si>
  <si>
    <t>4)Сотрудники родившиеся в 1971 году</t>
  </si>
  <si>
    <t>5)сотрудники имеющие оклад меньше среднего</t>
  </si>
  <si>
    <t>Количество сотркудников</t>
  </si>
  <si>
    <t>Средний оклад</t>
  </si>
  <si>
    <t>Количествово иждивенцев</t>
  </si>
  <si>
    <t>Количество сотрудников в отделе по полу</t>
  </si>
  <si>
    <t>Количество именинников</t>
  </si>
  <si>
    <t>Месяц</t>
  </si>
  <si>
    <t>1)</t>
  </si>
  <si>
    <t>2)</t>
  </si>
  <si>
    <t>6)</t>
  </si>
  <si>
    <t>7)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</si>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</sst>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  <font>
      <sz val="10"/>
      <color theme="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9" fontId="0" fillId="0" borderId="2" xfId="0" applyNumberFormat="1" applyBorder="1"/>
    <xf numFmtId="14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/>
    <xf numFmtId="0" fontId="3" fillId="0" borderId="0" xfId="0" applyFont="1"/>
    <xf numFmtId="164" fontId="0" fillId="0" borderId="1" xfId="1" applyFont="1" applyBorder="1"/>
    <xf numFmtId="164" fontId="0" fillId="0" borderId="0" xfId="1" applyFont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applyFont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49" fontId="0" fillId="0" borderId="9" xfId="0" applyNumberFormat="1" applyBorder="1"/>
    <xf numFmtId="0" fontId="0" fillId="0" borderId="9" xfId="0" applyBorder="1"/>
    <xf numFmtId="14" fontId="0" fillId="0" borderId="9" xfId="0" applyNumberFormat="1" applyBorder="1"/>
    <xf numFmtId="0" fontId="0" fillId="0" borderId="5" xfId="0" applyBorder="1"/>
    <xf numFmtId="14" fontId="0" fillId="0" borderId="6" xfId="0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4" xfId="0" applyNumberFormat="1" applyBorder="1"/>
    <xf numFmtId="0" fontId="0" fillId="0" borderId="0" xfId="0" applyFont="1" applyFill="1" applyBorder="1" applyAlignment="1">
      <alignment wrapText="1"/>
    </xf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49" fontId="5" fillId="2" borderId="1" xfId="0" applyNumberFormat="1" applyFont="1" applyFill="1" applyBorder="1"/>
    <xf numFmtId="1" fontId="0" fillId="0" borderId="0" xfId="0" applyNumberFormat="1"/>
    <xf numFmtId="49" fontId="0" fillId="0" borderId="6" xfId="0" applyNumberFormat="1" applyBorder="1"/>
    <xf numFmtId="0" fontId="0" fillId="0" borderId="6" xfId="0" applyBorder="1"/>
    <xf numFmtId="14" fontId="0" fillId="0" borderId="6" xfId="0" applyNumberFormat="1" applyBorder="1"/>
  </cellXfs>
  <cellStyles count="2">
    <cellStyle name="Денежный" xfId="1" builtinId="4"/>
    <cellStyle name="Обычный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8" formatCode="0.000000"/>
    </dxf>
    <dxf>
      <numFmt numFmtId="1" formatCode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an" refreshedDate="44507.548956250001" createdVersion="6" refreshedVersion="6" minRefreshableVersion="3" recordCount="20" xr:uid="{89ACFE32-A0E7-43CF-9008-609B350F68DF}">
  <cacheSource type="worksheet">
    <worksheetSource name="Таблица1"/>
  </cacheSource>
  <cacheFields count="16">
    <cacheField name="№пп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Таб. номер" numFmtId="49">
      <sharedItems count="20">
        <s v="00001"/>
        <s v="00454"/>
        <s v="01234"/>
        <s v="12312"/>
        <s v="12345"/>
        <s v="23456"/>
        <s v="34567"/>
        <s v="45454"/>
        <s v="45564"/>
        <s v="45678"/>
        <s v="56565"/>
        <s v="56786"/>
        <s v="56789"/>
        <s v="67890"/>
        <s v="78787"/>
        <s v="78901"/>
        <s v="89012"/>
        <s v="90123"/>
        <s v="98989"/>
        <s v="99999"/>
      </sharedItems>
    </cacheField>
    <cacheField name="Фамилия" numFmtId="0">
      <sharedItems count="20">
        <s v="Иванов"/>
        <s v="Иваненко"/>
        <s v="Петров"/>
        <s v="Петренко"/>
        <s v="Сидоров"/>
        <s v="Седов"/>
        <s v="Фомин"/>
        <s v="Фоменко"/>
        <s v="Кукина"/>
        <s v="Макова"/>
        <s v="Сушкина"/>
        <s v="Кротова"/>
        <s v="Бойцов"/>
        <s v="Гайдай"/>
        <s v="Краснов"/>
        <s v="Рябов"/>
        <s v="Белова"/>
        <s v="Чернова"/>
        <s v="Родионов"/>
        <s v="Хрустов"/>
      </sharedItems>
    </cacheField>
    <cacheField name=" Имя" numFmtId="0">
      <sharedItems count="16">
        <s v="Иван"/>
        <s v="Петр"/>
        <s v="Сидор "/>
        <s v="Кузьма"/>
        <s v="Фома"/>
        <s v="Юлия"/>
        <s v="Алина"/>
        <s v="Алла"/>
        <s v="Инна"/>
        <s v="Семен"/>
        <s v="Павел"/>
        <s v="Олег"/>
        <s v="Софья "/>
        <s v="Зоя"/>
        <s v="Андрей"/>
        <s v="Юрий"/>
      </sharedItems>
    </cacheField>
    <cacheField name="Отчество" numFmtId="0">
      <sharedItems/>
    </cacheField>
    <cacheField name="Отдел" numFmtId="0">
      <sharedItems count="4">
        <s v="Плановый"/>
        <s v="Снабжения"/>
        <s v="Бухгалтерия"/>
        <s v="Маркетинга"/>
      </sharedItems>
    </cacheField>
    <cacheField name="Дата_x000a_ рождения" numFmtId="14">
      <sharedItems containsSemiMixedTypes="0" containsNonDate="0" containsDate="1" containsString="0" minDate="1935-01-21T00:00:00" maxDate="1990-08-27T00:00:00" count="15">
        <d v="1952-10-28T00:00:00"/>
        <d v="1935-01-21T00:00:00"/>
        <d v="1990-08-26T00:00:00"/>
        <d v="1970-11-14T00:00:00"/>
        <d v="1971-02-02T00:00:00"/>
        <d v="1971-11-01T00:00:00"/>
        <d v="1985-07-12T00:00:00"/>
        <d v="1971-09-30T00:00:00"/>
        <d v="1971-12-19T00:00:00"/>
        <d v="1972-03-08T00:00:00"/>
        <d v="1956-12-17T00:00:00"/>
        <d v="1980-01-21T00:00:00"/>
        <d v="1971-04-23T00:00:00"/>
        <d v="1971-07-12T00:00:00"/>
        <d v="1972-11-01T00:00:00"/>
      </sharedItems>
      <fieldGroup par="15" base="6">
        <rangePr groupBy="months" startDate="1935-01-21T00:00:00" endDate="1990-08-27T00:00:00"/>
        <groupItems count="14">
          <s v="&lt;21.01.1935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7.08.1990"/>
        </groupItems>
      </fieldGroup>
    </cacheField>
    <cacheField name="Должность" numFmtId="0">
      <sharedItems count="5">
        <s v="менеджер"/>
        <s v="экономист"/>
        <s v="бухгалтер"/>
        <s v="начальник"/>
        <s v="секретарь"/>
      </sharedItems>
    </cacheField>
    <cacheField name="Дата приема на работу" numFmtId="14">
      <sharedItems containsSemiMixedTypes="0" containsNonDate="0" containsDate="1" containsString="0" minDate="1997-10-21T00:00:00" maxDate="2015-10-11T00:00:00"/>
    </cacheField>
    <cacheField name="Дата увольне-ния" numFmtId="14">
      <sharedItems containsNonDate="0" containsDate="1" containsString="0" containsBlank="1" minDate="2001-12-21T00:00:00" maxDate="2013-01-31T00:00:00"/>
    </cacheField>
    <cacheField name="Пол" numFmtId="0">
      <sharedItems count="2">
        <s v="м"/>
        <s v="ж"/>
      </sharedItems>
    </cacheField>
    <cacheField name="Кол-во иждивенцев" numFmtId="0">
      <sharedItems containsSemiMixedTypes="0" containsString="0" containsNumber="1" containsInteger="1" minValue="0" maxValue="5"/>
    </cacheField>
    <cacheField name="Оклад" numFmtId="0">
      <sharedItems containsSemiMixedTypes="0" containsString="0" containsNumber="1" containsInteger="1" minValue="1000" maxValue="3300"/>
    </cacheField>
    <cacheField name="Стаж" numFmtId="0">
      <sharedItems containsSemiMixedTypes="0" containsString="0" containsNumber="1" containsInteger="1" minValue="0" maxValue="24"/>
    </cacheField>
    <cacheField name="Кварталы" numFmtId="0" databaseField="0">
      <fieldGroup base="6">
        <rangePr groupBy="quarters" startDate="1935-01-21T00:00:00" endDate="1990-08-27T00:00:00"/>
        <groupItems count="6">
          <s v="&lt;21.01.1935"/>
          <s v="Кв-л1"/>
          <s v="Кв-л2"/>
          <s v="Кв-л3"/>
          <s v="Кв-л4"/>
          <s v="&gt;27.08.1990"/>
        </groupItems>
      </fieldGroup>
    </cacheField>
    <cacheField name="Годы" numFmtId="0" databaseField="0">
      <fieldGroup base="6">
        <rangePr groupBy="years" startDate="1935-01-21T00:00:00" endDate="1990-08-27T00:00:00"/>
        <groupItems count="58">
          <s v="&lt;21.01.1935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&gt;27.08.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Иванович"/>
    <x v="0"/>
    <x v="0"/>
    <x v="0"/>
    <d v="2008-01-10T00:00:00"/>
    <m/>
    <x v="0"/>
    <n v="2"/>
    <n v="1500"/>
    <n v="13"/>
  </r>
  <r>
    <x v="1"/>
    <x v="1"/>
    <x v="1"/>
    <x v="0"/>
    <s v="Петрович"/>
    <x v="1"/>
    <x v="1"/>
    <x v="1"/>
    <d v="2010-04-10T00:00:00"/>
    <m/>
    <x v="0"/>
    <n v="1"/>
    <n v="2100"/>
    <n v="11"/>
  </r>
  <r>
    <x v="2"/>
    <x v="2"/>
    <x v="2"/>
    <x v="1"/>
    <s v="Петрович"/>
    <x v="2"/>
    <x v="2"/>
    <x v="2"/>
    <d v="2011-07-21T00:00:00"/>
    <m/>
    <x v="0"/>
    <n v="2"/>
    <n v="2700"/>
    <n v="10"/>
  </r>
  <r>
    <x v="3"/>
    <x v="3"/>
    <x v="3"/>
    <x v="1"/>
    <s v="Иванович"/>
    <x v="3"/>
    <x v="3"/>
    <x v="3"/>
    <d v="2008-10-10T00:00:00"/>
    <m/>
    <x v="0"/>
    <n v="1"/>
    <n v="3300"/>
    <n v="13"/>
  </r>
  <r>
    <x v="4"/>
    <x v="4"/>
    <x v="4"/>
    <x v="2"/>
    <s v="Сидорович"/>
    <x v="0"/>
    <x v="4"/>
    <x v="4"/>
    <d v="2009-01-10T00:00:00"/>
    <d v="2011-10-10T00:00:00"/>
    <x v="0"/>
    <n v="0"/>
    <n v="1000"/>
    <n v="0"/>
  </r>
  <r>
    <x v="5"/>
    <x v="5"/>
    <x v="5"/>
    <x v="3"/>
    <s v="Фомич"/>
    <x v="1"/>
    <x v="5"/>
    <x v="0"/>
    <d v="2009-04-12T00:00:00"/>
    <m/>
    <x v="0"/>
    <n v="5"/>
    <n v="1600"/>
    <n v="12"/>
  </r>
  <r>
    <x v="6"/>
    <x v="6"/>
    <x v="6"/>
    <x v="4"/>
    <s v="Фомич"/>
    <x v="2"/>
    <x v="6"/>
    <x v="1"/>
    <d v="2005-07-26T00:00:00"/>
    <m/>
    <x v="0"/>
    <n v="1"/>
    <n v="2200"/>
    <n v="16"/>
  </r>
  <r>
    <x v="7"/>
    <x v="7"/>
    <x v="7"/>
    <x v="2"/>
    <s v="Кузьмич"/>
    <x v="3"/>
    <x v="7"/>
    <x v="2"/>
    <d v="2009-11-10T00:00:00"/>
    <m/>
    <x v="0"/>
    <n v="1"/>
    <n v="2800"/>
    <n v="12"/>
  </r>
  <r>
    <x v="8"/>
    <x v="8"/>
    <x v="8"/>
    <x v="5"/>
    <s v="Петровна"/>
    <x v="0"/>
    <x v="8"/>
    <x v="3"/>
    <d v="2000-01-10T00:00:00"/>
    <d v="2001-12-21T00:00:00"/>
    <x v="1"/>
    <n v="1"/>
    <n v="3000"/>
    <n v="0"/>
  </r>
  <r>
    <x v="9"/>
    <x v="9"/>
    <x v="9"/>
    <x v="6"/>
    <s v="Игоревна"/>
    <x v="1"/>
    <x v="9"/>
    <x v="4"/>
    <d v="2000-04-10T00:00:00"/>
    <m/>
    <x v="1"/>
    <n v="1"/>
    <n v="1100"/>
    <n v="21"/>
  </r>
  <r>
    <x v="10"/>
    <x v="10"/>
    <x v="10"/>
    <x v="7"/>
    <s v="Вадимовна"/>
    <x v="2"/>
    <x v="10"/>
    <x v="0"/>
    <d v="2000-07-10T00:00:00"/>
    <d v="2003-12-12T00:00:00"/>
    <x v="1"/>
    <n v="1"/>
    <n v="1700"/>
    <n v="0"/>
  </r>
  <r>
    <x v="11"/>
    <x v="11"/>
    <x v="11"/>
    <x v="8"/>
    <s v="Павловна"/>
    <x v="3"/>
    <x v="11"/>
    <x v="1"/>
    <d v="1997-10-21T00:00:00"/>
    <m/>
    <x v="1"/>
    <n v="1"/>
    <n v="2300"/>
    <n v="24"/>
  </r>
  <r>
    <x v="12"/>
    <x v="12"/>
    <x v="12"/>
    <x v="9"/>
    <s v="Семенович"/>
    <x v="0"/>
    <x v="2"/>
    <x v="2"/>
    <d v="2011-01-10T00:00:00"/>
    <m/>
    <x v="0"/>
    <n v="1"/>
    <n v="2500"/>
    <n v="10"/>
  </r>
  <r>
    <x v="13"/>
    <x v="13"/>
    <x v="13"/>
    <x v="0"/>
    <s v="Михайлович"/>
    <x v="1"/>
    <x v="3"/>
    <x v="3"/>
    <d v="2001-04-30T00:00:00"/>
    <m/>
    <x v="0"/>
    <n v="1"/>
    <n v="3100"/>
    <n v="20"/>
  </r>
  <r>
    <x v="14"/>
    <x v="14"/>
    <x v="14"/>
    <x v="10"/>
    <s v="Павлович"/>
    <x v="2"/>
    <x v="4"/>
    <x v="4"/>
    <d v="2001-07-10T00:00:00"/>
    <m/>
    <x v="0"/>
    <n v="5"/>
    <n v="1200"/>
    <n v="20"/>
  </r>
  <r>
    <x v="15"/>
    <x v="15"/>
    <x v="15"/>
    <x v="11"/>
    <s v="Евгеньевич"/>
    <x v="3"/>
    <x v="12"/>
    <x v="0"/>
    <d v="2001-10-13T00:00:00"/>
    <m/>
    <x v="0"/>
    <n v="1"/>
    <n v="1800"/>
    <n v="20"/>
  </r>
  <r>
    <x v="16"/>
    <x v="16"/>
    <x v="16"/>
    <x v="12"/>
    <s v="Петровна"/>
    <x v="0"/>
    <x v="13"/>
    <x v="1"/>
    <d v="2002-01-10T00:00:00"/>
    <m/>
    <x v="1"/>
    <n v="2"/>
    <n v="2000"/>
    <n v="19"/>
  </r>
  <r>
    <x v="17"/>
    <x v="17"/>
    <x v="17"/>
    <x v="13"/>
    <s v="Богдановна"/>
    <x v="1"/>
    <x v="7"/>
    <x v="2"/>
    <d v="2012-04-10T00:00:00"/>
    <m/>
    <x v="1"/>
    <n v="2"/>
    <n v="2600"/>
    <n v="9"/>
  </r>
  <r>
    <x v="18"/>
    <x v="18"/>
    <x v="18"/>
    <x v="14"/>
    <s v="Вадимович"/>
    <x v="2"/>
    <x v="8"/>
    <x v="3"/>
    <d v="2002-07-10T00:00:00"/>
    <d v="2013-01-30T00:00:00"/>
    <x v="0"/>
    <n v="0"/>
    <n v="3200"/>
    <n v="0"/>
  </r>
  <r>
    <x v="19"/>
    <x v="19"/>
    <x v="19"/>
    <x v="15"/>
    <s v="Юрьевич"/>
    <x v="3"/>
    <x v="14"/>
    <x v="4"/>
    <d v="2015-10-10T00:00:00"/>
    <m/>
    <x v="0"/>
    <n v="0"/>
    <n v="130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15183-E4DE-4199-B8F3-84D5C8BE4B1C}" name="Сводная таблица13" cacheId="25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Месяц">
  <location ref="P39:Q49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Количество именинников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88D59-670A-439C-97D1-742BA4B0D290}" name="Сводная таблица12" cacheId="25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Пол" colHeaderCaption="Пол">
  <location ref="P34:Q36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 defaultSubtotal="0"/>
    <pivotField showAll="0" defaultSubtotal="0"/>
  </pivotFields>
  <rowFields count="1">
    <field x="10"/>
  </rowFields>
  <rowItems count="2">
    <i>
      <x/>
    </i>
    <i>
      <x v="1"/>
    </i>
  </rowItems>
  <colItems count="1">
    <i/>
  </colItems>
  <dataFields count="1">
    <dataField name="Средний оклад" fld="12" subtotal="average" baseField="5" baseItem="0" numFmtId="1"/>
  </dataFields>
  <formats count="3">
    <format dxfId="2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3">
      <pivotArea collapsedLevelsAreSubtotals="1" fieldPosition="0">
        <references count="1">
          <reference field="10" count="1">
            <x v="0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2CA3D-8080-492F-BB5A-B0A795DF7AD1}" name="Сводная таблица11" cacheId="25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Отдел" colHeaderCaption="Пол">
  <location ref="P25:R31" firstHeaderRow="1" firstDataRow="2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2">
    <i>
      <x/>
    </i>
    <i>
      <x v="1"/>
    </i>
  </colItems>
  <dataFields count="1">
    <dataField name="Количество сотрудников в отделе по полу" fld="1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441F7-3F50-466C-B447-5A8851B549CD}" name="Сводная таблица10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дел">
  <location ref="P17:Q2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во иждивенцев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4E372-57FC-464C-BDAE-033D81AAA712}" name="Сводная таблица9" cacheId="25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Отдел">
  <location ref="P10:Q14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Средний оклад" fld="1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14A18-2279-4425-9C3C-0E8A322A0FAD}" name="Сводная таблица8" cacheId="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дел">
  <location ref="P2:Q7" firstHeaderRow="1" firstDataRow="1" firstDataCol="1"/>
  <pivotFields count="16">
    <pivotField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сотркудников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07645-543D-4708-9B46-94CC08404485}" name="Таблица1" displayName="Таблица1" ref="A1:N21" totalsRowShown="0" headerRowDxfId="8" headerRowBorderDxfId="21" tableBorderDxfId="22" totalsRowBorderDxfId="20">
  <tableColumns count="14">
    <tableColumn id="1" xr3:uid="{1FD34D8A-B8AA-4A73-BE2D-2478DE56274C}" name="№пп" dataDxfId="19"/>
    <tableColumn id="2" xr3:uid="{609EA6FC-3816-4592-BDC5-DDCE47816D4E}" name="Таб. номер" dataDxfId="18"/>
    <tableColumn id="3" xr3:uid="{7F2DC754-5544-454F-9734-876B9E49F321}" name="Фамилия" dataDxfId="17"/>
    <tableColumn id="4" xr3:uid="{242EA972-25AE-4DCA-952D-C03864444F91}" name=" Имя" dataDxfId="16"/>
    <tableColumn id="5" xr3:uid="{C552CA08-2F6B-4AB8-8811-42DA1EBBC9C1}" name="Отчество" dataDxfId="15"/>
    <tableColumn id="6" xr3:uid="{A1157DE1-CB6B-41AA-BA96-8D372C54A390}" name="Отдел" dataDxfId="14"/>
    <tableColumn id="7" xr3:uid="{6F5EC348-CC42-4B55-975F-8E3915B9B60F}" name="Дата_x000a_ рождения" dataDxfId="13"/>
    <tableColumn id="8" xr3:uid="{2C5DE690-BA62-4A25-9576-EF10BAAE5A30}" name="Должность" dataDxfId="12"/>
    <tableColumn id="9" xr3:uid="{56F8A33B-E2AB-42C0-AB45-8C9CF2132A81}" name="Дата приема на работу" dataDxfId="11"/>
    <tableColumn id="10" xr3:uid="{9EF745DA-4EBC-4D40-B05C-8C6A1F9717EA}" name="Дата увольне-ния" dataDxfId="7"/>
    <tableColumn id="11" xr3:uid="{70788AE3-A2E9-422D-A9E2-8AACA32D9634}" name="Пол" dataDxfId="10"/>
    <tableColumn id="12" xr3:uid="{CF812D4C-638C-45E6-AAC9-030FEBE59EC8}" name="Кол-во иждивенцев" dataDxfId="9"/>
    <tableColumn id="13" xr3:uid="{641475B6-DF84-4674-96E0-682C6726A2D5}" name="Оклад" dataDxfId="6">
      <calculatedColumnFormula>HLOOKUP(Таблица1[[#This Row],[Отдел]],ЗП,MATCH(Таблица1[[#This Row],[Должность]],'Справочные данные'!$C$3:$C$8,0),0)</calculatedColumnFormula>
    </tableColumn>
    <tableColumn id="14" xr3:uid="{0337561C-47AC-4367-A9FB-EE764F6275B3}" name="Стаж" dataDxfId="5">
      <calculatedColumnFormula>IF(J2,,YEAR(TODAY())-YEAR(Таблица1[[#This Row],[Дата приема на работу]]))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A3" sqref="A3:A7"/>
    </sheetView>
  </sheetViews>
  <sheetFormatPr defaultRowHeight="13.2" x14ac:dyDescent="0.25"/>
  <cols>
    <col min="1" max="1" width="16" bestFit="1" customWidth="1"/>
    <col min="3" max="3" width="11.33203125" customWidth="1"/>
    <col min="4" max="4" width="12.44140625" customWidth="1"/>
    <col min="5" max="5" width="10.88671875" bestFit="1" customWidth="1"/>
    <col min="6" max="6" width="11.88671875" bestFit="1" customWidth="1"/>
    <col min="7" max="7" width="11" bestFit="1" customWidth="1"/>
    <col min="11" max="11" width="20.44140625" bestFit="1" customWidth="1"/>
  </cols>
  <sheetData>
    <row r="1" spans="1:12" x14ac:dyDescent="0.25">
      <c r="C1" s="16" t="s">
        <v>98</v>
      </c>
      <c r="K1" s="16" t="s">
        <v>100</v>
      </c>
    </row>
    <row r="3" spans="1:12" x14ac:dyDescent="0.25">
      <c r="A3" s="8" t="s">
        <v>90</v>
      </c>
      <c r="C3" s="8" t="s">
        <v>91</v>
      </c>
      <c r="D3" s="1" t="s">
        <v>86</v>
      </c>
      <c r="E3" s="1" t="s">
        <v>87</v>
      </c>
      <c r="F3" s="1" t="s">
        <v>88</v>
      </c>
      <c r="G3" s="1" t="s">
        <v>89</v>
      </c>
      <c r="K3" s="17" t="s">
        <v>101</v>
      </c>
      <c r="L3" s="17" t="s">
        <v>102</v>
      </c>
    </row>
    <row r="4" spans="1:12" x14ac:dyDescent="0.25">
      <c r="A4" s="1" t="s">
        <v>86</v>
      </c>
      <c r="C4" s="1" t="s">
        <v>92</v>
      </c>
      <c r="D4" s="10">
        <v>1500</v>
      </c>
      <c r="E4" s="10">
        <v>1600</v>
      </c>
      <c r="F4" s="10">
        <v>1700</v>
      </c>
      <c r="G4" s="10">
        <v>1800</v>
      </c>
      <c r="K4" s="1">
        <v>0</v>
      </c>
      <c r="L4" s="12">
        <v>0.02</v>
      </c>
    </row>
    <row r="5" spans="1:12" x14ac:dyDescent="0.25">
      <c r="A5" s="1" t="s">
        <v>87</v>
      </c>
      <c r="C5" s="1" t="s">
        <v>93</v>
      </c>
      <c r="D5" s="10">
        <v>2000</v>
      </c>
      <c r="E5" s="10">
        <v>2100</v>
      </c>
      <c r="F5" s="10">
        <v>2200</v>
      </c>
      <c r="G5" s="10">
        <v>2300</v>
      </c>
      <c r="K5" s="1">
        <v>6</v>
      </c>
      <c r="L5" s="12">
        <v>0.03</v>
      </c>
    </row>
    <row r="6" spans="1:12" x14ac:dyDescent="0.25">
      <c r="A6" s="1" t="s">
        <v>88</v>
      </c>
      <c r="C6" s="1" t="s">
        <v>94</v>
      </c>
      <c r="D6" s="10">
        <v>2500</v>
      </c>
      <c r="E6" s="10">
        <v>2600</v>
      </c>
      <c r="F6" s="10">
        <v>2700</v>
      </c>
      <c r="G6" s="10">
        <v>2800</v>
      </c>
      <c r="K6" s="1">
        <v>10</v>
      </c>
      <c r="L6" s="12">
        <v>0.05</v>
      </c>
    </row>
    <row r="7" spans="1:12" x14ac:dyDescent="0.25">
      <c r="A7" s="1" t="s">
        <v>89</v>
      </c>
      <c r="C7" s="1" t="s">
        <v>95</v>
      </c>
      <c r="D7" s="10">
        <v>3000</v>
      </c>
      <c r="E7" s="10">
        <v>3100</v>
      </c>
      <c r="F7" s="10">
        <v>3200</v>
      </c>
      <c r="G7" s="10">
        <v>3300</v>
      </c>
      <c r="K7" s="1">
        <v>14</v>
      </c>
      <c r="L7" s="12">
        <v>7.0000000000000007E-2</v>
      </c>
    </row>
    <row r="8" spans="1:12" x14ac:dyDescent="0.25">
      <c r="C8" s="1" t="s">
        <v>96</v>
      </c>
      <c r="D8" s="10">
        <v>1000</v>
      </c>
      <c r="E8" s="10">
        <v>1100</v>
      </c>
      <c r="F8" s="10">
        <v>1200</v>
      </c>
      <c r="G8" s="10">
        <v>1300</v>
      </c>
      <c r="K8" s="1">
        <v>20</v>
      </c>
      <c r="L8" s="12">
        <v>0.09</v>
      </c>
    </row>
    <row r="9" spans="1:12" x14ac:dyDescent="0.25">
      <c r="D9" s="11"/>
      <c r="E9" s="11"/>
      <c r="F9" s="11"/>
      <c r="G9" s="11"/>
    </row>
  </sheetData>
  <phoneticPr fontId="0" type="noConversion"/>
  <dataValidations count="1">
    <dataValidation type="list" allowBlank="1" showInputMessage="1" showErrorMessage="1" sqref="A6:A7 F3:G3" xr:uid="{00000000-0002-0000-0000-000000000000}">
      <formula1>р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C37" workbookViewId="0">
      <selection activeCell="P39" sqref="P39"/>
    </sheetView>
  </sheetViews>
  <sheetFormatPr defaultRowHeight="13.2" x14ac:dyDescent="0.25"/>
  <cols>
    <col min="1" max="1" width="9.77734375" bestFit="1" customWidth="1"/>
    <col min="2" max="2" width="15.6640625" bestFit="1" customWidth="1"/>
    <col min="3" max="3" width="10.6640625" customWidth="1"/>
    <col min="4" max="4" width="7" customWidth="1"/>
    <col min="5" max="5" width="11.33203125" customWidth="1"/>
    <col min="6" max="6" width="11.6640625" bestFit="1" customWidth="1"/>
    <col min="7" max="7" width="10.109375" bestFit="1" customWidth="1"/>
    <col min="8" max="8" width="12.44140625" customWidth="1"/>
    <col min="9" max="9" width="22.88671875" customWidth="1"/>
    <col min="10" max="10" width="18.44140625" style="29" customWidth="1"/>
    <col min="11" max="11" width="6.21875" customWidth="1"/>
    <col min="12" max="12" width="19.77734375" customWidth="1"/>
    <col min="13" max="13" width="8.21875" customWidth="1"/>
    <col min="14" max="14" width="10.109375" bestFit="1" customWidth="1"/>
    <col min="15" max="15" width="6.44140625" customWidth="1"/>
    <col min="16" max="16" width="11.88671875" bestFit="1" customWidth="1"/>
    <col min="17" max="17" width="25.5546875" bestFit="1" customWidth="1"/>
    <col min="18" max="18" width="11.33203125" customWidth="1"/>
  </cols>
  <sheetData>
    <row r="1" spans="1:18" ht="39.6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97</v>
      </c>
      <c r="H1" s="21" t="s">
        <v>6</v>
      </c>
      <c r="I1" s="21" t="s">
        <v>7</v>
      </c>
      <c r="J1" s="28" t="s">
        <v>8</v>
      </c>
      <c r="K1" s="21" t="s">
        <v>9</v>
      </c>
      <c r="L1" s="21" t="s">
        <v>10</v>
      </c>
      <c r="M1" s="21" t="s">
        <v>11</v>
      </c>
      <c r="N1" s="22" t="s">
        <v>103</v>
      </c>
      <c r="O1" s="6"/>
      <c r="P1" t="s">
        <v>130</v>
      </c>
    </row>
    <row r="2" spans="1:18" x14ac:dyDescent="0.25">
      <c r="A2" s="27">
        <v>1</v>
      </c>
      <c r="B2" s="41" t="s">
        <v>12</v>
      </c>
      <c r="C2" s="1" t="s">
        <v>13</v>
      </c>
      <c r="D2" s="42" t="s">
        <v>14</v>
      </c>
      <c r="E2" s="42" t="s">
        <v>15</v>
      </c>
      <c r="F2" s="1" t="s">
        <v>86</v>
      </c>
      <c r="G2" s="43">
        <v>19295</v>
      </c>
      <c r="H2" s="42" t="s">
        <v>92</v>
      </c>
      <c r="I2" s="3">
        <v>39457</v>
      </c>
      <c r="J2" s="3"/>
      <c r="K2" s="1" t="s">
        <v>16</v>
      </c>
      <c r="L2" s="1">
        <v>2</v>
      </c>
      <c r="M2" s="1">
        <f>HLOOKUP(Таблица1[[#This Row],[Отдел]],ЗП,MATCH(Таблица1[[#This Row],[Должность]],'Справочные данные'!$C$3:$C$8,0),0)</f>
        <v>1500</v>
      </c>
      <c r="N2" s="31">
        <f ca="1">IF(J2,,YEAR(TODAY())-YEAR(Таблица1[[#This Row],[Дата приема на работу]]))</f>
        <v>13</v>
      </c>
      <c r="O2" s="7"/>
      <c r="P2" s="34" t="s">
        <v>5</v>
      </c>
      <c r="Q2" t="s">
        <v>124</v>
      </c>
    </row>
    <row r="3" spans="1:18" x14ac:dyDescent="0.25">
      <c r="A3" s="19">
        <v>2</v>
      </c>
      <c r="B3" s="2" t="s">
        <v>17</v>
      </c>
      <c r="C3" s="1" t="s">
        <v>18</v>
      </c>
      <c r="D3" s="1" t="s">
        <v>14</v>
      </c>
      <c r="E3" s="1" t="s">
        <v>19</v>
      </c>
      <c r="F3" s="1" t="s">
        <v>87</v>
      </c>
      <c r="G3" s="3">
        <v>12805</v>
      </c>
      <c r="H3" s="1" t="s">
        <v>93</v>
      </c>
      <c r="I3" s="3">
        <v>40278</v>
      </c>
      <c r="J3" s="3"/>
      <c r="K3" s="1" t="s">
        <v>16</v>
      </c>
      <c r="L3" s="1">
        <v>1</v>
      </c>
      <c r="M3" s="1">
        <f>HLOOKUP(Таблица1[[#This Row],[Отдел]],ЗП,MATCH(Таблица1[[#This Row],[Должность]],'Справочные данные'!$C$3:$C$8,0),0)</f>
        <v>2100</v>
      </c>
      <c r="N3" s="31">
        <f ca="1">IF(J3,,YEAR(TODAY())-YEAR(Таблица1[[#This Row],[Дата приема на работу]]))</f>
        <v>11</v>
      </c>
      <c r="O3" s="7"/>
      <c r="P3" s="35" t="s">
        <v>88</v>
      </c>
      <c r="Q3" s="30">
        <v>5</v>
      </c>
    </row>
    <row r="4" spans="1:18" x14ac:dyDescent="0.25">
      <c r="A4" s="19">
        <v>3</v>
      </c>
      <c r="B4" s="2" t="s">
        <v>20</v>
      </c>
      <c r="C4" s="1" t="s">
        <v>21</v>
      </c>
      <c r="D4" s="1" t="s">
        <v>22</v>
      </c>
      <c r="E4" s="1" t="s">
        <v>19</v>
      </c>
      <c r="F4" s="1" t="s">
        <v>88</v>
      </c>
      <c r="G4" s="3">
        <v>33111</v>
      </c>
      <c r="H4" s="1" t="s">
        <v>94</v>
      </c>
      <c r="I4" s="3">
        <v>40745</v>
      </c>
      <c r="J4" s="3"/>
      <c r="K4" s="1" t="s">
        <v>16</v>
      </c>
      <c r="L4" s="1">
        <v>2</v>
      </c>
      <c r="M4" s="1">
        <f>HLOOKUP(Таблица1[[#This Row],[Отдел]],ЗП,MATCH(Таблица1[[#This Row],[Должность]],'Справочные данные'!$C$3:$C$8,0),0)</f>
        <v>2700</v>
      </c>
      <c r="N4" s="31">
        <f ca="1">IF(J4,,YEAR(TODAY())-YEAR(Таблица1[[#This Row],[Дата приема на работу]]))</f>
        <v>10</v>
      </c>
      <c r="O4" s="7"/>
      <c r="P4" s="35" t="s">
        <v>89</v>
      </c>
      <c r="Q4" s="30">
        <v>5</v>
      </c>
    </row>
    <row r="5" spans="1:18" x14ac:dyDescent="0.25">
      <c r="A5" s="19">
        <v>4</v>
      </c>
      <c r="B5" s="2" t="s">
        <v>23</v>
      </c>
      <c r="C5" s="1" t="s">
        <v>24</v>
      </c>
      <c r="D5" s="1" t="s">
        <v>22</v>
      </c>
      <c r="E5" s="1" t="s">
        <v>15</v>
      </c>
      <c r="F5" s="1" t="s">
        <v>89</v>
      </c>
      <c r="G5" s="3">
        <v>25886</v>
      </c>
      <c r="H5" s="1" t="s">
        <v>95</v>
      </c>
      <c r="I5" s="3">
        <v>39731</v>
      </c>
      <c r="J5" s="3"/>
      <c r="K5" s="1" t="s">
        <v>16</v>
      </c>
      <c r="L5" s="1">
        <v>1</v>
      </c>
      <c r="M5" s="1">
        <f>HLOOKUP(Таблица1[[#This Row],[Отдел]],ЗП,MATCH(Таблица1[[#This Row],[Должность]],'Справочные данные'!$C$3:$C$8,0),0)</f>
        <v>3300</v>
      </c>
      <c r="N5" s="31">
        <f ca="1">IF(J5,,YEAR(TODAY())-YEAR(Таблица1[[#This Row],[Дата приема на работу]]))</f>
        <v>13</v>
      </c>
      <c r="O5" s="7"/>
      <c r="P5" s="35" t="s">
        <v>86</v>
      </c>
      <c r="Q5" s="30">
        <v>5</v>
      </c>
      <c r="R5" s="9"/>
    </row>
    <row r="6" spans="1:18" x14ac:dyDescent="0.25">
      <c r="A6" s="19">
        <v>5</v>
      </c>
      <c r="B6" s="2" t="s">
        <v>25</v>
      </c>
      <c r="C6" s="1" t="s">
        <v>26</v>
      </c>
      <c r="D6" s="1" t="s">
        <v>27</v>
      </c>
      <c r="E6" s="1" t="s">
        <v>28</v>
      </c>
      <c r="F6" s="1" t="s">
        <v>86</v>
      </c>
      <c r="G6" s="3">
        <v>25966</v>
      </c>
      <c r="H6" s="1" t="s">
        <v>96</v>
      </c>
      <c r="I6" s="3">
        <v>39823</v>
      </c>
      <c r="J6" s="3">
        <v>40826</v>
      </c>
      <c r="K6" s="1" t="s">
        <v>16</v>
      </c>
      <c r="L6" s="1">
        <v>0</v>
      </c>
      <c r="M6" s="1">
        <f>HLOOKUP(Таблица1[[#This Row],[Отдел]],ЗП,MATCH(Таблица1[[#This Row],[Должность]],'Справочные данные'!$C$3:$C$8,0),0)</f>
        <v>1000</v>
      </c>
      <c r="N6" s="31">
        <f ca="1">IF(J6,,YEAR(TODAY())-YEAR(Таблица1[[#This Row],[Дата приема на работу]]))</f>
        <v>0</v>
      </c>
      <c r="O6" s="7"/>
      <c r="P6" s="35" t="s">
        <v>87</v>
      </c>
      <c r="Q6" s="30">
        <v>5</v>
      </c>
    </row>
    <row r="7" spans="1:18" x14ac:dyDescent="0.25">
      <c r="A7" s="19">
        <v>6</v>
      </c>
      <c r="B7" s="2" t="s">
        <v>29</v>
      </c>
      <c r="C7" s="1" t="s">
        <v>30</v>
      </c>
      <c r="D7" s="1" t="s">
        <v>31</v>
      </c>
      <c r="E7" s="1" t="s">
        <v>32</v>
      </c>
      <c r="F7" s="1" t="s">
        <v>87</v>
      </c>
      <c r="G7" s="3">
        <v>26238</v>
      </c>
      <c r="H7" s="1" t="s">
        <v>92</v>
      </c>
      <c r="I7" s="3">
        <v>39915</v>
      </c>
      <c r="J7" s="3"/>
      <c r="K7" s="1" t="s">
        <v>16</v>
      </c>
      <c r="L7" s="1">
        <v>5</v>
      </c>
      <c r="M7" s="1">
        <f>HLOOKUP(Таблица1[[#This Row],[Отдел]],ЗП,MATCH(Таблица1[[#This Row],[Должность]],'Справочные данные'!$C$3:$C$8,0),0)</f>
        <v>1600</v>
      </c>
      <c r="N7" s="31">
        <f ca="1">IF(J7,,YEAR(TODAY())-YEAR(Таблица1[[#This Row],[Дата приема на работу]]))</f>
        <v>12</v>
      </c>
      <c r="O7" s="7"/>
      <c r="P7" s="35" t="s">
        <v>108</v>
      </c>
      <c r="Q7" s="30">
        <v>20</v>
      </c>
    </row>
    <row r="8" spans="1:18" x14ac:dyDescent="0.25">
      <c r="A8" s="19">
        <v>7</v>
      </c>
      <c r="B8" s="2" t="s">
        <v>33</v>
      </c>
      <c r="C8" s="1" t="s">
        <v>34</v>
      </c>
      <c r="D8" s="1" t="s">
        <v>35</v>
      </c>
      <c r="E8" s="1" t="s">
        <v>32</v>
      </c>
      <c r="F8" s="1" t="s">
        <v>88</v>
      </c>
      <c r="G8" s="3">
        <v>31240</v>
      </c>
      <c r="H8" s="1" t="s">
        <v>93</v>
      </c>
      <c r="I8" s="3">
        <v>38559</v>
      </c>
      <c r="J8" s="3"/>
      <c r="K8" s="1" t="s">
        <v>16</v>
      </c>
      <c r="L8" s="1">
        <v>1</v>
      </c>
      <c r="M8" s="1">
        <f>HLOOKUP(Таблица1[[#This Row],[Отдел]],ЗП,MATCH(Таблица1[[#This Row],[Должность]],'Справочные данные'!$C$3:$C$8,0),0)</f>
        <v>2200</v>
      </c>
      <c r="N8" s="31">
        <f ca="1">IF(J8,,YEAR(TODAY())-YEAR(Таблица1[[#This Row],[Дата приема на работу]]))</f>
        <v>16</v>
      </c>
      <c r="O8" s="7"/>
    </row>
    <row r="9" spans="1:18" x14ac:dyDescent="0.25">
      <c r="A9" s="19">
        <v>8</v>
      </c>
      <c r="B9" s="2" t="s">
        <v>36</v>
      </c>
      <c r="C9" s="1" t="s">
        <v>37</v>
      </c>
      <c r="D9" s="1" t="s">
        <v>27</v>
      </c>
      <c r="E9" s="1" t="s">
        <v>38</v>
      </c>
      <c r="F9" s="1" t="s">
        <v>89</v>
      </c>
      <c r="G9" s="3">
        <v>26206</v>
      </c>
      <c r="H9" s="1" t="s">
        <v>94</v>
      </c>
      <c r="I9" s="3">
        <v>40127</v>
      </c>
      <c r="J9" s="3"/>
      <c r="K9" s="1" t="s">
        <v>16</v>
      </c>
      <c r="L9" s="1">
        <v>1</v>
      </c>
      <c r="M9" s="1">
        <f>HLOOKUP(Таблица1[[#This Row],[Отдел]],ЗП,MATCH(Таблица1[[#This Row],[Должность]],'Справочные данные'!$C$3:$C$8,0),0)</f>
        <v>2800</v>
      </c>
      <c r="N9" s="31">
        <f ca="1">IF(J9,,YEAR(TODAY())-YEAR(Таблица1[[#This Row],[Дата приема на работу]]))</f>
        <v>12</v>
      </c>
      <c r="O9" s="7"/>
      <c r="P9" t="s">
        <v>131</v>
      </c>
    </row>
    <row r="10" spans="1:18" x14ac:dyDescent="0.25">
      <c r="A10" s="19">
        <v>9</v>
      </c>
      <c r="B10" s="2" t="s">
        <v>39</v>
      </c>
      <c r="C10" s="1" t="s">
        <v>40</v>
      </c>
      <c r="D10" s="1" t="s">
        <v>41</v>
      </c>
      <c r="E10" s="1" t="s">
        <v>42</v>
      </c>
      <c r="F10" s="1" t="s">
        <v>86</v>
      </c>
      <c r="G10" s="3">
        <v>26286</v>
      </c>
      <c r="H10" s="1" t="s">
        <v>95</v>
      </c>
      <c r="I10" s="3">
        <v>36535</v>
      </c>
      <c r="J10" s="3">
        <v>37246</v>
      </c>
      <c r="K10" s="1" t="s">
        <v>43</v>
      </c>
      <c r="L10" s="1">
        <v>1</v>
      </c>
      <c r="M10" s="1">
        <f>HLOOKUP(Таблица1[[#This Row],[Отдел]],ЗП,MATCH(Таблица1[[#This Row],[Должность]],'Справочные данные'!$C$3:$C$8,0),0)</f>
        <v>3000</v>
      </c>
      <c r="N10" s="31">
        <f ca="1">IF(J10,,YEAR(TODAY())-YEAR(Таблица1[[#This Row],[Дата приема на работу]]))</f>
        <v>0</v>
      </c>
      <c r="O10" s="7"/>
      <c r="P10" s="34" t="s">
        <v>5</v>
      </c>
      <c r="Q10" t="s">
        <v>125</v>
      </c>
    </row>
    <row r="11" spans="1:18" x14ac:dyDescent="0.25">
      <c r="A11" s="19">
        <v>10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87</v>
      </c>
      <c r="G11" s="3">
        <v>26366</v>
      </c>
      <c r="H11" s="1" t="s">
        <v>96</v>
      </c>
      <c r="I11" s="3">
        <v>36626</v>
      </c>
      <c r="J11" s="3"/>
      <c r="K11" s="1" t="s">
        <v>43</v>
      </c>
      <c r="L11" s="1">
        <v>1</v>
      </c>
      <c r="M11" s="1">
        <f>HLOOKUP(Таблица1[[#This Row],[Отдел]],ЗП,MATCH(Таблица1[[#This Row],[Должность]],'Справочные данные'!$C$3:$C$8,0),0)</f>
        <v>1100</v>
      </c>
      <c r="N11" s="31">
        <f ca="1">IF(J11,,YEAR(TODAY())-YEAR(Таблица1[[#This Row],[Дата приема на работу]]))</f>
        <v>21</v>
      </c>
      <c r="O11" s="7"/>
      <c r="P11" s="35" t="s">
        <v>88</v>
      </c>
      <c r="Q11" s="30">
        <v>2200</v>
      </c>
    </row>
    <row r="12" spans="1:18" x14ac:dyDescent="0.25">
      <c r="A12" s="19">
        <v>11</v>
      </c>
      <c r="B12" s="2" t="s">
        <v>48</v>
      </c>
      <c r="C12" s="1" t="s">
        <v>49</v>
      </c>
      <c r="D12" s="1" t="s">
        <v>50</v>
      </c>
      <c r="E12" s="1" t="s">
        <v>51</v>
      </c>
      <c r="F12" s="1" t="s">
        <v>88</v>
      </c>
      <c r="G12" s="3">
        <v>20806</v>
      </c>
      <c r="H12" s="1" t="s">
        <v>92</v>
      </c>
      <c r="I12" s="3">
        <v>36717</v>
      </c>
      <c r="J12" s="3">
        <v>37967</v>
      </c>
      <c r="K12" s="1" t="s">
        <v>43</v>
      </c>
      <c r="L12" s="1">
        <v>1</v>
      </c>
      <c r="M12" s="1">
        <f>HLOOKUP(Таблица1[[#This Row],[Отдел]],ЗП,MATCH(Таблица1[[#This Row],[Должность]],'Справочные данные'!$C$3:$C$8,0),0)</f>
        <v>1700</v>
      </c>
      <c r="N12" s="31">
        <f ca="1">IF(J12,,YEAR(TODAY())-YEAR(Таблица1[[#This Row],[Дата приема на работу]]))</f>
        <v>0</v>
      </c>
      <c r="O12" s="7"/>
      <c r="P12" s="35" t="s">
        <v>89</v>
      </c>
      <c r="Q12" s="30">
        <v>2300</v>
      </c>
    </row>
    <row r="13" spans="1:18" x14ac:dyDescent="0.25">
      <c r="A13" s="19">
        <v>12</v>
      </c>
      <c r="B13" s="2" t="s">
        <v>52</v>
      </c>
      <c r="C13" s="1" t="s">
        <v>53</v>
      </c>
      <c r="D13" s="1" t="s">
        <v>54</v>
      </c>
      <c r="E13" s="1" t="s">
        <v>55</v>
      </c>
      <c r="F13" s="1" t="s">
        <v>89</v>
      </c>
      <c r="G13" s="3">
        <v>29241</v>
      </c>
      <c r="H13" s="1" t="s">
        <v>93</v>
      </c>
      <c r="I13" s="3">
        <v>35724</v>
      </c>
      <c r="J13" s="3"/>
      <c r="K13" s="1" t="s">
        <v>43</v>
      </c>
      <c r="L13" s="1">
        <v>1</v>
      </c>
      <c r="M13" s="1">
        <f>HLOOKUP(Таблица1[[#This Row],[Отдел]],ЗП,MATCH(Таблица1[[#This Row],[Должность]],'Справочные данные'!$C$3:$C$8,0),0)</f>
        <v>2300</v>
      </c>
      <c r="N13" s="31">
        <f ca="1">IF(J13,,YEAR(TODAY())-YEAR(Таблица1[[#This Row],[Дата приема на работу]]))</f>
        <v>24</v>
      </c>
      <c r="O13" s="7"/>
      <c r="P13" s="35" t="s">
        <v>86</v>
      </c>
      <c r="Q13" s="30">
        <v>2000</v>
      </c>
    </row>
    <row r="14" spans="1:18" x14ac:dyDescent="0.25">
      <c r="A14" s="19">
        <v>13</v>
      </c>
      <c r="B14" s="2" t="s">
        <v>56</v>
      </c>
      <c r="C14" s="1" t="s">
        <v>57</v>
      </c>
      <c r="D14" s="1" t="s">
        <v>58</v>
      </c>
      <c r="E14" s="1" t="s">
        <v>59</v>
      </c>
      <c r="F14" s="1" t="s">
        <v>86</v>
      </c>
      <c r="G14" s="3">
        <v>33111</v>
      </c>
      <c r="H14" s="1" t="s">
        <v>94</v>
      </c>
      <c r="I14" s="3">
        <v>40553</v>
      </c>
      <c r="J14" s="3"/>
      <c r="K14" s="1" t="s">
        <v>16</v>
      </c>
      <c r="L14" s="1">
        <v>1</v>
      </c>
      <c r="M14" s="1">
        <f>HLOOKUP(Таблица1[[#This Row],[Отдел]],ЗП,MATCH(Таблица1[[#This Row],[Должность]],'Справочные данные'!$C$3:$C$8,0),0)</f>
        <v>2500</v>
      </c>
      <c r="N14" s="31">
        <f ca="1">IF(J14,,YEAR(TODAY())-YEAR(Таблица1[[#This Row],[Дата приема на работу]]))</f>
        <v>10</v>
      </c>
      <c r="O14" s="7"/>
      <c r="P14" s="35" t="s">
        <v>87</v>
      </c>
      <c r="Q14" s="30">
        <v>2100</v>
      </c>
    </row>
    <row r="15" spans="1:18" x14ac:dyDescent="0.25">
      <c r="A15" s="19">
        <v>14</v>
      </c>
      <c r="B15" s="2" t="s">
        <v>60</v>
      </c>
      <c r="C15" s="1" t="s">
        <v>61</v>
      </c>
      <c r="D15" s="1" t="s">
        <v>14</v>
      </c>
      <c r="E15" s="1" t="s">
        <v>62</v>
      </c>
      <c r="F15" s="1" t="s">
        <v>87</v>
      </c>
      <c r="G15" s="3">
        <v>25886</v>
      </c>
      <c r="H15" s="1" t="s">
        <v>95</v>
      </c>
      <c r="I15" s="3">
        <v>37011</v>
      </c>
      <c r="J15" s="3"/>
      <c r="K15" s="1" t="s">
        <v>16</v>
      </c>
      <c r="L15" s="1">
        <v>1</v>
      </c>
      <c r="M15" s="1">
        <f>HLOOKUP(Таблица1[[#This Row],[Отдел]],ЗП,MATCH(Таблица1[[#This Row],[Должность]],'Справочные данные'!$C$3:$C$8,0),0)</f>
        <v>3100</v>
      </c>
      <c r="N15" s="31">
        <f ca="1">IF(J15,,YEAR(TODAY())-YEAR(Таблица1[[#This Row],[Дата приема на работу]]))</f>
        <v>20</v>
      </c>
      <c r="O15" s="7"/>
    </row>
    <row r="16" spans="1:18" x14ac:dyDescent="0.25">
      <c r="A16" s="19">
        <v>15</v>
      </c>
      <c r="B16" s="2" t="s">
        <v>63</v>
      </c>
      <c r="C16" s="1" t="s">
        <v>64</v>
      </c>
      <c r="D16" s="1" t="s">
        <v>65</v>
      </c>
      <c r="E16" s="1" t="s">
        <v>66</v>
      </c>
      <c r="F16" s="1" t="s">
        <v>88</v>
      </c>
      <c r="G16" s="3">
        <v>25966</v>
      </c>
      <c r="H16" s="1" t="s">
        <v>96</v>
      </c>
      <c r="I16" s="3">
        <v>37082</v>
      </c>
      <c r="J16" s="3"/>
      <c r="K16" s="1" t="s">
        <v>16</v>
      </c>
      <c r="L16" s="1">
        <v>5</v>
      </c>
      <c r="M16" s="1">
        <f>HLOOKUP(Таблица1[[#This Row],[Отдел]],ЗП,MATCH(Таблица1[[#This Row],[Должность]],'Справочные данные'!$C$3:$C$8,0),0)</f>
        <v>1200</v>
      </c>
      <c r="N16" s="31">
        <f ca="1">IF(J16,,YEAR(TODAY())-YEAR(Таблица1[[#This Row],[Дата приема на работу]]))</f>
        <v>20</v>
      </c>
      <c r="O16" s="7"/>
      <c r="P16" t="s">
        <v>132</v>
      </c>
    </row>
    <row r="17" spans="1:18" x14ac:dyDescent="0.25">
      <c r="A17" s="19">
        <v>16</v>
      </c>
      <c r="B17" s="2" t="s">
        <v>67</v>
      </c>
      <c r="C17" s="1" t="s">
        <v>68</v>
      </c>
      <c r="D17" s="1" t="s">
        <v>69</v>
      </c>
      <c r="E17" s="1" t="s">
        <v>70</v>
      </c>
      <c r="F17" s="1" t="s">
        <v>89</v>
      </c>
      <c r="G17" s="3">
        <v>26046</v>
      </c>
      <c r="H17" s="1" t="s">
        <v>92</v>
      </c>
      <c r="I17" s="3">
        <v>37177</v>
      </c>
      <c r="J17" s="3"/>
      <c r="K17" s="1" t="s">
        <v>16</v>
      </c>
      <c r="L17" s="1">
        <v>1</v>
      </c>
      <c r="M17" s="1">
        <f>HLOOKUP(Таблица1[[#This Row],[Отдел]],ЗП,MATCH(Таблица1[[#This Row],[Должность]],'Справочные данные'!$C$3:$C$8,0),0)</f>
        <v>1800</v>
      </c>
      <c r="N17" s="31">
        <f ca="1">IF(J17,,YEAR(TODAY())-YEAR(Таблица1[[#This Row],[Дата приема на работу]]))</f>
        <v>20</v>
      </c>
      <c r="O17" s="7"/>
      <c r="P17" s="34" t="s">
        <v>5</v>
      </c>
      <c r="Q17" t="s">
        <v>126</v>
      </c>
    </row>
    <row r="18" spans="1:18" x14ac:dyDescent="0.25">
      <c r="A18" s="19">
        <v>17</v>
      </c>
      <c r="B18" s="2" t="s">
        <v>71</v>
      </c>
      <c r="C18" s="1" t="s">
        <v>72</v>
      </c>
      <c r="D18" s="1" t="s">
        <v>73</v>
      </c>
      <c r="E18" s="1" t="s">
        <v>42</v>
      </c>
      <c r="F18" s="1" t="s">
        <v>86</v>
      </c>
      <c r="G18" s="3">
        <v>26126</v>
      </c>
      <c r="H18" s="1" t="s">
        <v>93</v>
      </c>
      <c r="I18" s="3">
        <v>37266</v>
      </c>
      <c r="J18" s="3"/>
      <c r="K18" s="1" t="s">
        <v>43</v>
      </c>
      <c r="L18" s="1">
        <v>2</v>
      </c>
      <c r="M18" s="1">
        <f>HLOOKUP(Таблица1[[#This Row],[Отдел]],ЗП,MATCH(Таблица1[[#This Row],[Должность]],'Справочные данные'!$C$3:$C$8,0),0)</f>
        <v>2000</v>
      </c>
      <c r="N18" s="31">
        <f ca="1">IF(J18,,YEAR(TODAY())-YEAR(Таблица1[[#This Row],[Дата приема на работу]]))</f>
        <v>19</v>
      </c>
      <c r="O18" s="7"/>
      <c r="P18" s="35" t="s">
        <v>88</v>
      </c>
      <c r="Q18" s="30">
        <v>9</v>
      </c>
    </row>
    <row r="19" spans="1:18" x14ac:dyDescent="0.25">
      <c r="A19" s="19">
        <v>18</v>
      </c>
      <c r="B19" s="2" t="s">
        <v>74</v>
      </c>
      <c r="C19" s="1" t="s">
        <v>75</v>
      </c>
      <c r="D19" s="1" t="s">
        <v>76</v>
      </c>
      <c r="E19" s="1" t="s">
        <v>77</v>
      </c>
      <c r="F19" s="1" t="s">
        <v>87</v>
      </c>
      <c r="G19" s="3">
        <v>26206</v>
      </c>
      <c r="H19" s="1" t="s">
        <v>94</v>
      </c>
      <c r="I19" s="3">
        <v>41009</v>
      </c>
      <c r="J19" s="3"/>
      <c r="K19" s="1" t="s">
        <v>43</v>
      </c>
      <c r="L19" s="1">
        <v>2</v>
      </c>
      <c r="M19" s="1">
        <f>HLOOKUP(Таблица1[[#This Row],[Отдел]],ЗП,MATCH(Таблица1[[#This Row],[Должность]],'Справочные данные'!$C$3:$C$8,0),0)</f>
        <v>2600</v>
      </c>
      <c r="N19" s="31">
        <f ca="1">IF(J19,,YEAR(TODAY())-YEAR(Таблица1[[#This Row],[Дата приема на работу]]))</f>
        <v>9</v>
      </c>
      <c r="O19" s="7"/>
      <c r="P19" s="35" t="s">
        <v>89</v>
      </c>
      <c r="Q19" s="30">
        <v>4</v>
      </c>
    </row>
    <row r="20" spans="1:18" x14ac:dyDescent="0.25">
      <c r="A20" s="19">
        <v>19</v>
      </c>
      <c r="B20" s="2" t="s">
        <v>78</v>
      </c>
      <c r="C20" s="1" t="s">
        <v>79</v>
      </c>
      <c r="D20" s="1" t="s">
        <v>80</v>
      </c>
      <c r="E20" s="1" t="s">
        <v>81</v>
      </c>
      <c r="F20" s="1" t="s">
        <v>88</v>
      </c>
      <c r="G20" s="3">
        <v>26286</v>
      </c>
      <c r="H20" s="1" t="s">
        <v>95</v>
      </c>
      <c r="I20" s="3">
        <v>37447</v>
      </c>
      <c r="J20" s="3">
        <v>41304</v>
      </c>
      <c r="K20" s="1" t="s">
        <v>16</v>
      </c>
      <c r="L20" s="1">
        <v>0</v>
      </c>
      <c r="M20" s="1">
        <f>HLOOKUP(Таблица1[[#This Row],[Отдел]],ЗП,MATCH(Таблица1[[#This Row],[Должность]],'Справочные данные'!$C$3:$C$8,0),0)</f>
        <v>3200</v>
      </c>
      <c r="N20" s="31">
        <f ca="1">IF(J20,,YEAR(TODAY())-YEAR(Таблица1[[#This Row],[Дата приема на работу]]))</f>
        <v>0</v>
      </c>
      <c r="O20" s="7"/>
      <c r="P20" s="35" t="s">
        <v>86</v>
      </c>
      <c r="Q20" s="30">
        <v>6</v>
      </c>
    </row>
    <row r="21" spans="1:18" x14ac:dyDescent="0.25">
      <c r="A21" s="23">
        <v>20</v>
      </c>
      <c r="B21" s="24" t="s">
        <v>82</v>
      </c>
      <c r="C21" s="25" t="s">
        <v>83</v>
      </c>
      <c r="D21" s="25" t="s">
        <v>84</v>
      </c>
      <c r="E21" s="25" t="s">
        <v>85</v>
      </c>
      <c r="F21" s="25" t="s">
        <v>89</v>
      </c>
      <c r="G21" s="26">
        <v>26604</v>
      </c>
      <c r="H21" s="1" t="s">
        <v>96</v>
      </c>
      <c r="I21" s="26">
        <v>42287</v>
      </c>
      <c r="J21" s="26"/>
      <c r="K21" s="25" t="s">
        <v>16</v>
      </c>
      <c r="L21" s="25">
        <v>0</v>
      </c>
      <c r="M21" s="1">
        <f>HLOOKUP(Таблица1[[#This Row],[Отдел]],ЗП,MATCH(Таблица1[[#This Row],[Должность]],'Справочные данные'!$C$3:$C$8,0),0)</f>
        <v>1300</v>
      </c>
      <c r="N21" s="31">
        <f ca="1">IF(J21,,YEAR(TODAY())-YEAR(Таблица1[[#This Row],[Дата приема на работу]]))</f>
        <v>6</v>
      </c>
      <c r="O21" s="7"/>
      <c r="P21" s="35" t="s">
        <v>87</v>
      </c>
      <c r="Q21" s="30">
        <v>10</v>
      </c>
    </row>
    <row r="22" spans="1:18" x14ac:dyDescent="0.25">
      <c r="G22" s="5"/>
      <c r="P22" s="35" t="s">
        <v>108</v>
      </c>
      <c r="Q22" s="30">
        <v>29</v>
      </c>
    </row>
    <row r="23" spans="1:18" x14ac:dyDescent="0.25">
      <c r="A23" s="38" t="s">
        <v>119</v>
      </c>
      <c r="B23" s="39" t="s">
        <v>120</v>
      </c>
    </row>
    <row r="24" spans="1:18" x14ac:dyDescent="0.25">
      <c r="A24" s="38" t="b">
        <f>J2&gt;0</f>
        <v>0</v>
      </c>
      <c r="B24" s="38" t="b">
        <f>H2="секретарь"</f>
        <v>0</v>
      </c>
      <c r="H24" t="s">
        <v>121</v>
      </c>
      <c r="P24" t="s">
        <v>133</v>
      </c>
    </row>
    <row r="25" spans="1:18" ht="26.4" x14ac:dyDescent="0.25">
      <c r="A25" s="20" t="s">
        <v>0</v>
      </c>
      <c r="B25" s="21" t="s">
        <v>1</v>
      </c>
      <c r="C25" s="21" t="s">
        <v>2</v>
      </c>
      <c r="D25" s="21" t="s">
        <v>3</v>
      </c>
      <c r="E25" s="21" t="s">
        <v>4</v>
      </c>
      <c r="F25" s="21" t="s">
        <v>5</v>
      </c>
      <c r="G25" s="21" t="s">
        <v>97</v>
      </c>
      <c r="H25" s="21" t="s">
        <v>6</v>
      </c>
      <c r="I25" s="21" t="s">
        <v>7</v>
      </c>
      <c r="J25" s="28" t="s">
        <v>8</v>
      </c>
      <c r="K25" s="21" t="s">
        <v>9</v>
      </c>
      <c r="L25" s="21" t="s">
        <v>10</v>
      </c>
      <c r="M25" s="21" t="s">
        <v>11</v>
      </c>
      <c r="N25" s="22" t="s">
        <v>103</v>
      </c>
      <c r="P25" s="34" t="s">
        <v>127</v>
      </c>
      <c r="Q25" s="34" t="s">
        <v>9</v>
      </c>
    </row>
    <row r="26" spans="1:18" x14ac:dyDescent="0.25">
      <c r="A26" s="19">
        <v>5</v>
      </c>
      <c r="B26" s="2" t="s">
        <v>25</v>
      </c>
      <c r="C26" s="1" t="s">
        <v>26</v>
      </c>
      <c r="D26" s="1" t="s">
        <v>27</v>
      </c>
      <c r="E26" s="1" t="s">
        <v>28</v>
      </c>
      <c r="F26" s="1" t="s">
        <v>86</v>
      </c>
      <c r="G26" s="3">
        <v>25966</v>
      </c>
      <c r="H26" s="1" t="s">
        <v>96</v>
      </c>
      <c r="I26" s="3">
        <v>39823</v>
      </c>
      <c r="J26" s="3">
        <v>40826</v>
      </c>
      <c r="K26" s="1" t="s">
        <v>16</v>
      </c>
      <c r="L26" s="1">
        <v>0</v>
      </c>
      <c r="M26" s="1">
        <v>1000</v>
      </c>
      <c r="N26" s="31">
        <v>0</v>
      </c>
      <c r="P26" s="34" t="s">
        <v>5</v>
      </c>
      <c r="Q26" t="s">
        <v>43</v>
      </c>
      <c r="R26" t="s">
        <v>16</v>
      </c>
    </row>
    <row r="27" spans="1:18" x14ac:dyDescent="0.25">
      <c r="A27" s="37" t="s">
        <v>119</v>
      </c>
      <c r="P27" s="35" t="s">
        <v>88</v>
      </c>
      <c r="Q27" s="30">
        <v>1</v>
      </c>
      <c r="R27" s="30">
        <v>4</v>
      </c>
    </row>
    <row r="28" spans="1:18" x14ac:dyDescent="0.25">
      <c r="A28" s="37" t="b">
        <f>YEAR(G2)=1971</f>
        <v>0</v>
      </c>
      <c r="H28" t="s">
        <v>122</v>
      </c>
      <c r="P28" s="35" t="s">
        <v>89</v>
      </c>
      <c r="Q28" s="30">
        <v>1</v>
      </c>
      <c r="R28" s="30">
        <v>4</v>
      </c>
    </row>
    <row r="29" spans="1:18" ht="26.4" x14ac:dyDescent="0.25">
      <c r="A29" s="20" t="s">
        <v>0</v>
      </c>
      <c r="B29" s="21" t="s">
        <v>1</v>
      </c>
      <c r="C29" s="21" t="s">
        <v>2</v>
      </c>
      <c r="D29" s="21" t="s">
        <v>3</v>
      </c>
      <c r="E29" s="21" t="s">
        <v>4</v>
      </c>
      <c r="F29" s="21" t="s">
        <v>5</v>
      </c>
      <c r="G29" s="21" t="s">
        <v>97</v>
      </c>
      <c r="H29" s="21" t="s">
        <v>6</v>
      </c>
      <c r="I29" s="21" t="s">
        <v>7</v>
      </c>
      <c r="J29" s="28" t="s">
        <v>8</v>
      </c>
      <c r="K29" s="21" t="s">
        <v>9</v>
      </c>
      <c r="L29" s="21" t="s">
        <v>10</v>
      </c>
      <c r="M29" s="21" t="s">
        <v>11</v>
      </c>
      <c r="N29" s="22" t="s">
        <v>103</v>
      </c>
      <c r="P29" s="35" t="s">
        <v>86</v>
      </c>
      <c r="Q29" s="30">
        <v>2</v>
      </c>
      <c r="R29" s="30">
        <v>3</v>
      </c>
    </row>
    <row r="30" spans="1:18" x14ac:dyDescent="0.25">
      <c r="A30" s="19">
        <v>5</v>
      </c>
      <c r="B30" s="2" t="s">
        <v>25</v>
      </c>
      <c r="C30" s="1" t="s">
        <v>26</v>
      </c>
      <c r="D30" s="1" t="s">
        <v>27</v>
      </c>
      <c r="E30" s="1" t="s">
        <v>28</v>
      </c>
      <c r="F30" s="1" t="s">
        <v>86</v>
      </c>
      <c r="G30" s="3">
        <v>25966</v>
      </c>
      <c r="H30" s="1" t="s">
        <v>96</v>
      </c>
      <c r="I30" s="3">
        <v>39823</v>
      </c>
      <c r="J30" s="3">
        <v>40826</v>
      </c>
      <c r="K30" s="1" t="s">
        <v>16</v>
      </c>
      <c r="L30" s="1">
        <v>0</v>
      </c>
      <c r="M30" s="1">
        <v>1000</v>
      </c>
      <c r="N30" s="31">
        <v>0</v>
      </c>
      <c r="P30" s="35" t="s">
        <v>87</v>
      </c>
      <c r="Q30" s="30">
        <v>2</v>
      </c>
      <c r="R30" s="30">
        <v>3</v>
      </c>
    </row>
    <row r="31" spans="1:18" x14ac:dyDescent="0.25">
      <c r="A31" s="19">
        <v>6</v>
      </c>
      <c r="B31" s="2" t="s">
        <v>29</v>
      </c>
      <c r="C31" s="1" t="s">
        <v>30</v>
      </c>
      <c r="D31" s="1" t="s">
        <v>31</v>
      </c>
      <c r="E31" s="1" t="s">
        <v>32</v>
      </c>
      <c r="F31" s="1" t="s">
        <v>87</v>
      </c>
      <c r="G31" s="3">
        <v>26238</v>
      </c>
      <c r="H31" s="1" t="s">
        <v>92</v>
      </c>
      <c r="I31" s="3">
        <v>39915</v>
      </c>
      <c r="J31" s="3"/>
      <c r="K31" s="1" t="s">
        <v>16</v>
      </c>
      <c r="L31" s="1">
        <v>5</v>
      </c>
      <c r="M31" s="1">
        <v>1600</v>
      </c>
      <c r="N31" s="31">
        <v>12</v>
      </c>
      <c r="P31" s="35" t="s">
        <v>108</v>
      </c>
      <c r="Q31" s="30">
        <v>6</v>
      </c>
      <c r="R31" s="30">
        <v>14</v>
      </c>
    </row>
    <row r="32" spans="1:18" x14ac:dyDescent="0.25">
      <c r="A32" s="19">
        <v>8</v>
      </c>
      <c r="B32" s="2" t="s">
        <v>36</v>
      </c>
      <c r="C32" s="1" t="s">
        <v>37</v>
      </c>
      <c r="D32" s="1" t="s">
        <v>27</v>
      </c>
      <c r="E32" s="1" t="s">
        <v>38</v>
      </c>
      <c r="F32" s="1" t="s">
        <v>89</v>
      </c>
      <c r="G32" s="3">
        <v>26206</v>
      </c>
      <c r="H32" s="1" t="s">
        <v>94</v>
      </c>
      <c r="I32" s="3">
        <v>40127</v>
      </c>
      <c r="J32" s="3"/>
      <c r="K32" s="1" t="s">
        <v>16</v>
      </c>
      <c r="L32" s="1">
        <v>1</v>
      </c>
      <c r="M32" s="1">
        <v>2800</v>
      </c>
      <c r="N32" s="31">
        <v>12</v>
      </c>
    </row>
    <row r="33" spans="1:17" x14ac:dyDescent="0.25">
      <c r="A33" s="19">
        <v>9</v>
      </c>
      <c r="B33" s="2" t="s">
        <v>39</v>
      </c>
      <c r="C33" s="1" t="s">
        <v>40</v>
      </c>
      <c r="D33" s="1" t="s">
        <v>41</v>
      </c>
      <c r="E33" s="1" t="s">
        <v>42</v>
      </c>
      <c r="F33" s="1" t="s">
        <v>86</v>
      </c>
      <c r="G33" s="3">
        <v>26286</v>
      </c>
      <c r="H33" s="1" t="s">
        <v>95</v>
      </c>
      <c r="I33" s="3">
        <v>36535</v>
      </c>
      <c r="J33" s="3">
        <v>37246</v>
      </c>
      <c r="K33" s="1" t="s">
        <v>43</v>
      </c>
      <c r="L33" s="1">
        <v>1</v>
      </c>
      <c r="M33" s="1">
        <v>3000</v>
      </c>
      <c r="N33" s="31">
        <v>0</v>
      </c>
      <c r="P33" t="s">
        <v>134</v>
      </c>
    </row>
    <row r="34" spans="1:17" x14ac:dyDescent="0.25">
      <c r="A34" s="19">
        <v>15</v>
      </c>
      <c r="B34" s="2" t="s">
        <v>63</v>
      </c>
      <c r="C34" s="1" t="s">
        <v>64</v>
      </c>
      <c r="D34" s="1" t="s">
        <v>65</v>
      </c>
      <c r="E34" s="1" t="s">
        <v>66</v>
      </c>
      <c r="F34" s="1" t="s">
        <v>88</v>
      </c>
      <c r="G34" s="3">
        <v>25966</v>
      </c>
      <c r="H34" s="1" t="s">
        <v>96</v>
      </c>
      <c r="I34" s="3">
        <v>37082</v>
      </c>
      <c r="J34" s="3"/>
      <c r="K34" s="1" t="s">
        <v>16</v>
      </c>
      <c r="L34" s="1">
        <v>5</v>
      </c>
      <c r="M34" s="1">
        <v>1200</v>
      </c>
      <c r="N34" s="31">
        <v>20</v>
      </c>
      <c r="P34" s="34" t="s">
        <v>9</v>
      </c>
      <c r="Q34" t="s">
        <v>125</v>
      </c>
    </row>
    <row r="35" spans="1:17" x14ac:dyDescent="0.25">
      <c r="A35" s="19">
        <v>16</v>
      </c>
      <c r="B35" s="2" t="s">
        <v>67</v>
      </c>
      <c r="C35" s="1" t="s">
        <v>68</v>
      </c>
      <c r="D35" s="1" t="s">
        <v>69</v>
      </c>
      <c r="E35" s="1" t="s">
        <v>70</v>
      </c>
      <c r="F35" s="1" t="s">
        <v>89</v>
      </c>
      <c r="G35" s="3">
        <v>26046</v>
      </c>
      <c r="H35" s="1" t="s">
        <v>92</v>
      </c>
      <c r="I35" s="3">
        <v>37177</v>
      </c>
      <c r="J35" s="3"/>
      <c r="K35" s="1" t="s">
        <v>16</v>
      </c>
      <c r="L35" s="1">
        <v>1</v>
      </c>
      <c r="M35" s="1">
        <v>1800</v>
      </c>
      <c r="N35" s="31">
        <v>20</v>
      </c>
      <c r="P35" s="35" t="s">
        <v>43</v>
      </c>
      <c r="Q35" s="40">
        <v>2116.6666666666665</v>
      </c>
    </row>
    <row r="36" spans="1:17" x14ac:dyDescent="0.25">
      <c r="A36" s="19">
        <v>17</v>
      </c>
      <c r="B36" s="2" t="s">
        <v>71</v>
      </c>
      <c r="C36" s="1" t="s">
        <v>72</v>
      </c>
      <c r="D36" s="1" t="s">
        <v>73</v>
      </c>
      <c r="E36" s="1" t="s">
        <v>42</v>
      </c>
      <c r="F36" s="1" t="s">
        <v>86</v>
      </c>
      <c r="G36" s="3">
        <v>26126</v>
      </c>
      <c r="H36" s="1" t="s">
        <v>93</v>
      </c>
      <c r="I36" s="3">
        <v>37266</v>
      </c>
      <c r="J36" s="3"/>
      <c r="K36" s="1" t="s">
        <v>43</v>
      </c>
      <c r="L36" s="1">
        <v>2</v>
      </c>
      <c r="M36" s="1">
        <v>2000</v>
      </c>
      <c r="N36" s="31">
        <v>19</v>
      </c>
      <c r="P36" s="35" t="s">
        <v>16</v>
      </c>
      <c r="Q36" s="40">
        <v>2164.2857142857142</v>
      </c>
    </row>
    <row r="37" spans="1:17" x14ac:dyDescent="0.25">
      <c r="A37" s="19">
        <v>18</v>
      </c>
      <c r="B37" s="2" t="s">
        <v>74</v>
      </c>
      <c r="C37" s="1" t="s">
        <v>75</v>
      </c>
      <c r="D37" s="1" t="s">
        <v>76</v>
      </c>
      <c r="E37" s="1" t="s">
        <v>77</v>
      </c>
      <c r="F37" s="1" t="s">
        <v>87</v>
      </c>
      <c r="G37" s="3">
        <v>26206</v>
      </c>
      <c r="H37" s="1" t="s">
        <v>94</v>
      </c>
      <c r="I37" s="3">
        <v>41009</v>
      </c>
      <c r="J37" s="3"/>
      <c r="K37" s="1" t="s">
        <v>43</v>
      </c>
      <c r="L37" s="1">
        <v>2</v>
      </c>
      <c r="M37" s="1">
        <v>2600</v>
      </c>
      <c r="N37" s="31">
        <v>9</v>
      </c>
    </row>
    <row r="38" spans="1:17" x14ac:dyDescent="0.25">
      <c r="A38" s="19">
        <v>19</v>
      </c>
      <c r="B38" s="2" t="s">
        <v>78</v>
      </c>
      <c r="C38" s="1" t="s">
        <v>79</v>
      </c>
      <c r="D38" s="1" t="s">
        <v>80</v>
      </c>
      <c r="E38" s="1" t="s">
        <v>81</v>
      </c>
      <c r="F38" s="1" t="s">
        <v>88</v>
      </c>
      <c r="G38" s="3">
        <v>26286</v>
      </c>
      <c r="H38" s="1" t="s">
        <v>95</v>
      </c>
      <c r="I38" s="3">
        <v>37447</v>
      </c>
      <c r="J38" s="3">
        <v>41304</v>
      </c>
      <c r="K38" s="1" t="s">
        <v>16</v>
      </c>
      <c r="L38" s="1">
        <v>0</v>
      </c>
      <c r="M38" s="1">
        <v>3200</v>
      </c>
      <c r="N38" s="31">
        <v>0</v>
      </c>
      <c r="P38" t="s">
        <v>135</v>
      </c>
    </row>
    <row r="39" spans="1:17" x14ac:dyDescent="0.25">
      <c r="A39" s="37" t="s">
        <v>119</v>
      </c>
      <c r="P39" s="34" t="s">
        <v>129</v>
      </c>
      <c r="Q39" t="s">
        <v>128</v>
      </c>
    </row>
    <row r="40" spans="1:17" x14ac:dyDescent="0.25">
      <c r="A40" s="37" t="b">
        <f>M2&lt;AVERAGE(Таблица1[Оклад])</f>
        <v>1</v>
      </c>
      <c r="H40" t="s">
        <v>123</v>
      </c>
      <c r="P40" s="36" t="s">
        <v>109</v>
      </c>
      <c r="Q40" s="30">
        <v>2</v>
      </c>
    </row>
    <row r="41" spans="1:17" ht="26.4" x14ac:dyDescent="0.25">
      <c r="A41" s="20" t="s">
        <v>0</v>
      </c>
      <c r="B41" s="21" t="s">
        <v>1</v>
      </c>
      <c r="C41" s="21" t="s">
        <v>2</v>
      </c>
      <c r="D41" s="21" t="s">
        <v>3</v>
      </c>
      <c r="E41" s="21" t="s">
        <v>4</v>
      </c>
      <c r="F41" s="21" t="s">
        <v>5</v>
      </c>
      <c r="G41" s="21" t="s">
        <v>97</v>
      </c>
      <c r="H41" s="21" t="s">
        <v>6</v>
      </c>
      <c r="I41" s="21" t="s">
        <v>7</v>
      </c>
      <c r="J41" s="28" t="s">
        <v>8</v>
      </c>
      <c r="K41" s="21" t="s">
        <v>9</v>
      </c>
      <c r="L41" s="21" t="s">
        <v>10</v>
      </c>
      <c r="M41" s="21" t="s">
        <v>11</v>
      </c>
      <c r="N41" s="22" t="s">
        <v>103</v>
      </c>
      <c r="P41" s="36" t="s">
        <v>113</v>
      </c>
      <c r="Q41" s="30">
        <v>2</v>
      </c>
    </row>
    <row r="42" spans="1:17" x14ac:dyDescent="0.25">
      <c r="A42" s="19">
        <v>1</v>
      </c>
      <c r="B42" s="2" t="s">
        <v>12</v>
      </c>
      <c r="C42" s="1" t="s">
        <v>13</v>
      </c>
      <c r="D42" s="1" t="s">
        <v>14</v>
      </c>
      <c r="E42" s="1" t="s">
        <v>15</v>
      </c>
      <c r="F42" s="1" t="s">
        <v>86</v>
      </c>
      <c r="G42" s="3">
        <v>19295</v>
      </c>
      <c r="H42" s="1" t="s">
        <v>92</v>
      </c>
      <c r="I42" s="3">
        <v>39457</v>
      </c>
      <c r="J42" s="3"/>
      <c r="K42" s="1" t="s">
        <v>16</v>
      </c>
      <c r="L42" s="1">
        <v>2</v>
      </c>
      <c r="M42" s="1">
        <v>1500</v>
      </c>
      <c r="N42" s="31">
        <v>13</v>
      </c>
      <c r="P42" s="36" t="s">
        <v>117</v>
      </c>
      <c r="Q42" s="30">
        <v>1</v>
      </c>
    </row>
    <row r="43" spans="1:17" x14ac:dyDescent="0.25">
      <c r="A43" s="19">
        <v>2</v>
      </c>
      <c r="B43" s="2" t="s">
        <v>17</v>
      </c>
      <c r="C43" s="1" t="s">
        <v>18</v>
      </c>
      <c r="D43" s="1" t="s">
        <v>14</v>
      </c>
      <c r="E43" s="1" t="s">
        <v>19</v>
      </c>
      <c r="F43" s="1" t="s">
        <v>87</v>
      </c>
      <c r="G43" s="3">
        <v>12805</v>
      </c>
      <c r="H43" s="1" t="s">
        <v>93</v>
      </c>
      <c r="I43" s="3">
        <v>40278</v>
      </c>
      <c r="J43" s="3"/>
      <c r="K43" s="1" t="s">
        <v>16</v>
      </c>
      <c r="L43" s="1">
        <v>1</v>
      </c>
      <c r="M43" s="1">
        <v>2100</v>
      </c>
      <c r="N43" s="31">
        <v>11</v>
      </c>
      <c r="P43" s="36" t="s">
        <v>114</v>
      </c>
      <c r="Q43" s="30">
        <v>1</v>
      </c>
    </row>
    <row r="44" spans="1:17" x14ac:dyDescent="0.25">
      <c r="A44" s="19">
        <v>5</v>
      </c>
      <c r="B44" s="2" t="s">
        <v>25</v>
      </c>
      <c r="C44" s="1" t="s">
        <v>26</v>
      </c>
      <c r="D44" s="1" t="s">
        <v>27</v>
      </c>
      <c r="E44" s="1" t="s">
        <v>28</v>
      </c>
      <c r="F44" s="1" t="s">
        <v>86</v>
      </c>
      <c r="G44" s="3">
        <v>25966</v>
      </c>
      <c r="H44" s="1" t="s">
        <v>96</v>
      </c>
      <c r="I44" s="3">
        <v>39823</v>
      </c>
      <c r="J44" s="3">
        <v>40826</v>
      </c>
      <c r="K44" s="1" t="s">
        <v>16</v>
      </c>
      <c r="L44" s="1">
        <v>0</v>
      </c>
      <c r="M44" s="1">
        <v>1000</v>
      </c>
      <c r="N44" s="31">
        <v>0</v>
      </c>
      <c r="P44" s="36" t="s">
        <v>115</v>
      </c>
      <c r="Q44" s="30">
        <v>2</v>
      </c>
    </row>
    <row r="45" spans="1:17" x14ac:dyDescent="0.25">
      <c r="A45" s="19">
        <v>6</v>
      </c>
      <c r="B45" s="2" t="s">
        <v>29</v>
      </c>
      <c r="C45" s="1" t="s">
        <v>30</v>
      </c>
      <c r="D45" s="1" t="s">
        <v>31</v>
      </c>
      <c r="E45" s="1" t="s">
        <v>32</v>
      </c>
      <c r="F45" s="1" t="s">
        <v>87</v>
      </c>
      <c r="G45" s="3">
        <v>26238</v>
      </c>
      <c r="H45" s="1" t="s">
        <v>92</v>
      </c>
      <c r="I45" s="3">
        <v>39915</v>
      </c>
      <c r="J45" s="3"/>
      <c r="K45" s="1" t="s">
        <v>16</v>
      </c>
      <c r="L45" s="1">
        <v>5</v>
      </c>
      <c r="M45" s="1">
        <v>1600</v>
      </c>
      <c r="N45" s="31">
        <v>12</v>
      </c>
      <c r="P45" s="36" t="s">
        <v>118</v>
      </c>
      <c r="Q45" s="30">
        <v>2</v>
      </c>
    </row>
    <row r="46" spans="1:17" x14ac:dyDescent="0.25">
      <c r="A46" s="19">
        <v>10</v>
      </c>
      <c r="B46" s="2" t="s">
        <v>44</v>
      </c>
      <c r="C46" s="1" t="s">
        <v>45</v>
      </c>
      <c r="D46" s="1" t="s">
        <v>46</v>
      </c>
      <c r="E46" s="1" t="s">
        <v>47</v>
      </c>
      <c r="F46" s="1" t="s">
        <v>87</v>
      </c>
      <c r="G46" s="3">
        <v>26366</v>
      </c>
      <c r="H46" s="1" t="s">
        <v>96</v>
      </c>
      <c r="I46" s="3">
        <v>36626</v>
      </c>
      <c r="J46" s="3"/>
      <c r="K46" s="1" t="s">
        <v>43</v>
      </c>
      <c r="L46" s="1">
        <v>1</v>
      </c>
      <c r="M46" s="1">
        <v>1100</v>
      </c>
      <c r="N46" s="31">
        <v>21</v>
      </c>
      <c r="P46" s="36" t="s">
        <v>116</v>
      </c>
      <c r="Q46" s="30">
        <v>2</v>
      </c>
    </row>
    <row r="47" spans="1:17" x14ac:dyDescent="0.25">
      <c r="A47" s="19">
        <v>11</v>
      </c>
      <c r="B47" s="2" t="s">
        <v>48</v>
      </c>
      <c r="C47" s="1" t="s">
        <v>49</v>
      </c>
      <c r="D47" s="1" t="s">
        <v>50</v>
      </c>
      <c r="E47" s="1" t="s">
        <v>51</v>
      </c>
      <c r="F47" s="1" t="s">
        <v>88</v>
      </c>
      <c r="G47" s="3">
        <v>20806</v>
      </c>
      <c r="H47" s="1" t="s">
        <v>92</v>
      </c>
      <c r="I47" s="3">
        <v>36717</v>
      </c>
      <c r="J47" s="3">
        <v>37967</v>
      </c>
      <c r="K47" s="1" t="s">
        <v>43</v>
      </c>
      <c r="L47" s="1">
        <v>1</v>
      </c>
      <c r="M47" s="1">
        <v>1700</v>
      </c>
      <c r="N47" s="31">
        <v>0</v>
      </c>
      <c r="P47" s="36" t="s">
        <v>110</v>
      </c>
      <c r="Q47" s="30">
        <v>1</v>
      </c>
    </row>
    <row r="48" spans="1:17" x14ac:dyDescent="0.25">
      <c r="A48" s="19">
        <v>15</v>
      </c>
      <c r="B48" s="2" t="s">
        <v>63</v>
      </c>
      <c r="C48" s="1" t="s">
        <v>64</v>
      </c>
      <c r="D48" s="1" t="s">
        <v>65</v>
      </c>
      <c r="E48" s="1" t="s">
        <v>66</v>
      </c>
      <c r="F48" s="1" t="s">
        <v>88</v>
      </c>
      <c r="G48" s="3">
        <v>25966</v>
      </c>
      <c r="H48" s="1" t="s">
        <v>96</v>
      </c>
      <c r="I48" s="3">
        <v>37082</v>
      </c>
      <c r="J48" s="3"/>
      <c r="K48" s="1" t="s">
        <v>16</v>
      </c>
      <c r="L48" s="1">
        <v>5</v>
      </c>
      <c r="M48" s="1">
        <v>1200</v>
      </c>
      <c r="N48" s="31">
        <v>20</v>
      </c>
      <c r="P48" s="36" t="s">
        <v>112</v>
      </c>
      <c r="Q48" s="30">
        <v>4</v>
      </c>
    </row>
    <row r="49" spans="1:17" x14ac:dyDescent="0.25">
      <c r="A49" s="19">
        <v>16</v>
      </c>
      <c r="B49" s="2" t="s">
        <v>67</v>
      </c>
      <c r="C49" s="1" t="s">
        <v>68</v>
      </c>
      <c r="D49" s="1" t="s">
        <v>69</v>
      </c>
      <c r="E49" s="1" t="s">
        <v>70</v>
      </c>
      <c r="F49" s="1" t="s">
        <v>89</v>
      </c>
      <c r="G49" s="3">
        <v>26046</v>
      </c>
      <c r="H49" s="1" t="s">
        <v>92</v>
      </c>
      <c r="I49" s="3">
        <v>37177</v>
      </c>
      <c r="J49" s="3"/>
      <c r="K49" s="1" t="s">
        <v>16</v>
      </c>
      <c r="L49" s="1">
        <v>1</v>
      </c>
      <c r="M49" s="1">
        <v>1800</v>
      </c>
      <c r="N49" s="31">
        <v>20</v>
      </c>
      <c r="P49" s="36" t="s">
        <v>111</v>
      </c>
      <c r="Q49" s="30">
        <v>3</v>
      </c>
    </row>
    <row r="50" spans="1:17" x14ac:dyDescent="0.25">
      <c r="A50" s="19">
        <v>17</v>
      </c>
      <c r="B50" s="2" t="s">
        <v>71</v>
      </c>
      <c r="C50" s="1" t="s">
        <v>72</v>
      </c>
      <c r="D50" s="1" t="s">
        <v>73</v>
      </c>
      <c r="E50" s="1" t="s">
        <v>42</v>
      </c>
      <c r="F50" s="1" t="s">
        <v>86</v>
      </c>
      <c r="G50" s="3">
        <v>26126</v>
      </c>
      <c r="H50" s="1" t="s">
        <v>93</v>
      </c>
      <c r="I50" s="3">
        <v>37266</v>
      </c>
      <c r="J50" s="3"/>
      <c r="K50" s="1" t="s">
        <v>43</v>
      </c>
      <c r="L50" s="1">
        <v>2</v>
      </c>
      <c r="M50" s="1">
        <v>2000</v>
      </c>
      <c r="N50" s="31">
        <v>19</v>
      </c>
    </row>
    <row r="51" spans="1:17" x14ac:dyDescent="0.25">
      <c r="A51" s="23">
        <v>20</v>
      </c>
      <c r="B51" s="24" t="s">
        <v>82</v>
      </c>
      <c r="C51" s="25" t="s">
        <v>83</v>
      </c>
      <c r="D51" s="25" t="s">
        <v>84</v>
      </c>
      <c r="E51" s="25" t="s">
        <v>85</v>
      </c>
      <c r="F51" s="25" t="s">
        <v>89</v>
      </c>
      <c r="G51" s="26">
        <v>26604</v>
      </c>
      <c r="H51" s="1" t="s">
        <v>96</v>
      </c>
      <c r="I51" s="26">
        <v>42287</v>
      </c>
      <c r="J51" s="26"/>
      <c r="K51" s="25" t="s">
        <v>16</v>
      </c>
      <c r="L51" s="25">
        <v>0</v>
      </c>
      <c r="M51" s="1">
        <v>1300</v>
      </c>
      <c r="N51" s="31">
        <v>6</v>
      </c>
    </row>
  </sheetData>
  <phoneticPr fontId="0" type="noConversion"/>
  <dataValidations count="1">
    <dataValidation type="list" allowBlank="1" showInputMessage="1" showErrorMessage="1" sqref="F4:F5 F8:F9 F12:F13 F16:F17 F20:F21" xr:uid="{6C547E1D-6BEB-4B31-B927-4F2AE3EF68F3}">
      <formula1>р</formula1>
    </dataValidation>
  </dataValidations>
  <pageMargins left="0.43" right="0.27" top="1" bottom="1" header="0.5" footer="0.5"/>
  <pageSetup paperSize="9" orientation="portrait" r:id="rId7"/>
  <headerFooter alignWithMargins="0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1"/>
  <sheetViews>
    <sheetView workbookViewId="0">
      <selection sqref="A1:B7"/>
    </sheetView>
  </sheetViews>
  <sheetFormatPr defaultRowHeight="13.2" x14ac:dyDescent="0.25"/>
  <sheetData>
    <row r="1" spans="1:2" ht="26.4" x14ac:dyDescent="0.25">
      <c r="A1" s="18" t="s">
        <v>1</v>
      </c>
      <c r="B1" s="1" t="s">
        <v>99</v>
      </c>
    </row>
    <row r="2" spans="1:2" x14ac:dyDescent="0.25">
      <c r="A2" s="2" t="s">
        <v>12</v>
      </c>
      <c r="B2" s="1">
        <v>14</v>
      </c>
    </row>
    <row r="3" spans="1:2" x14ac:dyDescent="0.25">
      <c r="A3" s="2" t="s">
        <v>17</v>
      </c>
      <c r="B3" s="1">
        <v>12</v>
      </c>
    </row>
    <row r="4" spans="1:2" x14ac:dyDescent="0.25">
      <c r="A4" s="2" t="s">
        <v>20</v>
      </c>
      <c r="B4" s="1">
        <v>19</v>
      </c>
    </row>
    <row r="5" spans="1:2" x14ac:dyDescent="0.25">
      <c r="A5" s="2" t="s">
        <v>52</v>
      </c>
      <c r="B5" s="1">
        <v>10</v>
      </c>
    </row>
    <row r="6" spans="1:2" x14ac:dyDescent="0.25">
      <c r="A6" s="2" t="s">
        <v>56</v>
      </c>
      <c r="B6" s="1">
        <v>6</v>
      </c>
    </row>
    <row r="7" spans="1:2" x14ac:dyDescent="0.25">
      <c r="A7" s="2" t="s">
        <v>60</v>
      </c>
      <c r="B7" s="1">
        <v>8</v>
      </c>
    </row>
    <row r="81" spans="1:1" ht="13.8" thickBot="1" x14ac:dyDescent="0.3">
      <c r="A81" s="4"/>
    </row>
  </sheetData>
  <pageMargins left="0.7" right="0.7" top="0.75" bottom="0.75" header="0.3" footer="0.3"/>
  <ignoredErrors>
    <ignoredError sqref="A2:A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9" sqref="D29"/>
    </sheetView>
  </sheetViews>
  <sheetFormatPr defaultRowHeight="13.2" x14ac:dyDescent="0.25"/>
  <cols>
    <col min="3" max="3" width="22.5546875" customWidth="1"/>
    <col min="4" max="4" width="9.6640625" customWidth="1"/>
    <col min="5" max="5" width="13" customWidth="1"/>
    <col min="8" max="8" width="8.6640625" bestFit="1" customWidth="1"/>
    <col min="9" max="9" width="18.5546875" bestFit="1" customWidth="1"/>
    <col min="10" max="10" width="37.88671875" bestFit="1" customWidth="1"/>
    <col min="11" max="11" width="18.21875" bestFit="1" customWidth="1"/>
    <col min="12" max="12" width="14.6640625" bestFit="1" customWidth="1"/>
  </cols>
  <sheetData>
    <row r="1" spans="1:8" ht="26.4" x14ac:dyDescent="0.25">
      <c r="A1" s="13" t="s">
        <v>107</v>
      </c>
      <c r="B1" s="13" t="s">
        <v>11</v>
      </c>
      <c r="C1" s="13" t="s">
        <v>104</v>
      </c>
      <c r="D1" s="13" t="s">
        <v>105</v>
      </c>
      <c r="E1" s="13" t="s">
        <v>106</v>
      </c>
      <c r="H1" s="32"/>
    </row>
    <row r="2" spans="1:8" x14ac:dyDescent="0.25">
      <c r="A2" s="14" t="s">
        <v>12</v>
      </c>
      <c r="B2" s="15">
        <f>VLOOKUP(A2,Таблица1[[Таб. номер]:[Стаж]],12,0)</f>
        <v>1500</v>
      </c>
      <c r="C2" s="33">
        <f>B2*IFERROR(VLOOKUP(VLOOKUP(A2,'Баллы по итогам рабочего период'!$A$1:$B$7,2,0),Балы_проценты,2,1),0)</f>
        <v>105.00000000000001</v>
      </c>
      <c r="D2" s="33">
        <f ca="1">1000*VLOOKUP(A2,Таблица1[[Таб. номер]:[Стаж]],13,0)+IF(VLOOKUP(A2,Таблица1[[Таб. номер]:[Стаж]],13,0)&gt;5,3000)</f>
        <v>16000</v>
      </c>
      <c r="E2" s="15">
        <f ca="1">SUM(B2:D2)</f>
        <v>17605</v>
      </c>
    </row>
    <row r="3" spans="1:8" x14ac:dyDescent="0.25">
      <c r="A3" s="14" t="s">
        <v>17</v>
      </c>
      <c r="B3" s="15">
        <f>VLOOKUP(A3,Таблица1[[Таб. номер]:[Стаж]],12,0)</f>
        <v>2100</v>
      </c>
      <c r="C3" s="33">
        <f>B3*IFERROR(VLOOKUP(VLOOKUP(A3,'Баллы по итогам рабочего период'!$A$1:$B$7,2,0),Балы_проценты,2,1),0)</f>
        <v>105</v>
      </c>
      <c r="D3" s="33">
        <f ca="1">1000*VLOOKUP(A3,Таблица1[[Таб. номер]:[Стаж]],13,0)+IF(VLOOKUP(A3,Таблица1[[Таб. номер]:[Стаж]],13,0)&gt;5,3000)</f>
        <v>14000</v>
      </c>
      <c r="E3" s="15">
        <f t="shared" ref="E3:E17" ca="1" si="0">SUM(B3:D3)</f>
        <v>16205</v>
      </c>
    </row>
    <row r="4" spans="1:8" x14ac:dyDescent="0.25">
      <c r="A4" s="14" t="s">
        <v>20</v>
      </c>
      <c r="B4" s="15">
        <f>VLOOKUP(A4,Таблица1[[Таб. номер]:[Стаж]],12,0)</f>
        <v>2700</v>
      </c>
      <c r="C4" s="33">
        <f>B4*IFERROR(VLOOKUP(VLOOKUP(A4,'Баллы по итогам рабочего период'!$A$1:$B$7,2,0),Балы_проценты,2,1),0)</f>
        <v>189.00000000000003</v>
      </c>
      <c r="D4" s="33">
        <f ca="1">1000*VLOOKUP(A4,Таблица1[[Таб. номер]:[Стаж]],13,0)+IF(VLOOKUP(A4,Таблица1[[Таб. номер]:[Стаж]],13,0)&gt;5,3000)</f>
        <v>13000</v>
      </c>
      <c r="E4" s="15">
        <f t="shared" ca="1" si="0"/>
        <v>15889</v>
      </c>
    </row>
    <row r="5" spans="1:8" x14ac:dyDescent="0.25">
      <c r="A5" s="14" t="s">
        <v>23</v>
      </c>
      <c r="B5" s="15">
        <f>VLOOKUP(A5,Таблица1[[Таб. номер]:[Стаж]],12,0)</f>
        <v>3300</v>
      </c>
      <c r="C5" s="33">
        <f>B5*IFERROR(VLOOKUP(VLOOKUP(A5,'Баллы по итогам рабочего период'!$A$1:$B$7,2,0),Балы_проценты,2,1),0)</f>
        <v>0</v>
      </c>
      <c r="D5" s="33">
        <f ca="1">1000*VLOOKUP(A5,Таблица1[[Таб. номер]:[Стаж]],13,0)+IF(VLOOKUP(A5,Таблица1[[Таб. номер]:[Стаж]],13,0)&gt;5,3000)</f>
        <v>16000</v>
      </c>
      <c r="E5" s="15">
        <f t="shared" ca="1" si="0"/>
        <v>19300</v>
      </c>
    </row>
    <row r="6" spans="1:8" x14ac:dyDescent="0.25">
      <c r="A6" s="14" t="s">
        <v>29</v>
      </c>
      <c r="B6" s="15">
        <f>VLOOKUP(A6,Таблица1[[Таб. номер]:[Стаж]],12,0)</f>
        <v>1600</v>
      </c>
      <c r="C6" s="33">
        <f>B6*IFERROR(VLOOKUP(VLOOKUP(A6,'Баллы по итогам рабочего период'!$A$1:$B$7,2,0),Балы_проценты,2,1),0)</f>
        <v>0</v>
      </c>
      <c r="D6" s="33">
        <f ca="1">1000*VLOOKUP(A6,Таблица1[[Таб. номер]:[Стаж]],13,0)+IF(VLOOKUP(A6,Таблица1[[Таб. номер]:[Стаж]],13,0)&gt;5,3000)</f>
        <v>15000</v>
      </c>
      <c r="E6" s="15">
        <f t="shared" ca="1" si="0"/>
        <v>16600</v>
      </c>
    </row>
    <row r="7" spans="1:8" x14ac:dyDescent="0.25">
      <c r="A7" s="14" t="s">
        <v>33</v>
      </c>
      <c r="B7" s="15">
        <f>VLOOKUP(A7,Таблица1[[Таб. номер]:[Стаж]],12,0)</f>
        <v>2200</v>
      </c>
      <c r="C7" s="33">
        <f>B7*IFERROR(VLOOKUP(VLOOKUP(A7,'Баллы по итогам рабочего период'!$A$1:$B$7,2,0),Балы_проценты,2,1),0)</f>
        <v>0</v>
      </c>
      <c r="D7" s="33">
        <f ca="1">1000*VLOOKUP(A7,Таблица1[[Таб. номер]:[Стаж]],13,0)+IF(VLOOKUP(A7,Таблица1[[Таб. номер]:[Стаж]],13,0)&gt;5,3000)</f>
        <v>19000</v>
      </c>
      <c r="E7" s="15">
        <f t="shared" ca="1" si="0"/>
        <v>21200</v>
      </c>
    </row>
    <row r="8" spans="1:8" x14ac:dyDescent="0.25">
      <c r="A8" s="14" t="s">
        <v>36</v>
      </c>
      <c r="B8" s="15">
        <f>VLOOKUP(A8,Таблица1[[Таб. номер]:[Стаж]],12,0)</f>
        <v>2800</v>
      </c>
      <c r="C8" s="33">
        <f>B8*IFERROR(VLOOKUP(VLOOKUP(A8,'Баллы по итогам рабочего период'!$A$1:$B$7,2,0),Балы_проценты,2,1),0)</f>
        <v>0</v>
      </c>
      <c r="D8" s="33">
        <f ca="1">1000*VLOOKUP(A8,Таблица1[[Таб. номер]:[Стаж]],13,0)+IF(VLOOKUP(A8,Таблица1[[Таб. номер]:[Стаж]],13,0)&gt;5,3000)</f>
        <v>15000</v>
      </c>
      <c r="E8" s="15">
        <f t="shared" ca="1" si="0"/>
        <v>17800</v>
      </c>
    </row>
    <row r="9" spans="1:8" x14ac:dyDescent="0.25">
      <c r="A9" s="14" t="s">
        <v>44</v>
      </c>
      <c r="B9" s="15">
        <f>VLOOKUP(A9,Таблица1[[Таб. номер]:[Стаж]],12,0)</f>
        <v>1100</v>
      </c>
      <c r="C9" s="33">
        <f>B9*IFERROR(VLOOKUP(VLOOKUP(A9,'Баллы по итогам рабочего период'!$A$1:$B$7,2,0),Балы_проценты,2,1),0)</f>
        <v>0</v>
      </c>
      <c r="D9" s="33">
        <f ca="1">1000*VLOOKUP(A9,Таблица1[[Таб. номер]:[Стаж]],13,0)+IF(VLOOKUP(A9,Таблица1[[Таб. номер]:[Стаж]],13,0)&gt;5,3000)</f>
        <v>24000</v>
      </c>
      <c r="E9" s="15">
        <f t="shared" ca="1" si="0"/>
        <v>25100</v>
      </c>
    </row>
    <row r="10" spans="1:8" x14ac:dyDescent="0.25">
      <c r="A10" s="14" t="s">
        <v>52</v>
      </c>
      <c r="B10" s="15">
        <f>VLOOKUP(A10,Таблица1[[Таб. номер]:[Стаж]],12,0)</f>
        <v>2300</v>
      </c>
      <c r="C10" s="33">
        <f>B10*IFERROR(VLOOKUP(VLOOKUP(A10,'Баллы по итогам рабочего период'!$A$1:$B$7,2,0),Балы_проценты,2,1),0)</f>
        <v>115</v>
      </c>
      <c r="D10" s="33">
        <f ca="1">1000*VLOOKUP(A10,Таблица1[[Таб. номер]:[Стаж]],13,0)+IF(VLOOKUP(A10,Таблица1[[Таб. номер]:[Стаж]],13,0)&gt;5,3000)</f>
        <v>27000</v>
      </c>
      <c r="E10" s="15">
        <f t="shared" ca="1" si="0"/>
        <v>29415</v>
      </c>
    </row>
    <row r="11" spans="1:8" x14ac:dyDescent="0.25">
      <c r="A11" s="14" t="s">
        <v>56</v>
      </c>
      <c r="B11" s="15">
        <f>VLOOKUP(A11,Таблица1[[Таб. номер]:[Стаж]],12,0)</f>
        <v>2500</v>
      </c>
      <c r="C11" s="33">
        <f>B11*IFERROR(VLOOKUP(VLOOKUP(A11,'Баллы по итогам рабочего период'!$A$1:$B$7,2,0),Балы_проценты,2,1),0)</f>
        <v>75</v>
      </c>
      <c r="D11" s="33">
        <f ca="1">1000*VLOOKUP(A11,Таблица1[[Таб. номер]:[Стаж]],13,0)+IF(VLOOKUP(A11,Таблица1[[Таб. номер]:[Стаж]],13,0)&gt;5,3000)</f>
        <v>13000</v>
      </c>
      <c r="E11" s="15">
        <f t="shared" ca="1" si="0"/>
        <v>15575</v>
      </c>
    </row>
    <row r="12" spans="1:8" x14ac:dyDescent="0.25">
      <c r="A12" s="14" t="s">
        <v>60</v>
      </c>
      <c r="B12" s="15">
        <f>VLOOKUP(A12,Таблица1[[Таб. номер]:[Стаж]],12,0)</f>
        <v>3100</v>
      </c>
      <c r="C12" s="33">
        <f>B12*IFERROR(VLOOKUP(VLOOKUP(A12,'Баллы по итогам рабочего период'!$A$1:$B$7,2,0),Балы_проценты,2,1),0)</f>
        <v>93</v>
      </c>
      <c r="D12" s="33">
        <f ca="1">1000*VLOOKUP(A12,Таблица1[[Таб. номер]:[Стаж]],13,0)+IF(VLOOKUP(A12,Таблица1[[Таб. номер]:[Стаж]],13,0)&gt;5,3000)</f>
        <v>23000</v>
      </c>
      <c r="E12" s="15">
        <f t="shared" ca="1" si="0"/>
        <v>26193</v>
      </c>
    </row>
    <row r="13" spans="1:8" x14ac:dyDescent="0.25">
      <c r="A13" s="14" t="s">
        <v>63</v>
      </c>
      <c r="B13" s="15">
        <f>VLOOKUP(A13,Таблица1[[Таб. номер]:[Стаж]],12,0)</f>
        <v>1200</v>
      </c>
      <c r="C13" s="33">
        <f>B13*IFERROR(VLOOKUP(VLOOKUP(A13,'Баллы по итогам рабочего период'!$A$1:$B$7,2,0),Балы_проценты,2,1),0)</f>
        <v>0</v>
      </c>
      <c r="D13" s="33">
        <f ca="1">1000*VLOOKUP(A13,Таблица1[[Таб. номер]:[Стаж]],13,0)+IF(VLOOKUP(A13,Таблица1[[Таб. номер]:[Стаж]],13,0)&gt;5,3000)</f>
        <v>23000</v>
      </c>
      <c r="E13" s="15">
        <f t="shared" ca="1" si="0"/>
        <v>24200</v>
      </c>
    </row>
    <row r="14" spans="1:8" x14ac:dyDescent="0.25">
      <c r="A14" s="14" t="s">
        <v>67</v>
      </c>
      <c r="B14" s="15">
        <f>VLOOKUP(A14,Таблица1[[Таб. номер]:[Стаж]],12,0)</f>
        <v>1800</v>
      </c>
      <c r="C14" s="33">
        <f>B14*IFERROR(VLOOKUP(VLOOKUP(A14,'Баллы по итогам рабочего период'!$A$1:$B$7,2,0),Балы_проценты,2,1),0)</f>
        <v>0</v>
      </c>
      <c r="D14" s="33">
        <f ca="1">1000*VLOOKUP(A14,Таблица1[[Таб. номер]:[Стаж]],13,0)+IF(VLOOKUP(A14,Таблица1[[Таб. номер]:[Стаж]],13,0)&gt;5,3000)</f>
        <v>23000</v>
      </c>
      <c r="E14" s="15">
        <f t="shared" ca="1" si="0"/>
        <v>24800</v>
      </c>
    </row>
    <row r="15" spans="1:8" x14ac:dyDescent="0.25">
      <c r="A15" s="14" t="s">
        <v>71</v>
      </c>
      <c r="B15" s="15">
        <f>VLOOKUP(A15,Таблица1[[Таб. номер]:[Стаж]],12,0)</f>
        <v>2000</v>
      </c>
      <c r="C15" s="33">
        <f>B15*IFERROR(VLOOKUP(VLOOKUP(A15,'Баллы по итогам рабочего период'!$A$1:$B$7,2,0),Балы_проценты,2,1),0)</f>
        <v>0</v>
      </c>
      <c r="D15" s="33">
        <f ca="1">1000*VLOOKUP(A15,Таблица1[[Таб. номер]:[Стаж]],13,0)+IF(VLOOKUP(A15,Таблица1[[Таб. номер]:[Стаж]],13,0)&gt;5,3000)</f>
        <v>22000</v>
      </c>
      <c r="E15" s="15">
        <f t="shared" ca="1" si="0"/>
        <v>24000</v>
      </c>
    </row>
    <row r="16" spans="1:8" x14ac:dyDescent="0.25">
      <c r="A16" s="14" t="s">
        <v>74</v>
      </c>
      <c r="B16" s="15">
        <f>VLOOKUP(A16,Таблица1[[Таб. номер]:[Стаж]],12,0)</f>
        <v>2600</v>
      </c>
      <c r="C16" s="33">
        <f>B16*IFERROR(VLOOKUP(VLOOKUP(A16,'Баллы по итогам рабочего период'!$A$1:$B$7,2,0),Балы_проценты,2,1),0)</f>
        <v>0</v>
      </c>
      <c r="D16" s="33">
        <f ca="1">1000*VLOOKUP(A16,Таблица1[[Таб. номер]:[Стаж]],13,0)+IF(VLOOKUP(A16,Таблица1[[Таб. номер]:[Стаж]],13,0)&gt;5,3000)</f>
        <v>12000</v>
      </c>
      <c r="E16" s="15">
        <f t="shared" ca="1" si="0"/>
        <v>14600</v>
      </c>
    </row>
    <row r="17" spans="1:5" x14ac:dyDescent="0.25">
      <c r="A17" s="14" t="s">
        <v>82</v>
      </c>
      <c r="B17" s="15">
        <f>VLOOKUP(A17,Таблица1[[Таб. номер]:[Стаж]],12,0)</f>
        <v>1300</v>
      </c>
      <c r="C17" s="33">
        <f>B17*IFERROR(VLOOKUP(VLOOKUP(A17,'Баллы по итогам рабочего период'!$A$1:$B$7,2,0),Балы_проценты,2,1),0)</f>
        <v>0</v>
      </c>
      <c r="D17" s="33">
        <f ca="1">1000*VLOOKUP(A17,Таблица1[[Таб. номер]:[Стаж]],13,0)+IF(VLOOKUP(A17,Таблица1[[Таб. номер]:[Стаж]],13,0)&gt;5,3000)</f>
        <v>9000</v>
      </c>
      <c r="E17" s="15">
        <f t="shared" ca="1" si="0"/>
        <v>10300</v>
      </c>
    </row>
  </sheetData>
  <conditionalFormatting sqref="E2:E17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ignoredErrors>
    <ignoredError sqref="A2:A1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c W Z n U 2 S U X O C n A A A A + A A A A B I A H A B D b 2 5 m a W c v U G F j a 2 F n Z S 5 4 b W w g o h g A K K A U A A A A A A A A A A A A A A A A A A A A A A A A A A A A h Y 9 N D o I w G A W v Q r q n L S B K y E e J c S u J i d G 4 J b V C I x T T H + F u L j y S V 5 B E U X c u 3 2 Q W 8 x 6 3 O + R D 2 3 h X o Y 3 s V I Y C T J E n F O + O U l U Z c v b k J y h n s C n 5 u a y E N 8 r K p I M 5 Z q i 2 9 p I S 0 v c 9 7 i P c 6 Y q E l A b k U K y 3 v B Z t i T 6 y / C / 7 U h l b K i 4 Q g / 0 r h o V 4 E e E 4 T u Z 4 l g R A J g y F V F 8 l H I s x B f I D Y e U a 6 7 R g 2 v m 7 J Z B p A n m / Y E 9 Q S w M E F A A C A A g A c W Z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m Z 1 N m c 2 / x g A I A A I g G A A A T A B w A R m 9 y b X V s Y X M v U 2 V j d G l v b j E u b S C i G A A o o B Q A A A A A A A A A A A A A A A A A A A A A A A A A A A D N V N t q G l E U f R f 8 h 8 P 0 R W E Y o k Z J G 3 w o J q E 3 0 l J b + q A i o 5 4 Q c Z w J M 8 c i S M C a k p Z K C Z R S + t T 0 8 g N j 1 c Y a L 7 + w z y / 0 S 7 r P 0 d Z x U k z a p 4 6 g 4 + y 9 1 l 5 r n a 0 O L b K y Z Z L 0 7 D O y G Q w E A 8 6 + b t M S g c / g Q g f O Y c C P w Y 2 Q J D E o C w Y I X v C e P + M t m P A X M I Y B D L G 2 X S 9 S Q 3 t i 2 Z W C Z V V C O 2 W D a i n L Z N R k T k h J 3 c g + d q j t Z H f s s m 5 m t 6 h T Y d Z B N p 9 I R D b o + l p 8 P R p P F A t r N B b f o J H r 8 Z g e 0 w t 7 0 U g 0 7 7 u 0 u u H U l b B K z J p h q I T Z N R p W 5 5 q W 5 e Y f 6 Q W D o j C / 1 k b m N q P V p O L r V 9 S 7 Z b O U V C R M y R 1 m t n S m 5 4 K B s r m C f i m u N z C B M 5 z h Q p c 3 8 f 0 b 9 K A v Z / b / + + x W a M + n 9 y l l q 4 J c A f 6 V q u T 4 n e p 8 6 j U F T h H 6 l b f 5 S w k Y 8 z Z m h V z I h I V z U Y Q h D B S c L v P W H t h W 1 W L 0 F t V L m E j o c t 0 q y c w x N w 0 j X d Q N 3 X a S w n o u v F D x A T r 8 F e J 6 i B v 7 l U y R e I L O 2 w s V u 9 R h t H T H K p u h q 3 t Q S W O + c z + e v 1 M O V f 9 G L e o a Q Z 4 J j K D P m 6 L x 4 q o S M V s k q 9 2 j e + x + j V H b Y + c j d p / h V I S j n C P e Q k n f C X + N B H 3 B i g 9 b / u k L c 9 v 1 A 9 0 s y f u U Z d S q 0 u M V E / q j 1 o a A D / G J C z 1 h p + H v 0 b z 1 s H c 5 h I M + P 4 I p 8 j f 5 C Y 4 X 2 7 c Y P 1 t I h H b 4 s f e A H l L L x g W Z 6 X d C / 5 q J 6 j 2 x i 9 6 8 u k V 1 + d u p 0 I 7 U A 3 5 C h A G C d 0 J s F z t G R G 5 r Z 2 6 n K 6 p T q W 2 A H T 1 w J c N b v J 8 K R s S 5 M u q Z Y V x z W f + E y Y z w 5 e I v c 8 Y 8 W c r v i 2 C S B i / P q 2 o 9 p Z 6 4 / j p 6 d f m U w 4 s / z q s I 2 f w J U E s B A i 0 A F A A C A A g A c W Z n U 2 S U X O C n A A A A + A A A A B I A A A A A A A A A A A A A A A A A A A A A A E N v b m Z p Z y 9 Q Y W N r Y W d l L n h t b F B L A Q I t A B Q A A g A I A H F m Z 1 M P y u m r p A A A A O k A A A A T A A A A A A A A A A A A A A A A A P M A A A B b Q 2 9 u d G V u d F 9 U e X B l c 1 0 u e G 1 s U E s B A i 0 A F A A C A A g A c W Z n U 2 Z z b / G A A g A A i A Y A A B M A A A A A A A A A A A A A A A A A 5 A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o A A A A A A A B 7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w N 1 Q x M D o 1 M D o w M C 4 4 N z k y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y J U Q w J U I w J U Q w J U I x J U Q w J U J C J U Q w J U I 4 J U Q x J T g 2 J U Q w J U I w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i 0 L D Q s d C 7 0 L j R h t C w M S / Q o t C w 0 L H Q u 9 C 4 0 Y b Q s D F f V G F i b G U u e 9 C i 0 L D Q s S 4 g 0 L 3 Q v t C 8 0 L X R g C w x f S Z x d W 9 0 O y w m c X V v d D t L Z X l D b 2 x 1 b W 5 D b 3 V u d C Z x d W 9 0 O z o x f V 0 s J n F 1 b 3 Q 7 Y 2 9 s d W 1 u S W R l b n R p d G l l c y Z x d W 9 0 O z p b J n F 1 b 3 Q 7 U 2 V j d G l v b j E v 0 J L Q v t C 3 0 L 3 Q s N C z 0 Y D Q s N C 2 0 L T Q t d C 9 0 L j Q t S / Q k t C + 0 L f Q v d C w 0 L P R g N C w 0 L b Q t N C 1 0 L 3 Q u N C 1 X 1 N o Z W V 0 L n t D b 2 x 1 b W 4 x L D B 9 J n F 1 b 3 Q 7 L C Z x d W 9 0 O 1 N l Y 3 R p b 2 4 x L 9 C i 0 L D Q s d C 7 0 L j R h t C w M S / Q o t C w 0 L H Q u 9 C 4 0 Y b Q s D F f V G F i b G U u e 9 C e 0 L r Q u 9 C w 0 L Q s M T J 9 J n F 1 b 3 Q 7 L C Z x d W 9 0 O 1 N l Y 3 R p b 2 4 x L 9 C S 0 L 7 Q t 9 C 9 0 L D Q s 9 G A 0 L D Q t t C 0 0 L X Q v d C 4 0 L U v 0 J L Q v t C 3 0 L 3 Q s N C z 0 Y D Q s N C 2 0 L T Q t d C 9 0 L j Q t V 9 T a G V l d C 5 7 Q 2 9 s d W 1 u M y w y f S Z x d W 9 0 O y w m c X V v d D t T Z W N 0 a W 9 u M S / Q k t C + 0 L f Q v d C w 0 L P R g N C w 0 L b Q t N C 1 0 L 3 Q u N C 1 L 9 C S 0 L 7 Q t 9 C 9 0 L D Q s 9 G A 0 L D Q t t C 0 0 L X Q v d C 4 0 L V f U 2 h l Z X Q u e 0 N v b H V t b j Q s M 3 0 m c X V v d D s s J n F 1 b 3 Q 7 U 2 V j d G l v b j E v 0 J L Q v t C 3 0 L 3 Q s N C z 0 Y D Q s N C 2 0 L T Q t d C 9 0 L j Q t S / Q k t C + 0 L f Q v d C w 0 L P R g N C w 0 L b Q t N C 1 0 L 3 Q u N C 1 X 1 N o Z W V 0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S 0 L 7 Q t 9 C 9 0 L D Q s 9 G A 0 L D Q t t C 0 0 L X Q v d C 4 0 L U v 0 J L Q v t C 3 0 L 3 Q s N C z 0 Y D Q s N C 2 0 L T Q t d C 9 0 L j Q t V 9 T a G V l d C 5 7 Q 2 9 s d W 1 u M S w w f S Z x d W 9 0 O y w m c X V v d D t T Z W N 0 a W 9 u M S / Q o t C w 0 L H Q u 9 C 4 0 Y b Q s D E v 0 K L Q s N C x 0 L v Q u N G G 0 L A x X 1 R h Y m x l L n v Q n t C 6 0 L v Q s N C 0 L D E y f S Z x d W 9 0 O y w m c X V v d D t T Z W N 0 a W 9 u M S / Q k t C + 0 L f Q v d C w 0 L P R g N C w 0 L b Q t N C 1 0 L 3 Q u N C 1 L 9 C S 0 L 7 Q t 9 C 9 0 L D Q s 9 G A 0 L D Q t t C 0 0 L X Q v d C 4 0 L V f U 2 h l Z X Q u e 0 N v b H V t b j M s M n 0 m c X V v d D s s J n F 1 b 3 Q 7 U 2 V j d G l v b j E v 0 J L Q v t C 3 0 L 3 Q s N C z 0 Y D Q s N C 2 0 L T Q t d C 9 0 L j Q t S / Q k t C + 0 L f Q v d C w 0 L P R g N C w 0 L b Q t N C 1 0 L 3 Q u N C 1 X 1 N o Z W V 0 L n t D b 2 x 1 b W 4 0 L D N 9 J n F 1 b 3 Q 7 L C Z x d W 9 0 O 1 N l Y 3 R p b 2 4 x L 9 C S 0 L 7 Q t 9 C 9 0 L D Q s 9 G A 0 L D Q t t C 0 0 L X Q v d C 4 0 L U v 0 J L Q v t C 3 0 L 3 Q s N C z 0 Y D Q s N C 2 0 L T Q t d C 9 0 L j Q t V 9 T a G V l d C 5 7 Q 2 9 s d W 1 u N S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o t C w 0 L H Q u 9 C 4 0 Y b Q s D E v 0 K L Q s N C x 0 L v Q u N G G 0 L A x X 1 R h Y m x l L n v Q o t C w 0 L E u I N C 9 0 L 7 Q v N C 1 0 Y A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Q o t C w 0 L H i h J Y m c X V v d D s s J n F 1 b 3 Q 7 0 K L Q s N C x 0 L v Q u N G G 0 L A x L t C e 0 L r Q u 9 C w 0 L Q m c X V v d D s s J n F 1 b 3 Q 7 0 J / R g N C 1 0 L z Q u N G P I N C / 0 L 4 g 0 L j R g t C + 0 L P Q s N C 8 I N G A 0 L D Q s d C + 0 Y f Q t d C z 0 L 4 g 0 L / Q t d G A 0 L j Q v t C 0 0 L A m c X V v d D s s J n F 1 b 3 Q 7 0 J T Q v t C / 0 L v Q s N G C 0 L A g 0 L f Q s C D R g d G C 0 L D Q t i Z x d W 9 0 O y w m c X V v d D v Q o d G D 0 L z Q v N C w 0 J j R g t C + 0 L P Q v i Z x d W 9 0 O 1 0 i I C 8 + P E V u d H J 5 I F R 5 c G U 9 I k Z p b G x D b 2 x 1 b W 5 U e X B l c y I g V m F s d W U 9 I n N B Q U F B Q U F B P S I g L z 4 8 R W 5 0 c n k g V H l w Z T 0 i R m l s b E x h c 3 R V c G R h d G V k I i B W Y W x 1 Z T 0 i Z D I w M j E t M T E t M D d U M T A 6 N T A 6 M j c u N z A w N T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J l Y 2 9 2 Z X J 5 V G F y Z 2 V 0 U 2 h l Z X Q i I F Z h b H V l P S J z 0 J L Q v t C 3 0 L 3 Q s N C z 0 Y D Q s N C 2 0 L T Q t d C 9 0 L j Q t S I g L z 4 8 R W 5 0 c n k g V H l w Z T 0 i U m V j b 3 Z l c n l U Y X J n Z X R D b 2 x 1 b W 4 i I F Z h b H V l P S J s O C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M i V E M C V C R S V E M C V C N y V E M C V C R C V E M C V C M C V E M C V C M y V E M S U 4 M C V E M C V C M C V E M C V C N i V E M C V C N C V E M C V C N S V E M C V C R C V E M C V C O C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i V E M C V C M C V E M C V C M S V E M C V C Q i V E M C V C O C V E M S U 4 N i V E M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M q + f e Q X 4 T K v K 2 c R W e 0 y B A A A A A A I A A A A A A B B m A A A A A Q A A I A A A A E t a Q z O J 5 C 6 J t A X e 9 8 4 x G O y M L / G + h g f 8 m u 2 3 O 3 I f B u 2 u A A A A A A 6 A A A A A A g A A I A A A A G V l R m t h c G d E u t x o z r X 3 L M q a f V 8 1 t B 8 t H P B A g K 9 1 V i b N U A A A A J y W K 0 T n N t s B V o 3 a f 0 2 e 3 z + s S u 6 J a D g y 3 N t / o N F b O Q V f K O c P w a K 1 h a j O c R F e R Q t n l I i T c Q 3 A x 9 c 5 O u Q f t 8 W 5 j / D w R H T z 9 m S O u M T i 3 I Y i X 3 D m Q A A A A K + 7 F 2 U D O E 5 n X c V x O r K C / q 7 j S T S p W U 7 W Z g 2 G t n y + v a J K F F z z f 4 a b A I F b 2 l 5 O e y W w 0 a j M p f R W X n d h P C G 3 q c 5 j I 3 U = < / D a t a M a s h u p > 
</file>

<file path=customXml/itemProps1.xml><?xml version="1.0" encoding="utf-8"?>
<ds:datastoreItem xmlns:ds="http://schemas.openxmlformats.org/officeDocument/2006/customXml" ds:itemID="{791CDAD3-51FD-40D6-AB9D-68C9C8D6E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Справочные данные</vt:lpstr>
      <vt:lpstr>Учет персонала</vt:lpstr>
      <vt:lpstr>Баллы по итогам рабочего период</vt:lpstr>
      <vt:lpstr>Вознаграждение</vt:lpstr>
      <vt:lpstr>БАЗА</vt:lpstr>
      <vt:lpstr>Балы_проценты</vt:lpstr>
      <vt:lpstr>ЗП</vt:lpstr>
      <vt:lpstr>'Учет персонала'!Извлечь</vt:lpstr>
      <vt:lpstr>'Учет персонала'!Критерии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VRadionov</dc:creator>
  <cp:lastModifiedBy>Frian</cp:lastModifiedBy>
  <dcterms:created xsi:type="dcterms:W3CDTF">2002-10-29T08:11:33Z</dcterms:created>
  <dcterms:modified xsi:type="dcterms:W3CDTF">2021-11-07T11:56:44Z</dcterms:modified>
</cp:coreProperties>
</file>