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ordWes Universiteit\Mechatronics Engineering\Jaar 3\Semester 2\MCTR327\Eng_DesignProject_GantryCrane_Group-18\MCTR\Juan_Fourie\Gearbox_Design\"/>
    </mc:Choice>
  </mc:AlternateContent>
  <xr:revisionPtr revIDLastSave="0" documentId="13_ncr:1_{A8288C71-F6BD-45B0-86C5-CBE99B6B1353}" xr6:coauthVersionLast="47" xr6:coauthVersionMax="47" xr10:uidLastSave="{00000000-0000-0000-0000-000000000000}"/>
  <bookViews>
    <workbookView xWindow="28680" yWindow="-120" windowWidth="29040" windowHeight="15720" xr2:uid="{B04408CB-7577-4945-9BAD-2F544BAEE8BE}"/>
  </bookViews>
  <sheets>
    <sheet name="Sheet1" sheetId="1" r:id="rId1"/>
    <sheet name="Sheet2" sheetId="2" r:id="rId2"/>
    <sheet name="Sheet3" sheetId="3" r:id="rId3"/>
  </sheets>
  <definedNames>
    <definedName name="Addendum_Circle">Sheet1!$C$7</definedName>
    <definedName name="Base_Circle">Sheet1!$C$10</definedName>
    <definedName name="Clearance_Circle">Sheet1!$C$9</definedName>
    <definedName name="Module">Sheet1!$C$3</definedName>
    <definedName name="Number_of_Teeth">Sheet1!$C$4</definedName>
    <definedName name="Pitch_Circle">Sheet1!$C$6</definedName>
    <definedName name="Pressure_Angle">Sheet1!$C$5</definedName>
    <definedName name="Root_Circle">Sheet1!$C$8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  <c r="C16" i="1"/>
  <c r="J28" i="1"/>
  <c r="C6" i="1"/>
  <c r="C10" i="1" s="1"/>
  <c r="J21" i="1"/>
  <c r="P22" i="1" s="1"/>
  <c r="J24" i="1"/>
  <c r="V25" i="1"/>
  <c r="V26" i="1" s="1"/>
  <c r="J26" i="1" l="1"/>
  <c r="C7" i="1"/>
  <c r="C9" i="1"/>
  <c r="C8" i="1"/>
  <c r="J25" i="1"/>
  <c r="C14" i="1" l="1"/>
  <c r="C15" i="1" s="1"/>
</calcChain>
</file>

<file path=xl/sharedStrings.xml><?xml version="1.0" encoding="utf-8"?>
<sst xmlns="http://schemas.openxmlformats.org/spreadsheetml/2006/main" count="80" uniqueCount="58">
  <si>
    <t>Max Load</t>
  </si>
  <si>
    <t>kg</t>
  </si>
  <si>
    <t>Drum Dia</t>
  </si>
  <si>
    <t>mm</t>
  </si>
  <si>
    <t>Motor RPM</t>
  </si>
  <si>
    <t>rpm</t>
  </si>
  <si>
    <t>Stroke</t>
  </si>
  <si>
    <t>mm/s</t>
  </si>
  <si>
    <t>m</t>
  </si>
  <si>
    <t>Sheet metal</t>
  </si>
  <si>
    <t>w</t>
  </si>
  <si>
    <t>h</t>
  </si>
  <si>
    <t>l</t>
  </si>
  <si>
    <t>kW</t>
  </si>
  <si>
    <t>Nm</t>
  </si>
  <si>
    <t>3-Phase Motor Specs</t>
  </si>
  <si>
    <t>Power</t>
  </si>
  <si>
    <t>Speed</t>
  </si>
  <si>
    <t>Mass</t>
  </si>
  <si>
    <t>Shaft</t>
  </si>
  <si>
    <t>Keyway</t>
  </si>
  <si>
    <t>Rated Torque</t>
  </si>
  <si>
    <t>Starting Torque</t>
  </si>
  <si>
    <t>4*16</t>
  </si>
  <si>
    <t>Drum Specs</t>
  </si>
  <si>
    <t>Line Speed</t>
  </si>
  <si>
    <t>Torque</t>
  </si>
  <si>
    <t>Rpm</t>
  </si>
  <si>
    <t>Circumference</t>
  </si>
  <si>
    <t>Diameter</t>
  </si>
  <si>
    <t>Rope Specs</t>
  </si>
  <si>
    <t>Length</t>
  </si>
  <si>
    <t>Wraps</t>
  </si>
  <si>
    <t>Gear Specs</t>
  </si>
  <si>
    <t>Height</t>
  </si>
  <si>
    <t>Loops of Circ fitted</t>
  </si>
  <si>
    <t>Rope Length in 1 layer</t>
  </si>
  <si>
    <t>Module</t>
  </si>
  <si>
    <t>Parameter</t>
  </si>
  <si>
    <t>Value</t>
  </si>
  <si>
    <t>Unit</t>
  </si>
  <si>
    <t>Comment</t>
  </si>
  <si>
    <t>Number_of_Teeth</t>
  </si>
  <si>
    <t>Pressure_Angle</t>
  </si>
  <si>
    <t>Pitch_Circle</t>
  </si>
  <si>
    <t>Addendum_Circle</t>
  </si>
  <si>
    <t>Root_Circle</t>
  </si>
  <si>
    <t>Clearance_Circle</t>
  </si>
  <si>
    <t>Base_Circle</t>
  </si>
  <si>
    <t>deg</t>
  </si>
  <si>
    <t>ul</t>
  </si>
  <si>
    <t>Gear_Height</t>
  </si>
  <si>
    <t>Reduction Ratio</t>
  </si>
  <si>
    <t>(Greater than 10 but less than 100 so two stage needed)</t>
  </si>
  <si>
    <t>Per Stage work</t>
  </si>
  <si>
    <t>Starting Serving Factor</t>
  </si>
  <si>
    <t>Np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</si>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</sst>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EB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EB2"/>
      <color rgb="FFDC2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heet2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hyperlink" Target="#Sheet3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Sheet1!A1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heet1!A1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344805</xdr:colOff>
      <xdr:row>0</xdr:row>
      <xdr:rowOff>28575</xdr:rowOff>
    </xdr:from>
    <xdr:to>
      <xdr:col>41</xdr:col>
      <xdr:colOff>402596</xdr:colOff>
      <xdr:row>16</xdr:row>
      <xdr:rowOff>95506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49C3A-8CB2-80BF-DBFA-26C09F54F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99605" y="28575"/>
          <a:ext cx="7380611" cy="2953006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</xdr:colOff>
      <xdr:row>17</xdr:row>
      <xdr:rowOff>133350</xdr:rowOff>
    </xdr:from>
    <xdr:to>
      <xdr:col>40</xdr:col>
      <xdr:colOff>364464</xdr:colOff>
      <xdr:row>45</xdr:row>
      <xdr:rowOff>168082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5F9A7E-F9E3-5975-C5F5-8D900AC99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00520" y="3028950"/>
          <a:ext cx="7031964" cy="5098222"/>
        </a:xfrm>
        <a:prstGeom prst="rect">
          <a:avLst/>
        </a:prstGeom>
      </xdr:spPr>
    </xdr:pic>
    <xdr:clientData/>
  </xdr:twoCellAnchor>
  <xdr:twoCellAnchor>
    <xdr:from>
      <xdr:col>1</xdr:col>
      <xdr:colOff>36195</xdr:colOff>
      <xdr:row>29</xdr:row>
      <xdr:rowOff>9525</xdr:rowOff>
    </xdr:from>
    <xdr:to>
      <xdr:col>2</xdr:col>
      <xdr:colOff>123825</xdr:colOff>
      <xdr:row>32</xdr:row>
      <xdr:rowOff>76200</xdr:rowOff>
    </xdr:to>
    <xdr:sp macro="" textlink="">
      <xdr:nvSpPr>
        <xdr:cNvPr id="9" name="Rectangl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893FF9-3263-8DCD-D7AF-EF361F58B35F}"/>
            </a:ext>
          </a:extLst>
        </xdr:cNvPr>
        <xdr:cNvSpPr/>
      </xdr:nvSpPr>
      <xdr:spPr>
        <a:xfrm>
          <a:off x="645795" y="5257800"/>
          <a:ext cx="1268730" cy="609600"/>
        </a:xfrm>
        <a:prstGeom prst="rect">
          <a:avLst/>
        </a:prstGeom>
        <a:solidFill>
          <a:srgbClr val="02AEB2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600" b="1"/>
            <a:t>Gear trains</a:t>
          </a:r>
        </a:p>
        <a:p>
          <a:pPr algn="l"/>
          <a:endParaRPr lang="en-ZA" sz="1100"/>
        </a:p>
      </xdr:txBody>
    </xdr:sp>
    <xdr:clientData/>
  </xdr:twoCellAnchor>
  <xdr:twoCellAnchor>
    <xdr:from>
      <xdr:col>2</xdr:col>
      <xdr:colOff>434340</xdr:colOff>
      <xdr:row>28</xdr:row>
      <xdr:rowOff>167640</xdr:rowOff>
    </xdr:from>
    <xdr:to>
      <xdr:col>4</xdr:col>
      <xdr:colOff>491490</xdr:colOff>
      <xdr:row>32</xdr:row>
      <xdr:rowOff>59055</xdr:rowOff>
    </xdr:to>
    <xdr:sp macro="" textlink="">
      <xdr:nvSpPr>
        <xdr:cNvPr id="11" name="Rectangl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85D5F5-73C7-4B40-BFAA-AC4927C3CAFE}"/>
            </a:ext>
          </a:extLst>
        </xdr:cNvPr>
        <xdr:cNvSpPr/>
      </xdr:nvSpPr>
      <xdr:spPr>
        <a:xfrm>
          <a:off x="2225040" y="5234940"/>
          <a:ext cx="1276350" cy="615315"/>
        </a:xfrm>
        <a:prstGeom prst="rect">
          <a:avLst/>
        </a:prstGeom>
        <a:solidFill>
          <a:srgbClr val="02AEB2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600" b="1"/>
            <a:t>Gear tooth</a:t>
          </a:r>
        </a:p>
        <a:p>
          <a:pPr algn="l"/>
          <a:endParaRPr lang="en-Z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114837</xdr:colOff>
      <xdr:row>24</xdr:row>
      <xdr:rowOff>91824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225FC-3087-447A-BEB8-EE45E4D3D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0837" cy="4435224"/>
        </a:xfrm>
        <a:prstGeom prst="rect">
          <a:avLst/>
        </a:prstGeom>
      </xdr:spPr>
    </xdr:pic>
    <xdr:clientData/>
  </xdr:twoCellAnchor>
  <xdr:twoCellAnchor>
    <xdr:from>
      <xdr:col>22</xdr:col>
      <xdr:colOff>541020</xdr:colOff>
      <xdr:row>1</xdr:row>
      <xdr:rowOff>28575</xdr:rowOff>
    </xdr:from>
    <xdr:to>
      <xdr:col>24</xdr:col>
      <xdr:colOff>601980</xdr:colOff>
      <xdr:row>4</xdr:row>
      <xdr:rowOff>87630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AEA66D-A9A0-405B-90BE-EDE9769D1333}"/>
            </a:ext>
          </a:extLst>
        </xdr:cNvPr>
        <xdr:cNvSpPr/>
      </xdr:nvSpPr>
      <xdr:spPr>
        <a:xfrm>
          <a:off x="13952220" y="209550"/>
          <a:ext cx="1280160" cy="601980"/>
        </a:xfrm>
        <a:prstGeom prst="rect">
          <a:avLst/>
        </a:prstGeom>
        <a:solidFill>
          <a:srgbClr val="DC22B4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600" b="1"/>
            <a:t>Home</a:t>
          </a:r>
        </a:p>
        <a:p>
          <a:pPr algn="l"/>
          <a:endParaRPr lang="en-ZA" sz="1100"/>
        </a:p>
      </xdr:txBody>
    </xdr:sp>
    <xdr:clientData/>
  </xdr:twoCellAnchor>
  <xdr:twoCellAnchor editAs="oneCell">
    <xdr:from>
      <xdr:col>0</xdr:col>
      <xdr:colOff>310515</xdr:colOff>
      <xdr:row>25</xdr:row>
      <xdr:rowOff>15240</xdr:rowOff>
    </xdr:from>
    <xdr:to>
      <xdr:col>10</xdr:col>
      <xdr:colOff>562523</xdr:colOff>
      <xdr:row>36</xdr:row>
      <xdr:rowOff>11602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796822-1DF4-47C8-BFEF-43B67BED3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515" y="4539615"/>
          <a:ext cx="6348008" cy="1987087"/>
        </a:xfrm>
        <a:prstGeom prst="rect">
          <a:avLst/>
        </a:prstGeom>
      </xdr:spPr>
    </xdr:pic>
    <xdr:clientData/>
  </xdr:twoCellAnchor>
  <xdr:twoCellAnchor editAs="oneCell">
    <xdr:from>
      <xdr:col>10</xdr:col>
      <xdr:colOff>188595</xdr:colOff>
      <xdr:row>0</xdr:row>
      <xdr:rowOff>83820</xdr:rowOff>
    </xdr:from>
    <xdr:to>
      <xdr:col>22</xdr:col>
      <xdr:colOff>12045</xdr:colOff>
      <xdr:row>29</xdr:row>
      <xdr:rowOff>105231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066E5B-F3A0-48AB-9944-8703A81F9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4595" y="83820"/>
          <a:ext cx="7138650" cy="52696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85725</xdr:rowOff>
    </xdr:from>
    <xdr:to>
      <xdr:col>11</xdr:col>
      <xdr:colOff>322802</xdr:colOff>
      <xdr:row>19</xdr:row>
      <xdr:rowOff>140129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2B3CC-33E2-49C5-A08F-938E487B4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85725"/>
          <a:ext cx="6695027" cy="3492929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1</xdr:row>
      <xdr:rowOff>38717</xdr:rowOff>
    </xdr:from>
    <xdr:to>
      <xdr:col>28</xdr:col>
      <xdr:colOff>149456</xdr:colOff>
      <xdr:row>27</xdr:row>
      <xdr:rowOff>105806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1F25F2-E902-43AE-9A8E-B2C6A84DD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9950" y="219692"/>
          <a:ext cx="9998306" cy="4772439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22</xdr:row>
      <xdr:rowOff>38100</xdr:rowOff>
    </xdr:from>
    <xdr:to>
      <xdr:col>2</xdr:col>
      <xdr:colOff>472440</xdr:colOff>
      <xdr:row>25</xdr:row>
      <xdr:rowOff>100965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1A9B37-812F-4606-964C-7F4902C7E25F}"/>
            </a:ext>
          </a:extLst>
        </xdr:cNvPr>
        <xdr:cNvSpPr/>
      </xdr:nvSpPr>
      <xdr:spPr>
        <a:xfrm>
          <a:off x="419100" y="4019550"/>
          <a:ext cx="1272540" cy="605790"/>
        </a:xfrm>
        <a:prstGeom prst="rect">
          <a:avLst/>
        </a:prstGeom>
        <a:solidFill>
          <a:srgbClr val="C000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600" b="1"/>
            <a:t>Home</a:t>
          </a:r>
        </a:p>
        <a:p>
          <a:pPr algn="l"/>
          <a:endParaRPr lang="en-Z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C4EA-807B-4A95-883D-8A7A770966AE}">
  <dimension ref="B1:Z28"/>
  <sheetViews>
    <sheetView tabSelected="1" workbookViewId="0">
      <selection activeCell="L8" sqref="L8"/>
    </sheetView>
  </sheetViews>
  <sheetFormatPr defaultRowHeight="14.4" x14ac:dyDescent="0.3"/>
  <cols>
    <col min="2" max="2" width="17.21875" customWidth="1"/>
    <col min="9" max="9" width="21.5546875" bestFit="1" customWidth="1"/>
    <col min="21" max="21" width="11.77734375" bestFit="1" customWidth="1"/>
    <col min="22" max="22" width="9.44140625" bestFit="1" customWidth="1"/>
  </cols>
  <sheetData>
    <row r="1" spans="2:17" x14ac:dyDescent="0.3">
      <c r="B1" s="4" t="s">
        <v>33</v>
      </c>
      <c r="C1" s="4"/>
      <c r="D1" s="4"/>
      <c r="E1" s="4"/>
      <c r="F1" s="4"/>
      <c r="G1" s="4"/>
      <c r="N1" s="3"/>
      <c r="O1" s="3" t="s">
        <v>9</v>
      </c>
      <c r="P1" s="3"/>
    </row>
    <row r="2" spans="2:17" x14ac:dyDescent="0.3">
      <c r="B2" s="2" t="s">
        <v>38</v>
      </c>
      <c r="C2" s="2" t="s">
        <v>39</v>
      </c>
      <c r="D2" s="2" t="s">
        <v>40</v>
      </c>
      <c r="E2" s="2" t="s">
        <v>41</v>
      </c>
      <c r="F2" s="1"/>
      <c r="G2" s="1"/>
    </row>
    <row r="3" spans="2:17" x14ac:dyDescent="0.3">
      <c r="B3" t="s">
        <v>37</v>
      </c>
      <c r="C3">
        <v>5</v>
      </c>
      <c r="D3" t="s">
        <v>50</v>
      </c>
      <c r="K3" t="s">
        <v>0</v>
      </c>
      <c r="L3">
        <v>30</v>
      </c>
      <c r="M3" t="s">
        <v>1</v>
      </c>
      <c r="O3" t="s">
        <v>10</v>
      </c>
      <c r="P3">
        <v>600</v>
      </c>
      <c r="Q3" t="s">
        <v>3</v>
      </c>
    </row>
    <row r="4" spans="2:17" x14ac:dyDescent="0.3">
      <c r="B4" t="s">
        <v>42</v>
      </c>
      <c r="C4">
        <v>30</v>
      </c>
      <c r="D4" t="s">
        <v>50</v>
      </c>
      <c r="K4" t="s">
        <v>2</v>
      </c>
      <c r="L4">
        <v>70</v>
      </c>
      <c r="M4" t="s">
        <v>3</v>
      </c>
      <c r="O4" t="s">
        <v>11</v>
      </c>
      <c r="P4">
        <v>3</v>
      </c>
      <c r="Q4" t="s">
        <v>3</v>
      </c>
    </row>
    <row r="5" spans="2:17" x14ac:dyDescent="0.3">
      <c r="B5" t="s">
        <v>43</v>
      </c>
      <c r="C5">
        <v>20</v>
      </c>
      <c r="D5" t="s">
        <v>49</v>
      </c>
      <c r="K5" t="s">
        <v>4</v>
      </c>
      <c r="L5">
        <v>1360</v>
      </c>
      <c r="M5" t="s">
        <v>5</v>
      </c>
      <c r="O5" t="s">
        <v>12</v>
      </c>
      <c r="P5">
        <v>400</v>
      </c>
      <c r="Q5" t="s">
        <v>3</v>
      </c>
    </row>
    <row r="6" spans="2:17" x14ac:dyDescent="0.3">
      <c r="B6" t="s">
        <v>44</v>
      </c>
      <c r="C6">
        <f>Module*Number_of_Teeth</f>
        <v>150</v>
      </c>
      <c r="D6" t="s">
        <v>3</v>
      </c>
      <c r="K6" t="s">
        <v>6</v>
      </c>
      <c r="L6">
        <v>1600</v>
      </c>
      <c r="M6" t="s">
        <v>8</v>
      </c>
    </row>
    <row r="7" spans="2:17" x14ac:dyDescent="0.3">
      <c r="B7" t="s">
        <v>45</v>
      </c>
      <c r="C7">
        <f>Pitch_Circle+(2*Module)</f>
        <v>160</v>
      </c>
      <c r="D7" t="s">
        <v>3</v>
      </c>
      <c r="L7">
        <v>80</v>
      </c>
      <c r="M7" t="s">
        <v>7</v>
      </c>
    </row>
    <row r="8" spans="2:17" x14ac:dyDescent="0.3">
      <c r="B8" t="s">
        <v>46</v>
      </c>
      <c r="C8">
        <f>Pitch_Circle-(2*(1.25*Module))</f>
        <v>137.5</v>
      </c>
      <c r="D8" t="s">
        <v>3</v>
      </c>
    </row>
    <row r="9" spans="2:17" x14ac:dyDescent="0.3">
      <c r="B9" t="s">
        <v>47</v>
      </c>
      <c r="C9">
        <f>Pitch_Circle-Module*2</f>
        <v>140</v>
      </c>
      <c r="D9" t="s">
        <v>3</v>
      </c>
    </row>
    <row r="10" spans="2:17" x14ac:dyDescent="0.3">
      <c r="B10" t="s">
        <v>48</v>
      </c>
      <c r="C10">
        <f>Pitch_Circle*COS(RADIANS(Pressure_Angle))</f>
        <v>140.95389311788625</v>
      </c>
      <c r="D10" t="s">
        <v>3</v>
      </c>
    </row>
    <row r="11" spans="2:17" x14ac:dyDescent="0.3">
      <c r="B11" t="s">
        <v>51</v>
      </c>
      <c r="C11">
        <v>10</v>
      </c>
      <c r="D11" t="s">
        <v>3</v>
      </c>
    </row>
    <row r="14" spans="2:17" x14ac:dyDescent="0.3">
      <c r="B14" t="s">
        <v>52</v>
      </c>
      <c r="C14">
        <f>V21/J26</f>
        <v>44.505895925855405</v>
      </c>
      <c r="D14" t="s">
        <v>53</v>
      </c>
    </row>
    <row r="15" spans="2:17" x14ac:dyDescent="0.3">
      <c r="B15" t="s">
        <v>54</v>
      </c>
      <c r="C15">
        <f>SQRT(C14)</f>
        <v>6.6712739357528559</v>
      </c>
    </row>
    <row r="16" spans="2:17" x14ac:dyDescent="0.3">
      <c r="B16" t="s">
        <v>56</v>
      </c>
      <c r="C16">
        <f>_xlfn.CEILING.MATH((2/((1+2*Module)*SIN(RADIANS(Pressure_Angle))^2))*(Module+SQRT(Module^2+(1+2*Module)*SIN(RADIANS(Pressure_Angle))^2)))</f>
        <v>16</v>
      </c>
    </row>
    <row r="17" spans="2:26" x14ac:dyDescent="0.3">
      <c r="B17" t="s">
        <v>57</v>
      </c>
      <c r="C17">
        <f>_xlfn.CEILING.MATH((C16^2*SIN(RADIANS(Pressure_Angle))^2-4*1^2)/(4*1-2*C16*SIN(RADIANS(Pressure_Angle))^2))</f>
        <v>102</v>
      </c>
    </row>
    <row r="19" spans="2:26" x14ac:dyDescent="0.3">
      <c r="I19" s="4" t="s">
        <v>24</v>
      </c>
      <c r="J19" s="4"/>
      <c r="K19" s="4"/>
      <c r="L19" s="4"/>
      <c r="M19" s="4"/>
      <c r="N19" s="4"/>
      <c r="O19" s="4" t="s">
        <v>30</v>
      </c>
      <c r="P19" s="4"/>
      <c r="Q19" s="4"/>
      <c r="R19" s="4"/>
      <c r="S19" s="4"/>
      <c r="T19" s="4"/>
      <c r="U19" s="4" t="s">
        <v>15</v>
      </c>
      <c r="V19" s="4"/>
      <c r="W19" s="4"/>
      <c r="X19" s="4"/>
      <c r="Y19" s="4"/>
      <c r="Z19" s="4"/>
    </row>
    <row r="20" spans="2:26" x14ac:dyDescent="0.3">
      <c r="I20" t="s">
        <v>25</v>
      </c>
      <c r="J20">
        <v>88</v>
      </c>
      <c r="K20" t="s">
        <v>7</v>
      </c>
      <c r="O20" t="s">
        <v>29</v>
      </c>
      <c r="P20">
        <v>5</v>
      </c>
      <c r="Q20" t="s">
        <v>3</v>
      </c>
      <c r="U20" t="s">
        <v>16</v>
      </c>
      <c r="V20">
        <v>0.18</v>
      </c>
      <c r="W20" t="s">
        <v>13</v>
      </c>
    </row>
    <row r="21" spans="2:26" x14ac:dyDescent="0.3">
      <c r="I21" t="s">
        <v>28</v>
      </c>
      <c r="J21">
        <f>J22*PI()</f>
        <v>157.07963267948966</v>
      </c>
      <c r="K21" t="s">
        <v>3</v>
      </c>
      <c r="O21" t="s">
        <v>31</v>
      </c>
      <c r="P21">
        <v>1600</v>
      </c>
      <c r="Q21" t="s">
        <v>3</v>
      </c>
      <c r="U21" t="s">
        <v>17</v>
      </c>
      <c r="V21">
        <v>1360</v>
      </c>
      <c r="W21" t="s">
        <v>5</v>
      </c>
    </row>
    <row r="22" spans="2:26" x14ac:dyDescent="0.3">
      <c r="I22" t="s">
        <v>29</v>
      </c>
      <c r="J22">
        <v>50</v>
      </c>
      <c r="K22" t="s">
        <v>3</v>
      </c>
      <c r="O22" t="s">
        <v>32</v>
      </c>
      <c r="P22">
        <f>L6/J21</f>
        <v>10.185916357881302</v>
      </c>
      <c r="U22" t="s">
        <v>18</v>
      </c>
      <c r="V22">
        <v>4.83</v>
      </c>
      <c r="W22" t="s">
        <v>1</v>
      </c>
    </row>
    <row r="23" spans="2:26" x14ac:dyDescent="0.3">
      <c r="I23" t="s">
        <v>34</v>
      </c>
      <c r="J23">
        <v>60</v>
      </c>
      <c r="K23" t="s">
        <v>3</v>
      </c>
      <c r="U23" t="s">
        <v>19</v>
      </c>
      <c r="V23">
        <v>11</v>
      </c>
      <c r="W23" t="s">
        <v>3</v>
      </c>
    </row>
    <row r="24" spans="2:26" x14ac:dyDescent="0.3">
      <c r="I24" t="s">
        <v>35</v>
      </c>
      <c r="J24">
        <f>J23/P20</f>
        <v>12</v>
      </c>
      <c r="U24" t="s">
        <v>20</v>
      </c>
      <c r="V24" t="s">
        <v>23</v>
      </c>
      <c r="W24" t="s">
        <v>3</v>
      </c>
    </row>
    <row r="25" spans="2:26" x14ac:dyDescent="0.3">
      <c r="I25" t="s">
        <v>36</v>
      </c>
      <c r="J25">
        <f>J24*J21</f>
        <v>1884.9555921538758</v>
      </c>
      <c r="U25" t="s">
        <v>21</v>
      </c>
      <c r="V25">
        <f>V20/(V21*2*PI()/60)*1000</f>
        <v>1.2638774892591689</v>
      </c>
      <c r="W25" t="s">
        <v>14</v>
      </c>
    </row>
    <row r="26" spans="2:26" x14ac:dyDescent="0.3">
      <c r="I26" t="s">
        <v>27</v>
      </c>
      <c r="J26">
        <f>(L7/1000)/(J21/1000)*60</f>
        <v>30.557749073643905</v>
      </c>
      <c r="U26" t="s">
        <v>22</v>
      </c>
      <c r="V26">
        <f>3*V25</f>
        <v>3.7916324677775064</v>
      </c>
      <c r="W26" t="s">
        <v>14</v>
      </c>
    </row>
    <row r="27" spans="2:26" x14ac:dyDescent="0.3">
      <c r="I27" t="s">
        <v>55</v>
      </c>
      <c r="J27">
        <v>1.5</v>
      </c>
    </row>
    <row r="28" spans="2:26" x14ac:dyDescent="0.3">
      <c r="I28" t="s">
        <v>26</v>
      </c>
      <c r="J28">
        <f>L3*9.81*((J22/2)/1000)*J27</f>
        <v>11.036250000000001</v>
      </c>
    </row>
  </sheetData>
  <mergeCells count="4">
    <mergeCell ref="U19:Z19"/>
    <mergeCell ref="I19:N19"/>
    <mergeCell ref="O19:T19"/>
    <mergeCell ref="B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FFE1-16BD-4A0E-B7B1-93BA23BE8AD6}">
  <dimension ref="A1"/>
  <sheetViews>
    <sheetView workbookViewId="0">
      <selection activeCell="AB6" sqref="AB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5E68-D2BD-4BB7-9EFC-9E8E41A4A276}">
  <dimension ref="A1"/>
  <sheetViews>
    <sheetView workbookViewId="0">
      <selection activeCell="H23" sqref="H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Sheet1</vt:lpstr>
      <vt:lpstr>Sheet2</vt:lpstr>
      <vt:lpstr>Sheet3</vt:lpstr>
      <vt:lpstr>Addendum_Circle</vt:lpstr>
      <vt:lpstr>Base_Circle</vt:lpstr>
      <vt:lpstr>Clearance_Circle</vt:lpstr>
      <vt:lpstr>Module</vt:lpstr>
      <vt:lpstr>Number_of_Teeth</vt:lpstr>
      <vt:lpstr>Pitch_Circle</vt:lpstr>
      <vt:lpstr>Pressure_Angle</vt:lpstr>
      <vt:lpstr>Root_Circle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Fourie</dc:creator>
  <cp:lastModifiedBy>Juan Fourie</cp:lastModifiedBy>
  <dcterms:created xsi:type="dcterms:W3CDTF">2026-09-03T14:35:47Z</dcterms:created>
  <dcterms:modified xsi:type="dcterms:W3CDTF">2026-09-07T16:35:34Z</dcterms:modified>
</cp:coreProperties>
</file>