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H:\oneLine_Backoffice\"/>
    </mc:Choice>
  </mc:AlternateContent>
  <xr:revisionPtr revIDLastSave="0" documentId="8_{9F2EDC7A-DA90-4029-9294-CD5030BA7518}" xr6:coauthVersionLast="47" xr6:coauthVersionMax="47" xr10:uidLastSave="{00000000-0000-0000-0000-000000000000}"/>
  <workbookProtection workbookAlgorithmName="SHA-512" workbookHashValue="QV38z4XmEvP8epS8iL+DBd/fDI6DPwUt6dqz4ds4POUcSf+ob5trf1LoOzg+RQYpyxLPCmIPlrdkm3z9IgO1Dg==" workbookSaltValue="l5I7Gq32r5XB3f3EfH79gQ==" workbookSpinCount="100000" lockStructure="1"/>
  <bookViews>
    <workbookView xWindow="25080" yWindow="-120" windowWidth="25440" windowHeight="1539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 name="Aufstockungsquoten" sheetId="28" state="hidden"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13">[1]Kalkulationstool!$D$11</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13">[1]Kalkulationstool!$D$13</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28" l="1"/>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1" i="23" l="1"/>
  <c r="C11" i="24"/>
  <c r="C9" i="24"/>
  <c r="R8" i="24" s="1"/>
  <c r="W9" i="27"/>
  <c r="C6" i="24"/>
  <c r="W5" i="27"/>
  <c r="P6" i="27"/>
  <c r="P7" i="27" s="1"/>
  <c r="C5" i="24"/>
  <c r="G5" i="24" s="1"/>
  <c r="W4" i="27"/>
  <c r="B20" i="24"/>
  <c r="W12" i="27"/>
  <c r="C18" i="23"/>
  <c r="C19" i="23"/>
  <c r="C20" i="23"/>
  <c r="B18" i="24"/>
  <c r="B19" i="24"/>
  <c r="B18" i="23"/>
  <c r="B19" i="23"/>
  <c r="C18" i="24"/>
  <c r="C19" i="24"/>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C18" i="19"/>
  <c r="B18" i="19"/>
  <c r="C18" i="18"/>
  <c r="B18"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E35" i="27" l="1"/>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N38" i="27"/>
  <c r="AO38" i="27" s="1"/>
  <c r="AP39" i="27" s="1"/>
  <c r="AK39" i="27"/>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N45" i="27"/>
  <c r="AO45" i="27" s="1"/>
  <c r="AP46" i="27" s="1"/>
  <c r="AK46" i="27"/>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19" i="18" s="1"/>
  <c r="C20" i="19"/>
  <c r="C19" i="19"/>
  <c r="B14" i="19"/>
  <c r="C9" i="19"/>
  <c r="R8" i="19" s="1"/>
  <c r="C6" i="19"/>
  <c r="C5" i="19"/>
  <c r="G5" i="19" s="1"/>
  <c r="C20" i="18"/>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B19"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B19" i="18"/>
  <c r="B20" i="18"/>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AK53" i="27"/>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C53" i="27" l="1"/>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N83" i="27"/>
  <c r="AO83" i="27" s="1"/>
  <c r="AP84" i="27" s="1"/>
  <c r="AK84" i="27"/>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C87" i="27" l="1"/>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C90" i="27" l="1"/>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C91" i="27" l="1"/>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A78" i="24" l="1"/>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K101" i="27"/>
  <c r="AL102" i="27" s="1"/>
  <c r="AM102" i="27" s="1"/>
  <c r="AK102" i="27" s="1"/>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N101" i="27" l="1"/>
  <c r="AO101" i="27" s="1"/>
  <c r="AP102" i="27" s="1"/>
  <c r="AE101" i="27"/>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N107" i="27"/>
  <c r="AO107" i="27" s="1"/>
  <c r="AP108" i="27" s="1"/>
  <c r="AK108" i="27"/>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E114" i="27" l="1"/>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K137" i="27"/>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C138" i="27" l="1"/>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AA133" i="24" s="1"/>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N151" i="27"/>
  <c r="AO151" i="27" s="1"/>
  <c r="AP152" i="27" s="1"/>
  <c r="AK152" i="27"/>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L130" i="23" l="1"/>
  <c r="L133" i="24"/>
  <c r="Z134" i="23"/>
  <c r="X135" i="23"/>
  <c r="W135" i="23" s="1"/>
  <c r="V135" i="23" s="1"/>
  <c r="Y134" i="23"/>
  <c r="AA134" i="23" s="1"/>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X136" i="24" l="1"/>
  <c r="W136" i="24" s="1"/>
  <c r="V136" i="24" s="1"/>
  <c r="Y135" i="24"/>
  <c r="AA135" i="24" s="1"/>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L135" i="24" l="1"/>
  <c r="Z136" i="23"/>
  <c r="X137" i="23"/>
  <c r="W137" i="23" s="1"/>
  <c r="V137" i="23" s="1"/>
  <c r="Y136" i="23"/>
  <c r="AA136" i="23" s="1"/>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4" l="1"/>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AA138" i="23" s="1"/>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4" l="1"/>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N159" i="27"/>
  <c r="AO159" i="27" s="1"/>
  <c r="AP160" i="27" s="1"/>
  <c r="AK160" i="27"/>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AU41" i="27"/>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X41" i="27" l="1"/>
  <c r="AY41" i="27" s="1"/>
  <c r="AZ42" i="27" s="1"/>
  <c r="AV42" i="27"/>
  <c r="AW42" i="27" s="1"/>
  <c r="AU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AU101" i="27"/>
  <c r="L85" i="18"/>
  <c r="I87" i="18"/>
  <c r="H87" i="18" s="1"/>
  <c r="G87" i="18" s="1"/>
  <c r="J86" i="18"/>
  <c r="K86" i="18"/>
  <c r="AS110" i="14"/>
  <c r="AT109" i="14"/>
  <c r="AR109" i="14"/>
  <c r="AH110" i="14"/>
  <c r="AJ110" i="14"/>
  <c r="AI111" i="14"/>
  <c r="AV102" i="27" l="1"/>
  <c r="AW102" i="27" s="1"/>
  <c r="AU102" i="27" s="1"/>
  <c r="AX101" i="27"/>
  <c r="AY101" i="27" s="1"/>
  <c r="AZ102" i="27" s="1"/>
  <c r="L86" i="18"/>
  <c r="I88" i="18"/>
  <c r="H88" i="18" s="1"/>
  <c r="G88" i="18" s="1"/>
  <c r="J87" i="18"/>
  <c r="K87" i="18"/>
  <c r="AS111" i="14"/>
  <c r="AR110" i="14"/>
  <c r="AT110" i="14"/>
  <c r="AJ111" i="14"/>
  <c r="AI112" i="14"/>
  <c r="AH111" i="14"/>
  <c r="AV103" i="27" l="1"/>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X111" i="27"/>
  <c r="AY111" i="27" s="1"/>
  <c r="AZ112" i="27" s="1"/>
  <c r="AU112" i="27"/>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X152" i="27"/>
  <c r="AY152" i="27" s="1"/>
  <c r="AZ153" i="27" s="1"/>
  <c r="AU153" i="27"/>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X156" i="27"/>
  <c r="AY156" i="27" s="1"/>
  <c r="AZ157" i="27" s="1"/>
  <c r="AU157" i="27"/>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N156" i="14"/>
  <c r="AO156" i="14" s="1"/>
  <c r="AP157" i="14" s="1"/>
  <c r="AK157" i="14"/>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c r="AM162" i="14" s="1"/>
  <c r="AK162" i="14" s="1"/>
  <c r="AL163" i="14" l="1"/>
  <c r="AM163" i="14" s="1"/>
  <c r="AN162" i="14"/>
  <c r="AO162" i="14" s="1"/>
  <c r="AP163" i="14" s="1"/>
  <c r="AP29" i="14" s="1"/>
  <c r="V23" i="14" s="1"/>
  <c r="V24" i="14" s="1"/>
  <c r="X10" i="14" s="1"/>
  <c r="AW30" i="14" s="1"/>
  <c r="AU30" i="14" s="1"/>
  <c r="AK163" i="14"/>
  <c r="AN163" i="14" s="1"/>
  <c r="AO163" i="14" s="1"/>
  <c r="AO28" i="14" l="1"/>
  <c r="AO23" i="14" s="1"/>
  <c r="AO22" i="14" s="1"/>
  <c r="AV31" i="14"/>
  <c r="AW31" i="14" s="1"/>
  <c r="AU31" i="14" s="1"/>
  <c r="AX30" i="14"/>
  <c r="AY30" i="14" s="1"/>
  <c r="AO27" i="14" l="1"/>
  <c r="AZ31" i="14"/>
  <c r="AX31" i="14"/>
  <c r="AY31" i="14" s="1"/>
  <c r="AZ32" i="14" s="1"/>
  <c r="AV32" i="14"/>
  <c r="AW32" i="14" s="1"/>
  <c r="AU32" i="14" s="1"/>
  <c r="AX32" i="14" l="1"/>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X123" i="14"/>
  <c r="AY123" i="14" s="1"/>
  <c r="AZ124" i="14" s="1"/>
  <c r="AU124" i="14"/>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6" i="13" s="1"/>
  <c r="T14" i="14"/>
  <c r="P13" i="14"/>
  <c r="P12" i="14" l="1"/>
  <c r="D26" i="13" s="1"/>
</calcChain>
</file>

<file path=xl/sharedStrings.xml><?xml version="1.0" encoding="utf-8"?>
<sst xmlns="http://schemas.openxmlformats.org/spreadsheetml/2006/main" count="622" uniqueCount="242">
  <si>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</si>
  <si>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</si>
  <si>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</si>
  <si>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</si>
  <si>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</si>
  <si>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</si>
  <si>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</si>
  <si>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</si>
  <si>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</si>
  <si>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</si>
  <si>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</si>
  <si>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</si>
  <si>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</si>
  <si>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</si>
  <si>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</si>
  <si>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</si>
  <si>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</si>
  <si>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</si>
  <si>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</si>
  <si>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</si>
  <si>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</si>
  <si>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</si>
  <si>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</si>
  <si>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</si>
  <si>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</si>
  <si>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</si>
  <si>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</si>
  <si>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</si>
  <si>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</si>
  <si>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</si>
  <si>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</si>
  <si>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</si>
  <si>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</si>
  <si>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</si>
  <si>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</si>
  <si>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</si>
  <si>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</si>
  <si>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</si>
  <si>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</si>
  <si>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</si>
  <si>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</si>
  <si>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</si>
  <si>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</si>
  <si>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</si>
  <si>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</si>
  <si>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</si>
  <si>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</si>
  <si>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</si>
  <si>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</si>
  <si>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</si>
  <si>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</si>
  <si>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</si>
  <si>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</si>
  <si>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</si>
  <si>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</si>
  <si>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</si>
  <si>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</si>
  <si>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</si>
  <si>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</si>
  <si>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</si>
  <si>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</si>
  <si>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</si>
  <si>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</si>
  <si>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</si>
  <si>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</si>
  <si>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</si>
  <si>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</si>
  <si>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</si>
  <si>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</si>
  <si>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</si>
  <si>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</si>
  <si>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</si>
  <si>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</si>
  <si>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</si>
  <si>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</si>
  <si>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</si>
  <si>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</si>
  <si>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</si>
  <si>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</si>
  <si>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</si>
  <si>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</si>
  <si>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</si>
  <si>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</si>
  <si>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</si>
  <si>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</si>
  <si>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</si>
  <si>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</si>
  <si>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</si>
  <si>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</si>
  <si>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</si>
  <si>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</si>
  <si>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</si>
  <si>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</si>
  <si>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</si>
  <si>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</si>
  <si>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</si>
  <si>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</si>
  <si>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</si>
  <si>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</si>
  <si>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</si>
  <si>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</si>
  <si>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</si>
  <si>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</si>
  <si>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</si>
  <si>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</si>
  <si>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</si>
  <si>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</si>
  <si>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</si>
  <si>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</si>
  <si>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</si>
  <si>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</si>
  <si>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</si>
  <si>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</si>
  <si>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</si>
  <si>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</si>
  <si>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</si>
  <si>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</si>
  <si>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</si>
  <si>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</si>
  <si>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</si>
  <si>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</si>
  <si>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</si>
  <si>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</si>
  <si>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</si>
  <si>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</si>
  <si>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</si>
  <si>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</si>
  <si>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</si>
  <si>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</si>
  <si>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</si>
  <si>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</si>
  <si>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</si>
  <si>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</si>
  <si>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</si>
  <si>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</si>
  <si>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</si>
  <si>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</si>
  <si>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</si>
  <si>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</si>
  <si>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</si>
  <si>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</si>
  <si>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</si>
  <si>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</si>
  <si>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</si>
  <si>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</si>
  <si>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</si>
  <si>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</si>
  <si>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</si>
  <si>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</si>
  <si>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</si>
  <si>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</si>
  <si>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</si>
  <si>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</si>
  <si>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</si>
  <si>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</si>
  <si>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</si>
  <si>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</si>
  <si>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</si>
  <si>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</si>
  <si>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</si>
  <si>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</si>
  <si>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</si>
  <si>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</si>
  <si>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</si>
  <si>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</si>
  <si>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</si>
  <si>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</si>
  <si>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Die ermittelten Wertbeiträge stellen eine Approximation des über den FiKo (Produktkalkulator) berechneten Wertbeitrags dar.</t>
  </si>
  <si>
    <t>Nach Eingabe der preisbestimmenden Parameter wird Ihnen der Wertbeitrag zur KIZ Zielkondition und zur vereinbarten Kondition angezeigt.</t>
  </si>
  <si>
    <t>Marginale Abweichungen (&lt; 1 %) sind möglich.</t>
  </si>
  <si>
    <t>Der zur Ermittlung der maximalen Konditionskompetenz herangezogene Wertbeitrag weicht von dem hier dargestellten Wertebeitrag ab.</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</si>
  <si>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</si>
  <si>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</si>
  <si>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</si>
  <si>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</si>
  <si>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</si>
  <si>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</si>
  <si>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</si>
  <si>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</si>
  <si>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</si>
  <si>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</si>
  <si>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</si>
  <si>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</si>
  <si>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</si>
  <si>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</si>
  <si>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</si>
  <si>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</si>
  <si>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</si>
  <si>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</si>
  <si>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</si>
  <si>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</si>
  <si>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</si>
  <si>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</si>
  <si>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</si>
  <si>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</si>
  <si>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</si>
  <si>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</si>
  <si>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</si>
  <si>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</si>
  <si>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</si>
  <si>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</si>
  <si>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</si>
  <si>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</si>
  <si>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</si>
  <si>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</si>
  <si>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</si>
  <si>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</si>
  <si>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</si>
  <si>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</si>
  <si>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</si>
  <si>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</si>
  <si>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</si>
  <si>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</si>
  <si>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</si>
  <si>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</si>
  <si>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</si>
  <si>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</si>
  <si>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</si>
  <si>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</si>
  <si>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</si>
  <si>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Die neue absolute Preisuntergrenze liegt bei 3,99% eff. nach Konditionskompetenzen, bei DVAG-Geschäften bei 4,49% eff. (Ausnahme: RL-Sonderkondition)</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</si>
  <si>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</si>
  <si>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</si>
  <si>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</si>
  <si>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</si>
  <si>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</si>
  <si>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</si>
  <si>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</si>
  <si>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</si>
  <si>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</si>
  <si>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</si>
  <si>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</si>
  <si>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</si>
  <si>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</si>
  <si>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</si>
  <si>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</si>
  <si>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</si>
  <si>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</si>
  <si>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</si>
  <si>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</si>
  <si>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Gültig ab 16.12.2022</t>
  </si>
  <si>
    <t>Der zur Ermittlung der maximalen Konditionskompetenz herangezogene Wertbeitrag weicht von dem hier dargestellten Wertbeitrag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</si>
</sst>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0" fillId="44" borderId="0" xfId="0" applyFill="1" applyAlignment="1">
      <alignment horizontal="center"/>
    </xf>
    <xf numFmtId="0" fontId="0" fillId="45" borderId="0" xfId="0" applyFill="1" applyAlignment="1">
      <alignment horizontal="left" vertical="center"/>
    </xf>
    <xf numFmtId="0" fontId="0" fillId="0" borderId="0" xfId="0" applyAlignment="1">
      <alignment horizont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16" fillId="44" borderId="0" xfId="0" applyFont="1"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180</v>
      </c>
    </row>
    <row r="11" spans="2:3" x14ac:dyDescent="0.25"/>
  </sheetData>
  <sheetProtection algorithmName="SHA-512" hashValue="PE92VI+ommGNYJjtpg/9xK5fQzN2k8omOoSjW9KG7l0i5VDYEQ5CQTtpCGqkcdDBx+y+1VAc0nuyzNQh8g+mRw==" saltValue="j4QSEzBhuKGfuJxGkWqGNw=="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198</v>
      </c>
    </row>
    <row r="2" spans="1:2" x14ac:dyDescent="0.25">
      <c r="A2" t="s">
        <v>188</v>
      </c>
      <c r="B2">
        <f>'Bewertung Aufstockung'!B6</f>
        <v>0</v>
      </c>
    </row>
    <row r="3" spans="1:2" x14ac:dyDescent="0.25">
      <c r="A3" t="s">
        <v>189</v>
      </c>
      <c r="B3">
        <f>'Bewertung Aufstockung'!B6-Wertbeitrag!C11</f>
        <v>0</v>
      </c>
    </row>
    <row r="4" spans="1:2" x14ac:dyDescent="0.25">
      <c r="A4" t="s">
        <v>190</v>
      </c>
      <c r="B4">
        <v>0.88</v>
      </c>
    </row>
    <row r="5" spans="1:2" x14ac:dyDescent="0.25">
      <c r="A5" t="s">
        <v>197</v>
      </c>
      <c r="B5" s="231">
        <v>0.55000000000000004</v>
      </c>
    </row>
    <row r="6" spans="1:2" x14ac:dyDescent="0.25">
      <c r="A6" t="s">
        <v>206</v>
      </c>
      <c r="B6" s="232">
        <f>'Bewertung Aufstockung'!B5</f>
        <v>0</v>
      </c>
    </row>
    <row r="7" spans="1:2" x14ac:dyDescent="0.25">
      <c r="A7" t="s">
        <v>191</v>
      </c>
      <c r="B7" s="233" t="e">
        <f>(B2-B3)*(B2-B3+1)/B2/(B2+1)*B4*B6*B5</f>
        <v>#DIV/0!</v>
      </c>
    </row>
    <row r="26" spans="1:5" x14ac:dyDescent="0.25">
      <c r="B26" t="s">
        <v>217</v>
      </c>
      <c r="C26" t="s">
        <v>218</v>
      </c>
      <c r="D26" t="s">
        <v>5</v>
      </c>
      <c r="E26" t="s">
        <v>6</v>
      </c>
    </row>
    <row r="27" spans="1:5" x14ac:dyDescent="0.25">
      <c r="A27" t="s">
        <v>202</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B1" sqref="B1"/>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178</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IF(Kalk_Kredit2!D13="DVAG",3%*'Bg WB vereinb_Kredit2'!C5,0)</f>
        <v>0</v>
      </c>
      <c r="C19" s="1">
        <f>IF(Kalk_Kredit2!D13="DVAG",3%*'Bg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topLeftCell="A4" zoomScale="70" zoomScaleNormal="70" workbookViewId="0">
      <selection activeCell="B1" sqref="B1"/>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N5" s="171"/>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IF(Kalk_Kredit2!D13="DVAG",3%*'Bg Produktkalk I_Kredit2'!C5,0)</f>
        <v>0</v>
      </c>
      <c r="C19" s="1">
        <f>IF(Kalk_Kredit2!D13="DVAG",3%*'Bg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zoomScale="70" zoomScaleNormal="70" workbookViewId="0">
      <selection activeCell="I27" sqref="I27"/>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85</v>
      </c>
      <c r="AB2" s="265"/>
      <c r="AC2" s="265"/>
      <c r="AD2" s="265"/>
      <c r="AE2" s="265"/>
      <c r="AF2" s="265"/>
      <c r="AH2" s="265" t="s">
        <v>123</v>
      </c>
      <c r="AI2" s="265"/>
      <c r="AJ2" s="265"/>
      <c r="AK2" s="265"/>
      <c r="AL2" s="265"/>
      <c r="AM2" s="265"/>
      <c r="AN2" s="265"/>
      <c r="AO2" s="265"/>
      <c r="AR2" s="265" t="s">
        <v>124</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86</v>
      </c>
      <c r="V3" s="266"/>
      <c r="W3" s="266"/>
      <c r="AB3" s="268" t="s">
        <v>87</v>
      </c>
      <c r="AC3" s="268"/>
      <c r="AD3" s="268"/>
      <c r="AE3" s="108"/>
      <c r="AF3" s="108"/>
      <c r="AI3" s="268" t="s">
        <v>87</v>
      </c>
      <c r="AJ3" s="268"/>
      <c r="AK3" s="268"/>
      <c r="AL3" s="108"/>
      <c r="AM3" s="108"/>
      <c r="AS3" s="268" t="s">
        <v>87</v>
      </c>
      <c r="AT3" s="268"/>
      <c r="AU3" s="268"/>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69" t="s">
        <v>89</v>
      </c>
      <c r="AC4" s="269"/>
      <c r="AD4" s="1" t="s">
        <v>90</v>
      </c>
      <c r="AI4" s="269" t="s">
        <v>91</v>
      </c>
      <c r="AJ4" s="269"/>
      <c r="AK4" s="1" t="s">
        <v>90</v>
      </c>
      <c r="AS4" s="269" t="s">
        <v>91</v>
      </c>
      <c r="AT4" s="269"/>
      <c r="AU4" s="1" t="s">
        <v>90</v>
      </c>
    </row>
    <row r="5" spans="1:51" x14ac:dyDescent="0.25">
      <c r="A5" s="72">
        <v>16</v>
      </c>
      <c r="B5" s="73" t="s">
        <v>34</v>
      </c>
      <c r="D5" s="1" t="s">
        <v>6</v>
      </c>
      <c r="H5" s="270" t="s">
        <v>16</v>
      </c>
      <c r="I5" s="124">
        <v>0</v>
      </c>
      <c r="J5" s="3"/>
      <c r="K5" s="12">
        <v>-1.3</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71"/>
      <c r="I6" s="124">
        <v>5.01</v>
      </c>
      <c r="J6" s="2"/>
      <c r="K6" s="13">
        <v>-1.1000000000000001</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71"/>
      <c r="I7" s="124">
        <v>10.01</v>
      </c>
      <c r="J7" s="2"/>
      <c r="K7" s="13">
        <v>-0.9</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71"/>
      <c r="I8" s="124">
        <v>15.01</v>
      </c>
      <c r="J8" s="4"/>
      <c r="K8" s="13">
        <v>-0.7</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71"/>
      <c r="I9" s="124">
        <v>20.010000000000002</v>
      </c>
      <c r="J9" s="2"/>
      <c r="K9" s="13">
        <v>-0.5</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71"/>
      <c r="I10" s="124">
        <v>30.01</v>
      </c>
      <c r="J10" s="4"/>
      <c r="K10" s="13">
        <v>-0.3</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71"/>
      <c r="I11" s="124">
        <v>40.01</v>
      </c>
      <c r="J11" s="2"/>
      <c r="K11" s="13">
        <v>-0.1</v>
      </c>
      <c r="L11" s="120">
        <v>41</v>
      </c>
      <c r="N11" s="277" t="s">
        <v>22</v>
      </c>
      <c r="O11" s="202" t="s">
        <v>174</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71"/>
      <c r="I12" s="124">
        <v>50.01</v>
      </c>
      <c r="J12" s="4"/>
      <c r="K12" s="13">
        <v>0</v>
      </c>
      <c r="L12" s="120">
        <v>51</v>
      </c>
      <c r="N12" s="278"/>
      <c r="O12" s="207" t="s">
        <v>175</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71"/>
      <c r="I13" s="124">
        <v>60.01</v>
      </c>
      <c r="J13" s="2"/>
      <c r="K13" s="13">
        <v>0.1</v>
      </c>
      <c r="L13" s="120">
        <v>61</v>
      </c>
      <c r="N13" s="278"/>
      <c r="O13" s="29" t="s">
        <v>176</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71"/>
      <c r="I14" s="124">
        <v>70.010000000000005</v>
      </c>
      <c r="J14" s="4"/>
      <c r="K14" s="13">
        <v>0.3</v>
      </c>
      <c r="L14" s="120">
        <v>71</v>
      </c>
      <c r="N14" s="279"/>
      <c r="O14" s="196" t="s">
        <v>177</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71"/>
      <c r="I15" s="124">
        <v>80.010000000000005</v>
      </c>
      <c r="J15" s="4"/>
      <c r="K15" s="13">
        <v>0.5</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71"/>
      <c r="I16" s="124">
        <v>90.01</v>
      </c>
      <c r="J16" s="4"/>
      <c r="K16" s="13">
        <v>0.7</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71"/>
      <c r="I17" s="124">
        <v>100.01</v>
      </c>
      <c r="J17" s="4"/>
      <c r="K17" s="13">
        <v>1</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71"/>
      <c r="I18" s="124">
        <v>125.01</v>
      </c>
      <c r="J18" s="4"/>
      <c r="K18" s="13">
        <v>1.2</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71"/>
      <c r="I19" s="124">
        <v>150.01</v>
      </c>
      <c r="J19" s="4"/>
      <c r="K19" s="13">
        <v>1.4</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71"/>
      <c r="I20" s="125">
        <v>175.01</v>
      </c>
      <c r="J20" s="6"/>
      <c r="K20" s="15">
        <v>1.6</v>
      </c>
      <c r="L20" s="120">
        <v>176</v>
      </c>
      <c r="U20" s="1" t="s">
        <v>103</v>
      </c>
      <c r="V20" s="1">
        <f>W6+V18+W6/12</f>
        <v>0</v>
      </c>
    </row>
    <row r="21" spans="1:52" x14ac:dyDescent="0.25">
      <c r="A21" s="52">
        <v>351</v>
      </c>
      <c r="B21" s="73" t="s">
        <v>50</v>
      </c>
      <c r="H21" s="271"/>
      <c r="I21" s="125">
        <v>200.01</v>
      </c>
      <c r="J21" s="6"/>
      <c r="K21" s="15">
        <v>1.8</v>
      </c>
      <c r="L21" s="120">
        <v>201</v>
      </c>
      <c r="N21" s="143"/>
      <c r="O21" s="144"/>
      <c r="P21" s="148"/>
      <c r="U21" s="1" t="s">
        <v>104</v>
      </c>
      <c r="V21" s="1">
        <f>W6+V16</f>
        <v>0</v>
      </c>
      <c r="AA21" s="269" t="s">
        <v>105</v>
      </c>
      <c r="AB21" s="269"/>
      <c r="AC21" s="1">
        <f>LOOKUP(V16,AA5:AA13,AD5:AD13)</f>
        <v>0</v>
      </c>
      <c r="AH21" s="269" t="s">
        <v>106</v>
      </c>
      <c r="AI21" s="269"/>
      <c r="AJ21" s="1">
        <f>IF(ISERROR(LOOKUP(V18,AH5:AH17,AK5:AK17)),0,LOOKUP(V18,AH5:AH17,AK5:AK17))</f>
        <v>0</v>
      </c>
      <c r="AO21" s="76"/>
      <c r="AR21" s="269" t="s">
        <v>106</v>
      </c>
      <c r="AS21" s="269"/>
      <c r="AT21" s="1">
        <f>IF(ISERROR(LOOKUP(V18,AR5:AR17,AU5:AU17)),0,LOOKUP(V18,AR5:AR17,AU5:AU17))</f>
        <v>0</v>
      </c>
      <c r="AY21" s="76"/>
    </row>
    <row r="22" spans="1:52" x14ac:dyDescent="0.25">
      <c r="A22" s="52">
        <v>401</v>
      </c>
      <c r="B22" s="73" t="s">
        <v>51</v>
      </c>
      <c r="H22" s="271"/>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71"/>
      <c r="I23" s="125">
        <v>300.01</v>
      </c>
      <c r="J23" s="6"/>
      <c r="K23" s="15">
        <v>2.6</v>
      </c>
      <c r="L23" s="120">
        <v>301</v>
      </c>
      <c r="U23" s="136" t="s">
        <v>120</v>
      </c>
      <c r="V23" s="137" t="e">
        <f>AJ22+AP29</f>
        <v>#DIV/0!</v>
      </c>
      <c r="AO23" s="120" t="e">
        <f>AO28-AO95</f>
        <v>#DIV/0!</v>
      </c>
      <c r="AY23" s="120" t="e">
        <f>AY28-AY95</f>
        <v>#DIV/0!</v>
      </c>
    </row>
    <row r="24" spans="1:52" x14ac:dyDescent="0.25">
      <c r="H24" s="271"/>
      <c r="I24" s="126">
        <v>350.01</v>
      </c>
      <c r="K24" s="15">
        <v>2.8</v>
      </c>
      <c r="L24" s="120">
        <v>351</v>
      </c>
      <c r="U24" s="136" t="s">
        <v>121</v>
      </c>
      <c r="V24" s="138" t="e">
        <f>V23-W5</f>
        <v>#DIV/0!</v>
      </c>
    </row>
    <row r="25" spans="1:52" x14ac:dyDescent="0.25">
      <c r="H25" s="271"/>
      <c r="I25" s="126">
        <v>400.01</v>
      </c>
      <c r="K25" s="15">
        <v>3</v>
      </c>
      <c r="L25" s="120">
        <v>401</v>
      </c>
      <c r="U25" s="139" t="s">
        <v>122</v>
      </c>
      <c r="V25" s="140" t="e">
        <f>AZ29+AT22</f>
        <v>#DIV/0!</v>
      </c>
      <c r="AA25" s="276" t="s">
        <v>107</v>
      </c>
      <c r="AB25" s="276"/>
      <c r="AC25" s="276"/>
      <c r="AD25" s="276"/>
      <c r="AE25" s="276"/>
      <c r="AF25" s="276"/>
      <c r="AH25" s="267" t="s">
        <v>108</v>
      </c>
      <c r="AI25" s="267"/>
      <c r="AJ25" s="267"/>
      <c r="AK25" s="267"/>
      <c r="AL25" s="267"/>
      <c r="AM25" s="267"/>
      <c r="AN25" s="267"/>
      <c r="AO25" s="267"/>
      <c r="AR25" s="267" t="s">
        <v>108</v>
      </c>
      <c r="AS25" s="267"/>
      <c r="AT25" s="267"/>
      <c r="AU25" s="267"/>
      <c r="AV25" s="267"/>
      <c r="AW25" s="267"/>
      <c r="AX25" s="267"/>
      <c r="AY25" s="267"/>
    </row>
    <row r="26" spans="1:52" ht="15.75" thickBot="1" x14ac:dyDescent="0.3">
      <c r="H26" s="238"/>
      <c r="I26" s="126">
        <v>999.01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72" t="s">
        <v>9</v>
      </c>
      <c r="I27" s="101">
        <v>0</v>
      </c>
      <c r="J27" s="64"/>
      <c r="K27" s="47">
        <v>0</v>
      </c>
      <c r="AB27" s="121"/>
      <c r="AF27" s="120" t="e">
        <f>AF28+AC21</f>
        <v>#DIV/0!</v>
      </c>
      <c r="AK27" s="121"/>
      <c r="AO27" s="120" t="e">
        <f>AO28+AJ21</f>
        <v>#DIV/0!</v>
      </c>
      <c r="AU27" s="121"/>
      <c r="AY27" s="120" t="e">
        <f>AY28+AT21</f>
        <v>#DIV/0!</v>
      </c>
    </row>
    <row r="28" spans="1:52" x14ac:dyDescent="0.25">
      <c r="H28" s="273"/>
      <c r="I28" s="102">
        <v>9.9999999999999995E-7</v>
      </c>
      <c r="J28" s="48"/>
      <c r="K28" s="15">
        <v>0.1</v>
      </c>
      <c r="AA28" s="1" t="s">
        <v>109</v>
      </c>
      <c r="AF28" s="120" t="e">
        <f>SUM(AF30:AF150)</f>
        <v>#DIV/0!</v>
      </c>
      <c r="AJ28" s="1" t="s">
        <v>109</v>
      </c>
      <c r="AO28" s="120" t="e">
        <f>SUM(AO30:AO163)</f>
        <v>#DIV/0!</v>
      </c>
      <c r="AT28" s="1" t="s">
        <v>109</v>
      </c>
      <c r="AY28" s="120" t="e">
        <f>SUM(AY30:AY163)</f>
        <v>#DIV/0!</v>
      </c>
    </row>
    <row r="29" spans="1:52" x14ac:dyDescent="0.25">
      <c r="H29" s="273"/>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3"/>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3"/>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4"/>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71"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71"/>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71"/>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71"/>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5"/>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 ref="AA2:AF2"/>
    <mergeCell ref="AH2:AO2"/>
    <mergeCell ref="AR2:AY2"/>
    <mergeCell ref="U3:W3"/>
    <mergeCell ref="AB3:AD3"/>
    <mergeCell ref="AI3:AK3"/>
    <mergeCell ref="AS3:AU3"/>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H26" sqref="H26"/>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222</v>
      </c>
      <c r="B2" s="70"/>
    </row>
    <row r="3" spans="1:9" x14ac:dyDescent="0.25">
      <c r="A3" s="116"/>
      <c r="B3" s="116"/>
      <c r="C3" s="116"/>
      <c r="D3" s="116"/>
      <c r="E3" s="116"/>
      <c r="F3" s="116"/>
      <c r="G3" s="116"/>
      <c r="H3" s="116"/>
      <c r="I3" s="116"/>
    </row>
    <row r="5" spans="1:9" x14ac:dyDescent="0.25">
      <c r="A5" s="1" t="s">
        <v>223</v>
      </c>
      <c r="I5" s="249" t="str">
        <f>+'Bewertung Aufstockung'!F27</f>
        <v/>
      </c>
    </row>
    <row r="6" spans="1:9" x14ac:dyDescent="0.25">
      <c r="A6" s="250" t="s">
        <v>224</v>
      </c>
      <c r="I6" s="120" t="e">
        <f>+ROUNDUP(I5,1)</f>
        <v>#VALUE!</v>
      </c>
    </row>
    <row r="7" spans="1:9" x14ac:dyDescent="0.25">
      <c r="A7" s="250" t="s">
        <v>225</v>
      </c>
      <c r="I7" s="251" t="e">
        <f>+IF(I6=0.8,I17,VLOOKUP(I6,G10:I18,3,1))</f>
        <v>#VALUE!</v>
      </c>
    </row>
    <row r="8" spans="1:9" x14ac:dyDescent="0.25">
      <c r="A8" s="116"/>
      <c r="B8" s="116"/>
      <c r="C8" s="116"/>
      <c r="D8" s="116"/>
      <c r="E8" s="116"/>
      <c r="F8" s="116"/>
      <c r="G8" s="116"/>
      <c r="H8" s="116"/>
      <c r="I8" s="116"/>
    </row>
    <row r="10" spans="1:9" x14ac:dyDescent="0.25">
      <c r="A10" s="1" t="s">
        <v>226</v>
      </c>
      <c r="G10" s="120">
        <v>0.1</v>
      </c>
      <c r="H10" s="243" t="s">
        <v>227</v>
      </c>
      <c r="I10" s="251">
        <f>+Kalkulationstool!$D$11/(1-Aufstockungsquoten!G10)-Kalkulationstool!$D$11</f>
        <v>0</v>
      </c>
    </row>
    <row r="11" spans="1:9" x14ac:dyDescent="0.25">
      <c r="A11" s="250" t="s">
        <v>228</v>
      </c>
      <c r="G11" s="120">
        <v>0.2</v>
      </c>
      <c r="H11" s="243" t="s">
        <v>227</v>
      </c>
      <c r="I11" s="251">
        <f>+Kalkulationstool!$D$11/(1-Aufstockungsquoten!G11)-Kalkulationstool!$D$11</f>
        <v>0</v>
      </c>
    </row>
    <row r="12" spans="1:9" x14ac:dyDescent="0.25">
      <c r="A12" s="250" t="s">
        <v>225</v>
      </c>
      <c r="G12" s="120">
        <v>0.3</v>
      </c>
      <c r="H12" s="243" t="s">
        <v>227</v>
      </c>
      <c r="I12" s="251">
        <f>+Kalkulationstool!$D$11/(1-Aufstockungsquoten!G12)-Kalkulationstool!$D$11</f>
        <v>0</v>
      </c>
    </row>
    <row r="13" spans="1:9" x14ac:dyDescent="0.25">
      <c r="G13" s="120">
        <v>0.4</v>
      </c>
      <c r="H13" s="243" t="s">
        <v>227</v>
      </c>
      <c r="I13" s="251">
        <f>+Kalkulationstool!$D$11/(1-Aufstockungsquoten!G13)-Kalkulationstool!$D$11</f>
        <v>0</v>
      </c>
    </row>
    <row r="14" spans="1:9" x14ac:dyDescent="0.25">
      <c r="G14" s="120">
        <v>0.5</v>
      </c>
      <c r="H14" s="243" t="s">
        <v>227</v>
      </c>
      <c r="I14" s="251">
        <f>+Kalkulationstool!$D$11/(1-Aufstockungsquoten!G14)-Kalkulationstool!$D$11</f>
        <v>0</v>
      </c>
    </row>
    <row r="15" spans="1:9" x14ac:dyDescent="0.25">
      <c r="G15" s="120">
        <v>0.6</v>
      </c>
      <c r="H15" s="243" t="s">
        <v>227</v>
      </c>
      <c r="I15" s="251">
        <f>+Kalkulationstool!$D$11/(1-Aufstockungsquoten!G15)-Kalkulationstool!$D$11</f>
        <v>0</v>
      </c>
    </row>
    <row r="16" spans="1:9" x14ac:dyDescent="0.25">
      <c r="G16" s="120">
        <v>0.7</v>
      </c>
      <c r="H16" s="243" t="s">
        <v>227</v>
      </c>
      <c r="I16" s="251">
        <f>+Kalkulationstool!$D$11/(1-Aufstockungsquoten!G16)-Kalkulationstool!$D$11</f>
        <v>0</v>
      </c>
    </row>
    <row r="17" spans="1:9" x14ac:dyDescent="0.25">
      <c r="G17" s="120">
        <v>0.8</v>
      </c>
      <c r="H17" s="243" t="s">
        <v>227</v>
      </c>
      <c r="I17" s="251">
        <f>+Kalkulationstool!$D$11/(1-Aufstockungsquoten!G17)-Kalkulationstool!$D$11</f>
        <v>0</v>
      </c>
    </row>
    <row r="18" spans="1:9" x14ac:dyDescent="0.25">
      <c r="G18" s="120">
        <v>0.9</v>
      </c>
      <c r="H18" s="243" t="s">
        <v>227</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229</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12" sqref="D12"/>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240</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181</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179</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44909.854944212966</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IF(AND(ISNUMBER(D7),ISNUMBER(D8),ISNUMBER(D9),ISNUMBER(D10)),IF(D7&gt;780,"",Background!P6),"")</f>
        <v/>
      </c>
      <c r="E20" s="87"/>
      <c r="F20" s="100"/>
      <c r="G20" s="82"/>
      <c r="H20" s="93" t="s">
        <v>219</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IF(ISNUMBER(D20),Background!P12,"")</f>
        <v/>
      </c>
      <c r="E26" s="264"/>
      <c r="F26" s="82"/>
      <c r="G26" s="82"/>
      <c r="H26" s="186" t="str">
        <f>IF(ISNUMBER(D20),Background!T12,"")</f>
        <v/>
      </c>
      <c r="I26" s="91" t="s">
        <v>220</v>
      </c>
      <c r="J26" s="82"/>
      <c r="K26" s="82"/>
      <c r="L26" s="82"/>
      <c r="M26" s="82"/>
      <c r="N26" s="82"/>
      <c r="O26" s="82"/>
      <c r="P26" s="82"/>
      <c r="Q26" s="82"/>
      <c r="R26" s="82"/>
    </row>
    <row r="27" spans="2:18" x14ac:dyDescent="0.25"/>
  </sheetData>
  <sheetProtection algorithmName="SHA-512" hashValue="iCFBxi0/PADkWcii3he9SJslmZnH25bIPU25iAHDhYsnHiCDQncI2teCMAPkNtf4xPnxqwv3cLmfUvo6I2TJfA==" saltValue="z9Y9iXlns4vlf8z+L1C9oQ==" spinCount="100000" sheet="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A1:F22"/>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171</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241</v>
      </c>
    </row>
    <row r="22" spans="2:6" ht="15" customHeight="1" x14ac:dyDescent="0.25"/>
  </sheetData>
  <sheetProtection algorithmName="SHA-512" hashValue="Jj1zoi8LMXLSYvcOr16BoNanpoVrFp2wnknYXanWVjsQ4Igeu6u/Gd6Uzj4CFE2C8F2YYxLOMMZUh2NrIgbO6g==" saltValue="5ap8O8NGeDobDfCH0Zf81g==" spinCount="100000" sheet="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7" sqref="B7"/>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214</v>
      </c>
      <c r="B2" s="70"/>
      <c r="C2" s="244"/>
      <c r="D2" s="244"/>
      <c r="E2" s="244"/>
      <c r="F2" s="244"/>
      <c r="G2" s="244"/>
      <c r="H2" s="244"/>
    </row>
    <row r="3" spans="1:8" s="1" customFormat="1" x14ac:dyDescent="0.25">
      <c r="A3" s="77" t="s">
        <v>205</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192</v>
      </c>
      <c r="B5" s="227"/>
      <c r="C5" s="228">
        <v>840</v>
      </c>
      <c r="D5" s="93" t="s">
        <v>195</v>
      </c>
      <c r="E5" s="228"/>
      <c r="F5" s="93"/>
      <c r="G5" s="93"/>
    </row>
    <row r="6" spans="1:8" x14ac:dyDescent="0.25">
      <c r="A6" s="100" t="s">
        <v>193</v>
      </c>
      <c r="B6" s="165"/>
      <c r="C6" s="229">
        <v>91</v>
      </c>
      <c r="D6" s="93" t="s">
        <v>196</v>
      </c>
      <c r="E6" s="229"/>
      <c r="F6" s="92"/>
      <c r="G6" s="93"/>
    </row>
    <row r="7" spans="1:8" x14ac:dyDescent="0.25">
      <c r="A7" s="100" t="s">
        <v>194</v>
      </c>
      <c r="B7" s="226"/>
      <c r="C7" s="230">
        <v>1</v>
      </c>
      <c r="D7" s="93" t="s">
        <v>221</v>
      </c>
      <c r="E7" s="230"/>
      <c r="F7" s="92"/>
      <c r="G7" s="93"/>
    </row>
    <row r="8" spans="1:8" x14ac:dyDescent="0.25"/>
    <row r="9" spans="1:8" x14ac:dyDescent="0.25"/>
    <row r="10" spans="1:8" s="5" customFormat="1" x14ac:dyDescent="0.25">
      <c r="A10" s="81"/>
      <c r="B10" s="237" t="s">
        <v>199</v>
      </c>
      <c r="C10" s="237"/>
      <c r="D10" s="237" t="s">
        <v>200</v>
      </c>
      <c r="E10" s="237"/>
      <c r="F10" s="237" t="s">
        <v>213</v>
      </c>
      <c r="G10" s="81"/>
      <c r="H10" s="247"/>
    </row>
    <row r="11" spans="1:8" x14ac:dyDescent="0.25">
      <c r="A11" s="155" t="s">
        <v>209</v>
      </c>
      <c r="B11" s="234" t="str">
        <f>IFERROR(+Wert_Kredit2!Wertbeitrag_Zielkondition,"")</f>
        <v/>
      </c>
      <c r="C11" s="82"/>
      <c r="D11" s="234" t="str">
        <f>IFERROR(+[0]!Wertbeitrag_Zielkondition,"")</f>
        <v/>
      </c>
      <c r="E11" s="82"/>
      <c r="F11" s="234" t="str">
        <f>IFERROR(+D11,"")</f>
        <v/>
      </c>
      <c r="G11" s="82"/>
    </row>
    <row r="12" spans="1:8" s="1" customFormat="1" x14ac:dyDescent="0.25">
      <c r="A12" s="155" t="s">
        <v>201</v>
      </c>
      <c r="B12" s="235">
        <f>IFERROR(Kalk_Kredit2!D10*B7*Kalk_RKV!B27,"")</f>
        <v>0</v>
      </c>
      <c r="C12" s="82"/>
      <c r="D12" s="235" t="str">
        <f>IFERROR(Kalkulationstool!D10*B7*Kalk_RKV!B27-Kalk_RKV!B7,"")</f>
        <v/>
      </c>
      <c r="E12" s="82"/>
      <c r="F12" s="235">
        <f>IFERROR(+B12,"")</f>
        <v>0</v>
      </c>
      <c r="G12" s="93" t="s">
        <v>207</v>
      </c>
      <c r="H12" s="244"/>
    </row>
    <row r="13" spans="1:8" x14ac:dyDescent="0.25">
      <c r="A13" s="82"/>
      <c r="B13" s="82"/>
      <c r="C13" s="82"/>
      <c r="D13" s="82"/>
      <c r="E13" s="82"/>
      <c r="F13" s="82"/>
      <c r="G13" s="82"/>
    </row>
    <row r="14" spans="1:8" s="1" customFormat="1" x14ac:dyDescent="0.25">
      <c r="A14" s="155" t="s">
        <v>210</v>
      </c>
      <c r="B14" s="234" t="str">
        <f>IFERROR(+B12+B11,"")</f>
        <v/>
      </c>
      <c r="C14" s="82"/>
      <c r="D14" s="234" t="str">
        <f>IFERROR(+D12+D11,"")</f>
        <v/>
      </c>
      <c r="E14" s="82"/>
      <c r="F14" s="234" t="str">
        <f>IFERROR(+F12+F11,"")</f>
        <v/>
      </c>
      <c r="G14" s="93" t="s">
        <v>203</v>
      </c>
      <c r="H14" s="244"/>
    </row>
    <row r="15" spans="1:8" x14ac:dyDescent="0.25">
      <c r="A15" s="245" t="s">
        <v>212</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199</v>
      </c>
      <c r="C18" s="237"/>
      <c r="D18" s="237" t="s">
        <v>200</v>
      </c>
      <c r="E18" s="237"/>
      <c r="F18" s="237" t="s">
        <v>213</v>
      </c>
      <c r="G18" s="81"/>
    </row>
    <row r="19" spans="1:8" x14ac:dyDescent="0.25">
      <c r="A19" s="155" t="s">
        <v>208</v>
      </c>
      <c r="B19" s="234" t="str">
        <f>IFERROR(+Wert_Kredit2!Wertbeitrag_vereinbarter_Effektivzins,"")</f>
        <v/>
      </c>
      <c r="C19" s="82"/>
      <c r="D19" s="234" t="str">
        <f>IFERROR(+[0]!Wertbeitrag_vereinbarter_Effektivzins,"")</f>
        <v/>
      </c>
      <c r="E19" s="82"/>
      <c r="F19" s="234" t="str">
        <f>IFERROR(+D19,"")</f>
        <v/>
      </c>
      <c r="G19" s="82"/>
    </row>
    <row r="20" spans="1:8" x14ac:dyDescent="0.25">
      <c r="A20" s="155" t="s">
        <v>201</v>
      </c>
      <c r="B20" s="235">
        <f>+B12</f>
        <v>0</v>
      </c>
      <c r="C20" s="82"/>
      <c r="D20" s="235" t="str">
        <f>+D12</f>
        <v/>
      </c>
      <c r="E20" s="82"/>
      <c r="F20" s="235">
        <f>+F12</f>
        <v>0</v>
      </c>
      <c r="G20" s="93" t="s">
        <v>207</v>
      </c>
    </row>
    <row r="21" spans="1:8" x14ac:dyDescent="0.25">
      <c r="A21" s="82"/>
      <c r="B21" s="82"/>
      <c r="C21" s="82"/>
      <c r="D21" s="82"/>
      <c r="E21" s="82"/>
      <c r="F21" s="82"/>
      <c r="G21" s="82"/>
    </row>
    <row r="22" spans="1:8" x14ac:dyDescent="0.25">
      <c r="A22" s="155" t="s">
        <v>211</v>
      </c>
      <c r="B22" s="234" t="str">
        <f>IFERROR(+B20+B19,"")</f>
        <v/>
      </c>
      <c r="C22" s="82"/>
      <c r="D22" s="234" t="str">
        <f>IFERROR(+D20+D19,"")</f>
        <v/>
      </c>
      <c r="E22" s="82"/>
      <c r="F22" s="234" t="str">
        <f>IFERROR(+F20+F19,"")</f>
        <v/>
      </c>
      <c r="G22" s="93" t="s">
        <v>204</v>
      </c>
    </row>
    <row r="23" spans="1:8" x14ac:dyDescent="0.25">
      <c r="A23" s="245" t="s">
        <v>212</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213</v>
      </c>
      <c r="G26" s="81"/>
      <c r="H26" s="247"/>
    </row>
    <row r="27" spans="1:8" s="1" customFormat="1" x14ac:dyDescent="0.25">
      <c r="A27" s="82" t="s">
        <v>230</v>
      </c>
      <c r="B27" s="82"/>
      <c r="C27" s="82"/>
      <c r="D27" s="82"/>
      <c r="E27" s="82"/>
      <c r="F27" s="249" t="str">
        <f>+IFERROR((Gesamtkreditbetrag-Eigenablösebetrag)/Gesamtkreditbetrag,"")</f>
        <v/>
      </c>
      <c r="G27" s="93" t="s">
        <v>231</v>
      </c>
      <c r="H27" s="244"/>
    </row>
    <row r="28" spans="1:8" s="255" customFormat="1" x14ac:dyDescent="0.25">
      <c r="A28" s="252" t="s">
        <v>232</v>
      </c>
      <c r="B28" s="253"/>
      <c r="C28" s="253"/>
      <c r="D28" s="253"/>
      <c r="E28" s="253"/>
      <c r="F28" s="254" t="str">
        <f>+IFERROR(Gesamtkreditbetrag-Eigenablösebetrag-Gesamtkreditbetrag*Aufstockungsquoten!I21,"")</f>
        <v/>
      </c>
      <c r="G28" s="93" t="s">
        <v>233</v>
      </c>
      <c r="H28" s="258"/>
    </row>
    <row r="29" spans="1:8" s="1" customFormat="1" x14ac:dyDescent="0.25">
      <c r="A29" s="81" t="s">
        <v>234</v>
      </c>
      <c r="B29" s="82"/>
      <c r="C29" s="82"/>
      <c r="D29" s="82"/>
      <c r="E29" s="82"/>
      <c r="F29" s="256" t="str">
        <f>+IFERROR(Aufstockungsquoten!I7,"")</f>
        <v/>
      </c>
      <c r="G29" s="93" t="s">
        <v>235</v>
      </c>
      <c r="H29" s="244"/>
    </row>
    <row r="30" spans="1:8" s="1" customFormat="1" x14ac:dyDescent="0.25">
      <c r="A30" s="82" t="s">
        <v>236</v>
      </c>
      <c r="B30" s="82"/>
      <c r="C30" s="82"/>
      <c r="D30" s="82"/>
      <c r="E30" s="82"/>
      <c r="F30" s="256" t="str">
        <f>+IFERROR(F29-(Gesamtkreditbetrag-Eigenablösebetrag),"")</f>
        <v/>
      </c>
      <c r="G30" s="93" t="s">
        <v>237</v>
      </c>
      <c r="H30" s="244"/>
    </row>
    <row r="31" spans="1:8" s="1" customFormat="1" x14ac:dyDescent="0.25">
      <c r="A31" s="81" t="s">
        <v>238</v>
      </c>
      <c r="B31" s="82"/>
      <c r="C31" s="82"/>
      <c r="D31" s="82"/>
      <c r="E31" s="82"/>
      <c r="F31" s="256" t="str">
        <f>+IFERROR(F30+Gesamtkreditbetrag,"")</f>
        <v/>
      </c>
      <c r="G31" s="93" t="s">
        <v>239</v>
      </c>
      <c r="H31" s="244"/>
    </row>
    <row r="32" spans="1:8" s="1" customFormat="1" x14ac:dyDescent="0.25">
      <c r="A32" s="244"/>
      <c r="B32" s="244"/>
      <c r="C32" s="244"/>
      <c r="D32" s="244"/>
      <c r="E32" s="244"/>
      <c r="F32" s="244"/>
      <c r="G32" s="244"/>
      <c r="H32" s="244"/>
    </row>
    <row r="33" spans="1:8" s="1" customFormat="1" x14ac:dyDescent="0.25">
      <c r="A33" s="257" t="s">
        <v>215</v>
      </c>
      <c r="B33" s="244"/>
      <c r="C33" s="244"/>
      <c r="D33" s="244"/>
      <c r="E33" s="244"/>
      <c r="F33" s="244"/>
      <c r="G33" s="244"/>
      <c r="H33" s="244"/>
    </row>
  </sheetData>
  <sheetProtection algorithmName="SHA-512" hashValue="/nffbkVlXtmh/i8Huza5eum3/2qPNzrkMIMXtF7vFODU7kUMYcHSLHvqOkKLrGSk35S/dcSClX8+wQEWrjvWwg==" saltValue="07hUAhFBEgmmp2TXSj7HYA=="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topLeftCell="B1" zoomScale="70" zoomScaleNormal="70" workbookViewId="0">
      <selection activeCell="D10" sqref="D1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143</v>
      </c>
      <c r="G3" s="265"/>
      <c r="H3" s="265"/>
      <c r="I3" s="265"/>
      <c r="J3" s="265"/>
      <c r="K3" s="265"/>
      <c r="L3" s="265"/>
      <c r="M3" s="265"/>
      <c r="N3" s="170"/>
      <c r="O3" s="170"/>
      <c r="P3" s="1"/>
      <c r="Q3" s="1"/>
      <c r="R3" s="1"/>
      <c r="S3" s="1"/>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SUM(L5:L139)</f>
        <v>#VALUE!</v>
      </c>
      <c r="O5" s="171"/>
      <c r="P5" s="1" t="s">
        <v>136</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IF(Kalkulationstool!D13="MoVe",0.85,1)</f>
        <v>1</v>
      </c>
      <c r="C18" s="120">
        <f>IF(Kalkulationstool!D13="MoVe",0.85,1)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IF(Kalkulationstool!D13="DVAG",3%*'Background WB vereinb'!C5,0)</f>
        <v>0</v>
      </c>
      <c r="C19" s="1">
        <f>IF(Kalkulationstool!D13="DVAG",3%*'Background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topLeftCell="A4" zoomScale="70" zoomScaleNormal="70" workbookViewId="0">
      <selection activeCell="B1" sqref="B1"/>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SUM(L5:L139)</f>
        <v>#DIV/0!</v>
      </c>
      <c r="N5" s="171"/>
      <c r="O5" s="171"/>
      <c r="P5" s="1" t="s">
        <v>136</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IF(Kalkulationstool!D13="MoVe",0.85,1)</f>
        <v>1</v>
      </c>
      <c r="C18" s="120">
        <f>IF(Kalkulationstool!D13="MoVe",0.85,1)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IF(Kalkulationstool!D13="DVAG",3%*'Background Produktkalk I'!C5,0)</f>
        <v>0</v>
      </c>
      <c r="C19" s="1">
        <f>IF(Kalkulationstool!D13="DVAG",3%*'Background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zoomScale="70" zoomScaleNormal="70" workbookViewId="0">
      <selection activeCell="I27" sqref="I27"/>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85</v>
      </c>
      <c r="AB2" s="265"/>
      <c r="AC2" s="265"/>
      <c r="AD2" s="265"/>
      <c r="AE2" s="265"/>
      <c r="AF2" s="265"/>
      <c r="AH2" s="265" t="s">
        <v>123</v>
      </c>
      <c r="AI2" s="265"/>
      <c r="AJ2" s="265"/>
      <c r="AK2" s="265"/>
      <c r="AL2" s="265"/>
      <c r="AM2" s="265"/>
      <c r="AN2" s="265"/>
      <c r="AO2" s="265"/>
      <c r="AP2" s="1"/>
      <c r="AQ2" s="1"/>
      <c r="AR2" s="265" t="s">
        <v>124</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86</v>
      </c>
      <c r="V3" s="266"/>
      <c r="W3" s="266"/>
      <c r="AB3" s="268" t="s">
        <v>87</v>
      </c>
      <c r="AC3" s="268"/>
      <c r="AD3" s="268"/>
      <c r="AE3" s="108"/>
      <c r="AF3" s="108"/>
      <c r="AI3" s="268" t="s">
        <v>87</v>
      </c>
      <c r="AJ3" s="268"/>
      <c r="AK3" s="268"/>
      <c r="AL3" s="108"/>
      <c r="AM3" s="108"/>
      <c r="AP3" s="1"/>
      <c r="AQ3" s="1"/>
      <c r="AR3" s="1"/>
      <c r="AS3" s="268" t="s">
        <v>87</v>
      </c>
      <c r="AT3" s="268"/>
      <c r="AU3" s="268"/>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69" t="s">
        <v>89</v>
      </c>
      <c r="AC4" s="269"/>
      <c r="AD4" s="1" t="s">
        <v>90</v>
      </c>
      <c r="AI4" s="269" t="s">
        <v>91</v>
      </c>
      <c r="AJ4" s="269"/>
      <c r="AK4" s="1" t="s">
        <v>90</v>
      </c>
      <c r="AP4" s="1"/>
      <c r="AQ4" s="1"/>
      <c r="AR4" s="1"/>
      <c r="AS4" s="269" t="s">
        <v>91</v>
      </c>
      <c r="AT4" s="269"/>
      <c r="AU4" s="1" t="s">
        <v>90</v>
      </c>
      <c r="AV4" s="1"/>
      <c r="AW4" s="1"/>
      <c r="AX4" s="1"/>
      <c r="AY4" s="1"/>
      <c r="AZ4" s="1"/>
    </row>
    <row r="5" spans="1:52" x14ac:dyDescent="0.25">
      <c r="A5" s="72">
        <v>16</v>
      </c>
      <c r="B5" s="73" t="s">
        <v>34</v>
      </c>
      <c r="D5" t="s">
        <v>6</v>
      </c>
      <c r="H5" s="270" t="s">
        <v>16</v>
      </c>
      <c r="I5" s="124">
        <v>0</v>
      </c>
      <c r="J5" s="3"/>
      <c r="K5" s="12">
        <v>-1.3</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71"/>
      <c r="I6" s="124">
        <v>5.01</v>
      </c>
      <c r="J6" s="2"/>
      <c r="K6" s="13">
        <v>-1.1000000000000001</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71"/>
      <c r="I7" s="124">
        <v>10.01</v>
      </c>
      <c r="J7" s="2"/>
      <c r="K7" s="13">
        <v>-0.9</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71"/>
      <c r="I8" s="124">
        <v>15.01</v>
      </c>
      <c r="J8" s="4"/>
      <c r="K8" s="13">
        <v>-0.7</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71"/>
      <c r="I9" s="124">
        <v>20.010000000000002</v>
      </c>
      <c r="J9" s="2"/>
      <c r="K9" s="13">
        <v>-0.5</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71"/>
      <c r="I10" s="124">
        <v>30.01</v>
      </c>
      <c r="J10" s="4"/>
      <c r="K10" s="13">
        <v>-0.3</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71"/>
      <c r="I11" s="124">
        <v>40.01</v>
      </c>
      <c r="J11" s="2"/>
      <c r="K11" s="13">
        <v>-0.1</v>
      </c>
      <c r="L11" s="120">
        <v>41</v>
      </c>
      <c r="N11" s="277" t="s">
        <v>22</v>
      </c>
      <c r="O11" s="202" t="s">
        <v>174</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71"/>
      <c r="I12" s="124">
        <v>50.01</v>
      </c>
      <c r="J12" s="4"/>
      <c r="K12" s="13">
        <v>0</v>
      </c>
      <c r="L12" s="120">
        <v>51</v>
      </c>
      <c r="N12" s="278"/>
      <c r="O12" s="207" t="s">
        <v>175</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71"/>
      <c r="I13" s="124">
        <v>60.01</v>
      </c>
      <c r="J13" s="2"/>
      <c r="K13" s="13">
        <v>0.1</v>
      </c>
      <c r="L13" s="120">
        <v>61</v>
      </c>
      <c r="N13" s="278"/>
      <c r="O13" s="29" t="s">
        <v>176</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71"/>
      <c r="I14" s="124">
        <v>70.010000000000005</v>
      </c>
      <c r="J14" s="4"/>
      <c r="K14" s="13">
        <v>0.3</v>
      </c>
      <c r="L14" s="120">
        <v>71</v>
      </c>
      <c r="N14" s="279"/>
      <c r="O14" s="196" t="s">
        <v>177</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71"/>
      <c r="I15" s="124">
        <v>80.010000000000005</v>
      </c>
      <c r="J15" s="4"/>
      <c r="K15" s="13">
        <v>0.5</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71"/>
      <c r="I16" s="124">
        <v>90.01</v>
      </c>
      <c r="J16" s="4"/>
      <c r="K16" s="13">
        <v>0.7</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71"/>
      <c r="I17" s="124">
        <v>100.01</v>
      </c>
      <c r="J17" s="4"/>
      <c r="K17" s="13">
        <v>1</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71"/>
      <c r="I18" s="124">
        <v>125.01</v>
      </c>
      <c r="J18" s="4"/>
      <c r="K18" s="13">
        <v>1.2</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71"/>
      <c r="I19" s="124">
        <v>150.01</v>
      </c>
      <c r="J19" s="4"/>
      <c r="K19" s="13">
        <v>1.4</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71"/>
      <c r="I20" s="125">
        <v>175.01</v>
      </c>
      <c r="J20" s="6"/>
      <c r="K20" s="15">
        <v>1.6</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71"/>
      <c r="I21" s="125">
        <v>200.01</v>
      </c>
      <c r="J21" s="6"/>
      <c r="K21" s="15">
        <v>1.8</v>
      </c>
      <c r="L21" s="120">
        <v>201</v>
      </c>
      <c r="N21" s="143"/>
      <c r="O21" s="144"/>
      <c r="P21" s="148"/>
      <c r="U21" s="1" t="s">
        <v>104</v>
      </c>
      <c r="V21" s="1">
        <f>W6+V16</f>
        <v>0</v>
      </c>
      <c r="AA21" s="269" t="s">
        <v>105</v>
      </c>
      <c r="AB21" s="269"/>
      <c r="AC21" s="1">
        <f>LOOKUP(V16,AA5:AA13,AD5:AD13)</f>
        <v>0</v>
      </c>
      <c r="AH21" s="269" t="s">
        <v>106</v>
      </c>
      <c r="AI21" s="269"/>
      <c r="AJ21" s="1">
        <f>IF(ISERROR(LOOKUP(V18,AH5:AH17,AK5:AK17)),0,LOOKUP(V18,AH5:AH17,AK5:AK17))</f>
        <v>0</v>
      </c>
      <c r="AO21" s="76"/>
      <c r="AP21" s="1"/>
      <c r="AQ21" s="1"/>
      <c r="AR21" s="269" t="s">
        <v>106</v>
      </c>
      <c r="AS21" s="269"/>
      <c r="AT21" s="1">
        <f>IF(ISERROR(LOOKUP(V18,AR5:AR17,AU5:AU17)),0,LOOKUP(V18,AR5:AR17,AU5:AU17))</f>
        <v>0</v>
      </c>
      <c r="AU21" s="1"/>
      <c r="AV21" s="1"/>
      <c r="AW21" s="1"/>
      <c r="AX21" s="1"/>
      <c r="AY21" s="76"/>
      <c r="AZ21" s="1"/>
    </row>
    <row r="22" spans="1:52" x14ac:dyDescent="0.25">
      <c r="A22" s="52">
        <v>401</v>
      </c>
      <c r="B22" s="73" t="s">
        <v>51</v>
      </c>
      <c r="H22" s="271"/>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71"/>
      <c r="I23" s="125">
        <v>300.01</v>
      </c>
      <c r="J23" s="6"/>
      <c r="K23" s="15">
        <v>2.6</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71"/>
      <c r="I24" s="126">
        <v>350.01</v>
      </c>
      <c r="J24" s="1"/>
      <c r="K24" s="15">
        <v>2.8</v>
      </c>
      <c r="L24" s="120">
        <v>351</v>
      </c>
      <c r="U24" s="136" t="s">
        <v>121</v>
      </c>
      <c r="V24" s="138" t="e">
        <f>V23-W5</f>
        <v>#DIV/0!</v>
      </c>
      <c r="AP24" s="1"/>
      <c r="AQ24" s="1"/>
      <c r="AR24" s="1"/>
      <c r="AS24" s="1"/>
      <c r="AT24" s="1"/>
      <c r="AU24" s="1"/>
      <c r="AV24" s="1"/>
      <c r="AW24" s="1"/>
      <c r="AX24" s="1"/>
      <c r="AY24" s="1"/>
      <c r="AZ24" s="1"/>
    </row>
    <row r="25" spans="1:52" x14ac:dyDescent="0.25">
      <c r="H25" s="271"/>
      <c r="I25" s="126">
        <v>400.01</v>
      </c>
      <c r="J25" s="1"/>
      <c r="K25" s="15">
        <v>3</v>
      </c>
      <c r="L25" s="120">
        <v>401</v>
      </c>
      <c r="U25" s="139" t="s">
        <v>122</v>
      </c>
      <c r="V25" s="140" t="e">
        <f>AZ29+AT22</f>
        <v>#DIV/0!</v>
      </c>
      <c r="AA25" s="276" t="s">
        <v>107</v>
      </c>
      <c r="AB25" s="276"/>
      <c r="AC25" s="276"/>
      <c r="AD25" s="276"/>
      <c r="AE25" s="276"/>
      <c r="AF25" s="276"/>
      <c r="AH25" s="267" t="s">
        <v>108</v>
      </c>
      <c r="AI25" s="267"/>
      <c r="AJ25" s="267"/>
      <c r="AK25" s="267"/>
      <c r="AL25" s="267"/>
      <c r="AM25" s="267"/>
      <c r="AN25" s="267"/>
      <c r="AO25" s="267"/>
      <c r="AP25" s="1"/>
      <c r="AQ25" s="1"/>
      <c r="AR25" s="267" t="s">
        <v>108</v>
      </c>
      <c r="AS25" s="267"/>
      <c r="AT25" s="267"/>
      <c r="AU25" s="267"/>
      <c r="AV25" s="267"/>
      <c r="AW25" s="267"/>
      <c r="AX25" s="267"/>
      <c r="AY25" s="267"/>
      <c r="AZ25" s="1"/>
    </row>
    <row r="26" spans="1:52" s="1" customFormat="1" ht="15.75" thickBot="1" x14ac:dyDescent="0.3">
      <c r="H26" s="127"/>
      <c r="I26" s="126">
        <v>999.01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72"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3"/>
      <c r="I28" s="102">
        <v>9.9999999999999995E-7</v>
      </c>
      <c r="J28" s="48"/>
      <c r="K28" s="15">
        <v>0.1</v>
      </c>
      <c r="L28" s="1"/>
      <c r="AA28" s="1" t="s">
        <v>109</v>
      </c>
      <c r="AF28" s="120" t="e">
        <f>SUM(AF30:AF150)</f>
        <v>#DIV/0!</v>
      </c>
      <c r="AJ28" s="1" t="s">
        <v>109</v>
      </c>
      <c r="AO28" s="120" t="e">
        <f>SUM(AO30:AO163)</f>
        <v>#DIV/0!</v>
      </c>
      <c r="AP28" s="1"/>
      <c r="AQ28" s="1"/>
      <c r="AR28" s="1"/>
      <c r="AS28" s="1"/>
      <c r="AT28" s="1" t="s">
        <v>109</v>
      </c>
      <c r="AU28" s="1"/>
      <c r="AV28" s="1"/>
      <c r="AW28" s="1"/>
      <c r="AX28" s="1"/>
      <c r="AY28" s="120" t="e">
        <f>SUM(AY30:AY163)</f>
        <v>#DIV/0!</v>
      </c>
      <c r="AZ28" s="1"/>
    </row>
    <row r="29" spans="1:52" x14ac:dyDescent="0.25">
      <c r="H29" s="273"/>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3"/>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3"/>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4"/>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71"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71"/>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71"/>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71"/>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5"/>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 ref="AR25:AY25"/>
    <mergeCell ref="AR2:AY2"/>
    <mergeCell ref="AS3:AU3"/>
    <mergeCell ref="AS4:AT4"/>
    <mergeCell ref="AR21:AS21"/>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7" sqref="D7"/>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183</v>
      </c>
      <c r="C2" s="70"/>
      <c r="D2" s="70"/>
      <c r="E2" s="67"/>
      <c r="F2" s="67"/>
      <c r="G2" s="67"/>
    </row>
    <row r="3" spans="2:18" ht="5.0999999999999996" hidden="1" customHeight="1" x14ac:dyDescent="0.25">
      <c r="B3" s="67"/>
      <c r="C3" s="67"/>
      <c r="D3" s="70"/>
      <c r="E3" s="70"/>
      <c r="F3" s="67"/>
      <c r="G3" s="67"/>
      <c r="H3" s="67"/>
    </row>
    <row r="4" spans="2:18" x14ac:dyDescent="0.25">
      <c r="B4" s="220" t="s">
        <v>187</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185</v>
      </c>
      <c r="I7" s="82"/>
      <c r="J7" s="82"/>
      <c r="K7" s="82"/>
      <c r="L7" s="82"/>
      <c r="M7" s="82"/>
      <c r="N7" s="82"/>
      <c r="O7" s="82"/>
      <c r="P7" s="82"/>
      <c r="Q7" s="82"/>
      <c r="R7" s="82"/>
    </row>
    <row r="8" spans="2:18" x14ac:dyDescent="0.25">
      <c r="B8" s="82" t="s">
        <v>59</v>
      </c>
      <c r="C8" s="82"/>
      <c r="D8" s="223">
        <f>Kalkulationstool!D8</f>
        <v>0</v>
      </c>
      <c r="E8" s="82"/>
      <c r="F8" s="92"/>
      <c r="G8" s="93"/>
      <c r="H8" s="93" t="s">
        <v>185</v>
      </c>
      <c r="I8" s="82"/>
      <c r="J8" s="82"/>
      <c r="K8" s="82"/>
      <c r="L8" s="82"/>
      <c r="M8" s="82"/>
      <c r="N8" s="82"/>
      <c r="O8" s="82"/>
      <c r="P8" s="82"/>
      <c r="Q8" s="82"/>
      <c r="R8" s="82"/>
    </row>
    <row r="9" spans="2:18" x14ac:dyDescent="0.25">
      <c r="B9" s="82" t="s">
        <v>62</v>
      </c>
      <c r="C9" s="82"/>
      <c r="D9" s="223">
        <f>Kalkulationstool!D9</f>
        <v>0</v>
      </c>
      <c r="E9" s="85"/>
      <c r="F9" s="92"/>
      <c r="G9" s="93"/>
      <c r="H9" s="93" t="s">
        <v>185</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184</v>
      </c>
      <c r="I10" s="82"/>
      <c r="J10" s="82"/>
      <c r="K10" s="82"/>
      <c r="L10" s="82"/>
      <c r="M10" s="82"/>
      <c r="N10" s="82"/>
      <c r="O10" s="82"/>
      <c r="P10" s="82"/>
      <c r="Q10" s="82"/>
      <c r="R10" s="82"/>
    </row>
    <row r="11" spans="2:18" x14ac:dyDescent="0.25">
      <c r="B11" s="82" t="s">
        <v>63</v>
      </c>
      <c r="C11" s="82"/>
      <c r="D11" s="224">
        <v>0</v>
      </c>
      <c r="E11" s="86"/>
      <c r="F11" s="94"/>
      <c r="G11" s="93"/>
      <c r="H11" s="93" t="s">
        <v>182</v>
      </c>
      <c r="I11" s="82"/>
      <c r="J11" s="82"/>
      <c r="K11" s="82"/>
      <c r="L11" s="82"/>
      <c r="M11" s="82"/>
      <c r="N11" s="82"/>
      <c r="O11" s="82"/>
      <c r="P11" s="82"/>
      <c r="Q11" s="82"/>
      <c r="R11" s="82"/>
    </row>
    <row r="12" spans="2:18" x14ac:dyDescent="0.25">
      <c r="B12" s="82" t="s">
        <v>64</v>
      </c>
      <c r="C12" s="82"/>
      <c r="D12" s="224">
        <f>Kalkulationstool!D12</f>
        <v>0</v>
      </c>
      <c r="E12" s="86"/>
      <c r="F12" s="94"/>
      <c r="G12" s="93"/>
      <c r="H12" s="93" t="s">
        <v>185</v>
      </c>
      <c r="I12" s="82"/>
      <c r="J12" s="82"/>
      <c r="K12" s="82"/>
      <c r="L12" s="82"/>
      <c r="M12" s="82"/>
      <c r="N12" s="82"/>
      <c r="O12" s="82"/>
      <c r="P12" s="82"/>
      <c r="Q12" s="82"/>
      <c r="R12" s="82"/>
    </row>
    <row r="13" spans="2:18" x14ac:dyDescent="0.25">
      <c r="B13" s="82" t="s">
        <v>12</v>
      </c>
      <c r="C13" s="82"/>
      <c r="D13" s="223" t="str">
        <f>Kalkulationstool!D13</f>
        <v>-</v>
      </c>
      <c r="E13" s="85"/>
      <c r="F13" s="92"/>
      <c r="G13" s="93"/>
      <c r="H13" s="93" t="s">
        <v>185</v>
      </c>
      <c r="I13" s="82"/>
      <c r="J13" s="82"/>
      <c r="K13" s="82"/>
      <c r="L13" s="82"/>
      <c r="M13" s="82"/>
      <c r="N13" s="82"/>
      <c r="O13" s="82"/>
      <c r="P13" s="82"/>
      <c r="Q13" s="82"/>
      <c r="R13" s="82"/>
    </row>
    <row r="14" spans="2:18" x14ac:dyDescent="0.25">
      <c r="B14" s="82" t="s">
        <v>60</v>
      </c>
      <c r="C14" s="82"/>
      <c r="D14" s="225">
        <f>Kalkulationstool!D14</f>
        <v>0</v>
      </c>
      <c r="E14" s="85"/>
      <c r="F14" s="92"/>
      <c r="G14" s="93"/>
      <c r="H14" s="93" t="s">
        <v>185</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44909.854944212966</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2"/>
  <sheetViews>
    <sheetView showGridLines="0" zoomScaleNormal="100" workbookViewId="0">
      <selection activeCell="B1" sqref="B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187</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216</v>
      </c>
    </row>
    <row r="6" spans="2:6" x14ac:dyDescent="0.25">
      <c r="B6" s="150" t="s">
        <v>158</v>
      </c>
      <c r="C6" s="164" t="e">
        <f>IF(C5&gt;0,ROUND(NOMINAL(C5,12),4),"")</f>
        <v>#DIV/0!</v>
      </c>
      <c r="D6" s="151"/>
      <c r="E6" s="152"/>
      <c r="F6" s="93" t="s">
        <v>216</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186</v>
      </c>
    </row>
    <row r="10" spans="2:6" x14ac:dyDescent="0.25">
      <c r="B10" s="100" t="s">
        <v>141</v>
      </c>
      <c r="C10" s="163"/>
      <c r="D10" s="146"/>
      <c r="E10" s="92"/>
      <c r="F10" s="93" t="s">
        <v>186</v>
      </c>
    </row>
    <row r="11" spans="2:6" x14ac:dyDescent="0.25">
      <c r="B11" s="100" t="s">
        <v>159</v>
      </c>
      <c r="C11" s="163"/>
      <c r="D11" s="92"/>
      <c r="E11" s="92"/>
      <c r="F11" s="93" t="s">
        <v>186</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41</vt:i4>
      </vt:variant>
    </vt:vector>
  </HeadingPairs>
  <TitlesOfParts>
    <vt:vector size="55"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Kerstin Stein</cp:lastModifiedBy>
  <cp:lastPrinted>2022-04-28T17:38:37Z</cp:lastPrinted>
  <dcterms:created xsi:type="dcterms:W3CDTF">2020-07-10T16:06:57Z</dcterms:created>
  <dcterms:modified xsi:type="dcterms:W3CDTF">2022-12-14T19:31:18Z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2022-12-14T19:31:00Z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91be408d-9a94-4488-81c8-325bbec1dd77</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