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sPecT\Documents\Appline_Study\прочее\"/>
    </mc:Choice>
  </mc:AlternateContent>
  <bookViews>
    <workbookView xWindow="0" yWindow="0" windowWidth="6885" windowHeight="6330" tabRatio="775"/>
  </bookViews>
  <sheets>
    <sheet name="Расчетная таблица" sheetId="1" r:id="rId1"/>
    <sheet name="Транзакции в профилях" sheetId="2" r:id="rId2"/>
    <sheet name="Итоги расчета" sheetId="3" r:id="rId3"/>
    <sheet name="import Summary Report" sheetId="4" r:id="rId4"/>
    <sheet name="Проверка ступени масимум" sheetId="5" r:id="rId5"/>
  </sheets>
  <definedNames>
    <definedName name="_xlnm._FilterDatabase" localSheetId="1" hidden="1">'Транзакции в профилях'!$A$3:$M$39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5" i="1"/>
  <c r="H25" i="2" l="1"/>
  <c r="E25" i="2"/>
  <c r="H41" i="2"/>
  <c r="E41" i="2"/>
  <c r="H40" i="2"/>
  <c r="E40" i="2"/>
  <c r="L25" i="1"/>
  <c r="I9" i="1"/>
  <c r="H33" i="2"/>
  <c r="I8" i="1"/>
  <c r="I7" i="1"/>
  <c r="I6" i="1"/>
  <c r="H35" i="2"/>
  <c r="E35" i="2"/>
  <c r="E34" i="2"/>
  <c r="E33" i="2"/>
  <c r="E32" i="2"/>
  <c r="H32" i="2" l="1"/>
  <c r="H34" i="2"/>
  <c r="G119" i="5"/>
  <c r="F119" i="5"/>
  <c r="E119" i="5"/>
  <c r="D119" i="5"/>
  <c r="C119" i="5"/>
  <c r="O104" i="5"/>
  <c r="G120" i="5"/>
  <c r="F120" i="5"/>
  <c r="E120" i="5"/>
  <c r="C120" i="5"/>
  <c r="U118" i="5"/>
  <c r="S118" i="5"/>
  <c r="Q118" i="5"/>
  <c r="V117" i="5"/>
  <c r="R117" i="5"/>
  <c r="U116" i="5"/>
  <c r="S116" i="5"/>
  <c r="Q116" i="5"/>
  <c r="U114" i="5"/>
  <c r="S114" i="5"/>
  <c r="Q114" i="5"/>
  <c r="V113" i="5"/>
  <c r="R113" i="5"/>
  <c r="U112" i="5"/>
  <c r="S112" i="5"/>
  <c r="Q112" i="5"/>
  <c r="U110" i="5"/>
  <c r="S110" i="5"/>
  <c r="Q110" i="5"/>
  <c r="V109" i="5"/>
  <c r="R109" i="5"/>
  <c r="U108" i="5"/>
  <c r="S108" i="5"/>
  <c r="Q108" i="5"/>
  <c r="U106" i="5"/>
  <c r="S106" i="5"/>
  <c r="Q106" i="5"/>
  <c r="V105" i="5"/>
  <c r="R105" i="5"/>
  <c r="U104" i="5"/>
  <c r="S104" i="5"/>
  <c r="Q104" i="5"/>
  <c r="Q103" i="5"/>
  <c r="R103" i="5"/>
  <c r="S103" i="5"/>
  <c r="T103" i="5"/>
  <c r="U103" i="5"/>
  <c r="V103" i="5"/>
  <c r="R104" i="5"/>
  <c r="T104" i="5"/>
  <c r="V104" i="5"/>
  <c r="Q105" i="5"/>
  <c r="S105" i="5"/>
  <c r="T105" i="5"/>
  <c r="U105" i="5"/>
  <c r="R106" i="5"/>
  <c r="T106" i="5"/>
  <c r="V106" i="5"/>
  <c r="Q107" i="5"/>
  <c r="R107" i="5"/>
  <c r="S107" i="5"/>
  <c r="T107" i="5"/>
  <c r="U107" i="5"/>
  <c r="V107" i="5"/>
  <c r="R108" i="5"/>
  <c r="T108" i="5"/>
  <c r="V108" i="5"/>
  <c r="Q109" i="5"/>
  <c r="S109" i="5"/>
  <c r="T109" i="5"/>
  <c r="U109" i="5"/>
  <c r="R110" i="5"/>
  <c r="T110" i="5"/>
  <c r="V110" i="5"/>
  <c r="Q111" i="5"/>
  <c r="R111" i="5"/>
  <c r="S111" i="5"/>
  <c r="T111" i="5"/>
  <c r="U111" i="5"/>
  <c r="V111" i="5"/>
  <c r="R112" i="5"/>
  <c r="T112" i="5"/>
  <c r="V112" i="5"/>
  <c r="Q113" i="5"/>
  <c r="S113" i="5"/>
  <c r="T113" i="5"/>
  <c r="U113" i="5"/>
  <c r="R114" i="5"/>
  <c r="T114" i="5"/>
  <c r="V114" i="5"/>
  <c r="Q115" i="5"/>
  <c r="R115" i="5"/>
  <c r="S115" i="5"/>
  <c r="T115" i="5"/>
  <c r="U115" i="5"/>
  <c r="V115" i="5"/>
  <c r="R116" i="5"/>
  <c r="T116" i="5"/>
  <c r="V116" i="5"/>
  <c r="Q117" i="5"/>
  <c r="S117" i="5"/>
  <c r="T117" i="5"/>
  <c r="U117" i="5"/>
  <c r="R118" i="5"/>
  <c r="T118" i="5"/>
  <c r="V118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03" i="5"/>
  <c r="D120" i="5"/>
  <c r="C60" i="5"/>
  <c r="G60" i="5"/>
  <c r="F60" i="5"/>
  <c r="E60" i="5"/>
  <c r="D60" i="5"/>
  <c r="O103" i="5"/>
  <c r="O65" i="5"/>
  <c r="P65" i="5" s="1"/>
  <c r="O64" i="5"/>
  <c r="P64" i="5" s="1"/>
  <c r="O44" i="5"/>
  <c r="P44" i="5" s="1"/>
  <c r="O43" i="5"/>
  <c r="P43" i="5" s="1"/>
  <c r="G38" i="5" l="1"/>
  <c r="G37" i="5"/>
  <c r="G36" i="5"/>
  <c r="G35" i="5"/>
  <c r="G34" i="5"/>
  <c r="G33" i="5"/>
  <c r="G32" i="5"/>
  <c r="G31" i="5"/>
  <c r="G30" i="5"/>
  <c r="G29" i="5"/>
  <c r="D30" i="5"/>
  <c r="D31" i="5"/>
  <c r="D32" i="5"/>
  <c r="D33" i="5"/>
  <c r="D34" i="5"/>
  <c r="D35" i="5"/>
  <c r="D36" i="5"/>
  <c r="D37" i="5"/>
  <c r="D38" i="5"/>
  <c r="D29" i="5"/>
  <c r="H35" i="5"/>
  <c r="H29" i="5"/>
  <c r="H30" i="5"/>
  <c r="H31" i="5"/>
  <c r="H32" i="5"/>
  <c r="H33" i="5"/>
  <c r="H34" i="5"/>
  <c r="H36" i="5"/>
  <c r="H37" i="5"/>
  <c r="H38" i="5"/>
  <c r="H100" i="5"/>
  <c r="P85" i="5"/>
  <c r="E30" i="5"/>
  <c r="E31" i="5"/>
  <c r="E32" i="5"/>
  <c r="E33" i="5"/>
  <c r="E34" i="5"/>
  <c r="E35" i="5"/>
  <c r="E36" i="5"/>
  <c r="E37" i="5"/>
  <c r="E38" i="5"/>
  <c r="E29" i="5"/>
  <c r="O11" i="5"/>
  <c r="O10" i="5"/>
  <c r="O9" i="5"/>
  <c r="O8" i="5"/>
  <c r="O7" i="5"/>
  <c r="O6" i="5"/>
  <c r="I13" i="1"/>
  <c r="E39" i="5" l="1"/>
  <c r="O12" i="5"/>
  <c r="L24" i="5"/>
  <c r="M24" i="5"/>
  <c r="N24" i="5"/>
  <c r="G24" i="5"/>
  <c r="F24" i="5"/>
  <c r="O23" i="5"/>
  <c r="H23" i="5"/>
  <c r="J23" i="5" s="1"/>
  <c r="D23" i="5"/>
  <c r="E23" i="5" s="1"/>
  <c r="O22" i="5"/>
  <c r="H22" i="5"/>
  <c r="J22" i="5" s="1"/>
  <c r="P22" i="5" s="1"/>
  <c r="D22" i="5"/>
  <c r="E22" i="5" s="1"/>
  <c r="O21" i="5"/>
  <c r="H21" i="5"/>
  <c r="J21" i="5" s="1"/>
  <c r="D21" i="5"/>
  <c r="E21" i="5" s="1"/>
  <c r="O20" i="5"/>
  <c r="H20" i="5"/>
  <c r="J20" i="5" s="1"/>
  <c r="D20" i="5"/>
  <c r="E20" i="5" s="1"/>
  <c r="O19" i="5"/>
  <c r="H19" i="5"/>
  <c r="J19" i="5" s="1"/>
  <c r="D19" i="5"/>
  <c r="E19" i="5" s="1"/>
  <c r="O18" i="5"/>
  <c r="H18" i="5"/>
  <c r="J18" i="5" s="1"/>
  <c r="P18" i="5" s="1"/>
  <c r="D18" i="5"/>
  <c r="E18" i="5" s="1"/>
  <c r="P21" i="5" l="1"/>
  <c r="P19" i="5"/>
  <c r="P20" i="5"/>
  <c r="O24" i="5"/>
  <c r="O25" i="5" s="1"/>
  <c r="P23" i="5"/>
  <c r="E24" i="5"/>
  <c r="J24" i="5"/>
  <c r="H24" i="5"/>
  <c r="F13" i="5"/>
  <c r="N12" i="5"/>
  <c r="M12" i="5"/>
  <c r="L12" i="5"/>
  <c r="G12" i="5"/>
  <c r="F12" i="5"/>
  <c r="H11" i="5"/>
  <c r="J11" i="5" s="1"/>
  <c r="P11" i="5" s="1"/>
  <c r="D11" i="5"/>
  <c r="E11" i="5" s="1"/>
  <c r="H10" i="5"/>
  <c r="J10" i="5" s="1"/>
  <c r="D10" i="5"/>
  <c r="E10" i="5" s="1"/>
  <c r="H9" i="5"/>
  <c r="J9" i="5" s="1"/>
  <c r="D9" i="5"/>
  <c r="E9" i="5" s="1"/>
  <c r="K8" i="5"/>
  <c r="H8" i="5"/>
  <c r="J8" i="5" s="1"/>
  <c r="D8" i="5"/>
  <c r="E8" i="5" s="1"/>
  <c r="H7" i="5"/>
  <c r="J7" i="5" s="1"/>
  <c r="D7" i="5"/>
  <c r="E7" i="5" s="1"/>
  <c r="H6" i="5"/>
  <c r="D6" i="5"/>
  <c r="E6" i="5" s="1"/>
  <c r="N16" i="4"/>
  <c r="N12" i="4"/>
  <c r="N8" i="4"/>
  <c r="N4" i="4"/>
  <c r="N3" i="4"/>
  <c r="N5" i="4"/>
  <c r="N6" i="4"/>
  <c r="N7" i="4"/>
  <c r="N9" i="4"/>
  <c r="N10" i="4"/>
  <c r="N11" i="4"/>
  <c r="N13" i="4"/>
  <c r="N14" i="4"/>
  <c r="N15" i="4"/>
  <c r="N17" i="4"/>
  <c r="N18" i="4"/>
  <c r="N19" i="4"/>
  <c r="P24" i="5" l="1"/>
  <c r="K19" i="5"/>
  <c r="K18" i="5"/>
  <c r="K23" i="5"/>
  <c r="K22" i="5"/>
  <c r="K21" i="5"/>
  <c r="K20" i="5"/>
  <c r="P8" i="5"/>
  <c r="P7" i="5"/>
  <c r="P10" i="5"/>
  <c r="H39" i="5"/>
  <c r="O13" i="5"/>
  <c r="P9" i="5"/>
  <c r="K9" i="5"/>
  <c r="H12" i="5"/>
  <c r="K10" i="5"/>
  <c r="K6" i="5"/>
  <c r="E12" i="5"/>
  <c r="J6" i="5"/>
  <c r="K7" i="5"/>
  <c r="K11" i="5"/>
  <c r="K24" i="5" l="1"/>
  <c r="J12" i="5"/>
  <c r="P6" i="5"/>
  <c r="P12" i="5" s="1"/>
  <c r="K12" i="5"/>
  <c r="D6" i="1"/>
  <c r="D10" i="1" l="1"/>
  <c r="H5" i="3" l="1"/>
  <c r="B24" i="3"/>
  <c r="C24" i="3"/>
  <c r="E24" i="3" s="1"/>
  <c r="B6" i="3"/>
  <c r="C6" i="3"/>
  <c r="H6" i="3" s="1"/>
  <c r="B7" i="3"/>
  <c r="C7" i="3"/>
  <c r="H7" i="3" s="1"/>
  <c r="B8" i="3"/>
  <c r="C8" i="3"/>
  <c r="H8" i="3" s="1"/>
  <c r="B9" i="3"/>
  <c r="C9" i="3"/>
  <c r="H9" i="3" s="1"/>
  <c r="B10" i="3"/>
  <c r="C10" i="3"/>
  <c r="H10" i="3" s="1"/>
  <c r="B11" i="3"/>
  <c r="C11" i="3"/>
  <c r="H11" i="3" s="1"/>
  <c r="B12" i="3"/>
  <c r="C12" i="3"/>
  <c r="H12" i="3" s="1"/>
  <c r="B13" i="3"/>
  <c r="C13" i="3"/>
  <c r="H13" i="3" s="1"/>
  <c r="B14" i="3"/>
  <c r="C14" i="3"/>
  <c r="H14" i="3" s="1"/>
  <c r="C5" i="3"/>
  <c r="B5" i="3"/>
  <c r="H15" i="3" l="1"/>
  <c r="D9" i="1"/>
  <c r="D8" i="1"/>
  <c r="D7" i="1"/>
  <c r="D5" i="1"/>
  <c r="M11" i="1"/>
  <c r="N11" i="1"/>
  <c r="L11" i="1"/>
  <c r="H37" i="2"/>
  <c r="E37" i="2"/>
  <c r="H39" i="2" l="1"/>
  <c r="H38" i="2"/>
  <c r="E39" i="2"/>
  <c r="E38" i="2"/>
  <c r="G11" i="1" l="1"/>
  <c r="H8" i="2"/>
  <c r="E8" i="2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E15" i="3"/>
  <c r="D5" i="3"/>
  <c r="I5" i="3" s="1"/>
  <c r="C23" i="3"/>
  <c r="E23" i="3" s="1"/>
  <c r="B23" i="3"/>
  <c r="C22" i="3"/>
  <c r="E22" i="3" s="1"/>
  <c r="B22" i="3"/>
  <c r="C21" i="3"/>
  <c r="E21" i="3" s="1"/>
  <c r="B21" i="3"/>
  <c r="C20" i="3"/>
  <c r="E20" i="3" s="1"/>
  <c r="B20" i="3"/>
  <c r="C19" i="3"/>
  <c r="E19" i="3" s="1"/>
  <c r="E25" i="3" s="1"/>
  <c r="E27" i="3" s="1"/>
  <c r="B19" i="3"/>
  <c r="K10" i="1" l="1"/>
  <c r="B32" i="1"/>
  <c r="B33" i="1" s="1"/>
  <c r="B34" i="1" s="1"/>
  <c r="B35" i="1" s="1"/>
  <c r="I15" i="3"/>
  <c r="D27" i="1"/>
  <c r="H16" i="2"/>
  <c r="E16" i="2"/>
  <c r="D15" i="3" l="1"/>
  <c r="E18" i="1"/>
  <c r="E6" i="3" s="1"/>
  <c r="E22" i="1"/>
  <c r="E10" i="3" s="1"/>
  <c r="E26" i="1"/>
  <c r="E14" i="3" s="1"/>
  <c r="E19" i="1"/>
  <c r="E7" i="3" s="1"/>
  <c r="E23" i="1"/>
  <c r="E11" i="3" s="1"/>
  <c r="E17" i="1"/>
  <c r="E20" i="1"/>
  <c r="E8" i="3" s="1"/>
  <c r="E24" i="1"/>
  <c r="E12" i="3" s="1"/>
  <c r="E21" i="1"/>
  <c r="E9" i="3" s="1"/>
  <c r="E25" i="1"/>
  <c r="E13" i="3" s="1"/>
  <c r="E5" i="2"/>
  <c r="E6" i="2"/>
  <c r="E7" i="2"/>
  <c r="E9" i="2"/>
  <c r="E10" i="2"/>
  <c r="E11" i="2"/>
  <c r="E12" i="2"/>
  <c r="E13" i="2"/>
  <c r="E14" i="2"/>
  <c r="E15" i="2"/>
  <c r="E17" i="2"/>
  <c r="E18" i="2"/>
  <c r="E19" i="2"/>
  <c r="E20" i="2"/>
  <c r="E21" i="2"/>
  <c r="E22" i="2"/>
  <c r="E23" i="2"/>
  <c r="E24" i="2"/>
  <c r="E26" i="2"/>
  <c r="E27" i="2"/>
  <c r="E28" i="2"/>
  <c r="E29" i="2"/>
  <c r="E30" i="2"/>
  <c r="E31" i="2"/>
  <c r="E36" i="2"/>
  <c r="E4" i="2"/>
  <c r="H5" i="2"/>
  <c r="H6" i="2"/>
  <c r="H7" i="2"/>
  <c r="H9" i="2"/>
  <c r="H10" i="2"/>
  <c r="H11" i="2"/>
  <c r="H12" i="2"/>
  <c r="H13" i="2"/>
  <c r="H14" i="2"/>
  <c r="H15" i="2"/>
  <c r="H17" i="2"/>
  <c r="H18" i="2"/>
  <c r="H19" i="2"/>
  <c r="H20" i="2"/>
  <c r="H21" i="2"/>
  <c r="H22" i="2"/>
  <c r="H23" i="2"/>
  <c r="H24" i="2"/>
  <c r="H26" i="2"/>
  <c r="H27" i="2"/>
  <c r="H28" i="2"/>
  <c r="H29" i="2"/>
  <c r="H30" i="2"/>
  <c r="H31" i="2"/>
  <c r="H36" i="2"/>
  <c r="H4" i="2"/>
  <c r="F16" i="2" l="1"/>
  <c r="F13" i="2"/>
  <c r="F18" i="2"/>
  <c r="F14" i="2"/>
  <c r="F11" i="2"/>
  <c r="F15" i="2"/>
  <c r="F12" i="2"/>
  <c r="F17" i="2"/>
  <c r="H6" i="1"/>
  <c r="K6" i="1"/>
  <c r="K5" i="1"/>
  <c r="C34" i="1"/>
  <c r="K7" i="1"/>
  <c r="C35" i="1"/>
  <c r="K8" i="1"/>
  <c r="K9" i="1"/>
  <c r="C33" i="1"/>
  <c r="C32" i="1"/>
  <c r="K11" i="1" l="1"/>
  <c r="G15" i="2"/>
  <c r="G13" i="2"/>
  <c r="G12" i="2"/>
  <c r="G17" i="2"/>
  <c r="G16" i="2"/>
  <c r="G14" i="2"/>
  <c r="G11" i="2"/>
  <c r="J6" i="1"/>
  <c r="G18" i="2"/>
  <c r="D20" i="3" l="1"/>
  <c r="F20" i="3" s="1"/>
  <c r="I11" i="2"/>
  <c r="I15" i="2"/>
  <c r="I12" i="2"/>
  <c r="I16" i="2"/>
  <c r="I13" i="2"/>
  <c r="I17" i="2"/>
  <c r="I14" i="2"/>
  <c r="I18" i="2"/>
  <c r="I34" i="5" l="1"/>
  <c r="F33" i="5"/>
  <c r="I37" i="5"/>
  <c r="F36" i="5"/>
  <c r="I33" i="5"/>
  <c r="F37" i="5"/>
  <c r="F34" i="5"/>
  <c r="I36" i="5"/>
  <c r="F31" i="5" l="1"/>
  <c r="F35" i="5"/>
  <c r="I30" i="5"/>
  <c r="F38" i="5"/>
  <c r="I29" i="5"/>
  <c r="F30" i="5"/>
  <c r="I35" i="5"/>
  <c r="F29" i="5"/>
  <c r="I38" i="5"/>
  <c r="F32" i="5"/>
  <c r="I31" i="5"/>
  <c r="I32" i="5"/>
  <c r="F39" i="5" l="1"/>
  <c r="G39" i="5"/>
  <c r="I39" i="5"/>
  <c r="D39" i="5"/>
  <c r="E5" i="3" l="1"/>
  <c r="P84" i="5"/>
  <c r="F8" i="2" l="1"/>
  <c r="H5" i="1"/>
  <c r="F4" i="2"/>
  <c r="F6" i="2"/>
  <c r="F5" i="2"/>
  <c r="F10" i="2"/>
  <c r="F7" i="2"/>
  <c r="F9" i="2"/>
  <c r="G5" i="2" l="1"/>
  <c r="G4" i="2"/>
  <c r="G9" i="2"/>
  <c r="G10" i="2"/>
  <c r="G6" i="2"/>
  <c r="G8" i="2"/>
  <c r="G7" i="2"/>
  <c r="J5" i="1"/>
  <c r="I6" i="2" l="1"/>
  <c r="I5" i="2"/>
  <c r="I4" i="2"/>
  <c r="I9" i="2"/>
  <c r="I8" i="2"/>
  <c r="I10" i="2"/>
  <c r="I7" i="2"/>
  <c r="D19" i="3"/>
  <c r="F19" i="3" l="1"/>
  <c r="F21" i="2" l="1"/>
  <c r="F25" i="2"/>
  <c r="F19" i="2"/>
  <c r="F23" i="2"/>
  <c r="F24" i="2"/>
  <c r="P86" i="5"/>
  <c r="F22" i="2"/>
  <c r="H7" i="1"/>
  <c r="G25" i="2" s="1"/>
  <c r="F20" i="2"/>
  <c r="G23" i="2" l="1"/>
  <c r="J7" i="1"/>
  <c r="I25" i="2" s="1"/>
  <c r="G22" i="2"/>
  <c r="G21" i="2"/>
  <c r="G20" i="2"/>
  <c r="G24" i="2"/>
  <c r="G19" i="2"/>
  <c r="I24" i="2" l="1"/>
  <c r="I21" i="2"/>
  <c r="I19" i="2"/>
  <c r="I23" i="2"/>
  <c r="I20" i="2"/>
  <c r="D21" i="3"/>
  <c r="I22" i="2"/>
  <c r="F21" i="3" l="1"/>
  <c r="P87" i="5"/>
  <c r="F27" i="2" l="1"/>
  <c r="H8" i="1"/>
  <c r="F28" i="2"/>
  <c r="F26" i="2"/>
  <c r="G26" i="2" l="1"/>
  <c r="J8" i="1"/>
  <c r="G28" i="2"/>
  <c r="G27" i="2"/>
  <c r="F36" i="2" l="1"/>
  <c r="F35" i="2"/>
  <c r="F29" i="2"/>
  <c r="P88" i="5"/>
  <c r="F33" i="2"/>
  <c r="F31" i="2"/>
  <c r="H9" i="1"/>
  <c r="I27" i="2"/>
  <c r="D22" i="3"/>
  <c r="F22" i="3" s="1"/>
  <c r="I26" i="2"/>
  <c r="I28" i="2"/>
  <c r="F30" i="2"/>
  <c r="F32" i="2"/>
  <c r="F34" i="2"/>
  <c r="G31" i="2" l="1"/>
  <c r="G35" i="2"/>
  <c r="G34" i="2"/>
  <c r="G33" i="2"/>
  <c r="G29" i="2"/>
  <c r="J9" i="1"/>
  <c r="I33" i="2" s="1"/>
  <c r="G32" i="2"/>
  <c r="G36" i="2"/>
  <c r="G30" i="2"/>
  <c r="I30" i="2" l="1"/>
  <c r="I34" i="2"/>
  <c r="I35" i="2"/>
  <c r="I32" i="2"/>
  <c r="I31" i="2"/>
  <c r="I29" i="2"/>
  <c r="I36" i="2"/>
  <c r="D23" i="3"/>
  <c r="F23" i="3" s="1"/>
  <c r="E11" i="1"/>
  <c r="P89" i="5" l="1"/>
  <c r="F40" i="2"/>
  <c r="F41" i="2"/>
  <c r="F37" i="2"/>
  <c r="H10" i="1"/>
  <c r="F38" i="2"/>
  <c r="F39" i="2"/>
  <c r="G37" i="2" l="1"/>
  <c r="G41" i="2"/>
  <c r="G40" i="2"/>
  <c r="G38" i="2"/>
  <c r="G39" i="2"/>
  <c r="J10" i="1"/>
  <c r="H11" i="1"/>
  <c r="F21" i="1" l="1"/>
  <c r="G21" i="1" s="1"/>
  <c r="G9" i="3" s="1"/>
  <c r="F25" i="1"/>
  <c r="G25" i="1" s="1"/>
  <c r="G13" i="3" s="1"/>
  <c r="F26" i="1"/>
  <c r="F24" i="1"/>
  <c r="F12" i="3" s="1"/>
  <c r="F22" i="1"/>
  <c r="G22" i="1" s="1"/>
  <c r="G10" i="3" s="1"/>
  <c r="I41" i="2"/>
  <c r="F23" i="1" s="1"/>
  <c r="I40" i="2"/>
  <c r="F20" i="1" s="1"/>
  <c r="G20" i="1" s="1"/>
  <c r="G8" i="3" s="1"/>
  <c r="I38" i="2"/>
  <c r="I39" i="2"/>
  <c r="F19" i="1" s="1"/>
  <c r="I37" i="2"/>
  <c r="F17" i="1" s="1"/>
  <c r="J11" i="1"/>
  <c r="D24" i="3"/>
  <c r="F18" i="1" l="1"/>
  <c r="F6" i="3" s="1"/>
  <c r="G19" i="1"/>
  <c r="G7" i="3" s="1"/>
  <c r="F9" i="3"/>
  <c r="F8" i="3"/>
  <c r="F13" i="3"/>
  <c r="G24" i="1"/>
  <c r="G12" i="3" s="1"/>
  <c r="F10" i="3"/>
  <c r="F11" i="3"/>
  <c r="G23" i="1"/>
  <c r="G11" i="3" s="1"/>
  <c r="G17" i="1"/>
  <c r="G5" i="3" s="1"/>
  <c r="G26" i="1"/>
  <c r="G14" i="3" s="1"/>
  <c r="F14" i="3"/>
  <c r="F5" i="3"/>
  <c r="F24" i="3"/>
  <c r="F25" i="3" s="1"/>
  <c r="D25" i="3"/>
  <c r="D35" i="1"/>
  <c r="D32" i="1"/>
  <c r="D33" i="1"/>
  <c r="D34" i="1"/>
  <c r="G18" i="1" l="1"/>
  <c r="G6" i="3" s="1"/>
  <c r="F27" i="1"/>
  <c r="F15" i="3" s="1"/>
  <c r="F7" i="3"/>
  <c r="D36" i="1"/>
  <c r="G27" i="1" l="1"/>
  <c r="G15" i="3" s="1"/>
</calcChain>
</file>

<file path=xl/sharedStrings.xml><?xml version="1.0" encoding="utf-8"?>
<sst xmlns="http://schemas.openxmlformats.org/spreadsheetml/2006/main" count="730" uniqueCount="195">
  <si>
    <t>Операции</t>
  </si>
  <si>
    <t>№ пп</t>
  </si>
  <si>
    <t>max. время выполнения одного скрипта (сек)</t>
  </si>
  <si>
    <t>Pacing (sec)</t>
  </si>
  <si>
    <t>Think Time (sec)</t>
  </si>
  <si>
    <t>Количество VU</t>
  </si>
  <si>
    <t>% повышения нагрузки</t>
  </si>
  <si>
    <t>Интенсивность</t>
  </si>
  <si>
    <t>Количестов запросов одним пользователем в минуту</t>
  </si>
  <si>
    <t>Интенсивность (операций)</t>
  </si>
  <si>
    <t>% распределения</t>
  </si>
  <si>
    <t>Scripts duration</t>
  </si>
  <si>
    <t>1 прогон</t>
  </si>
  <si>
    <t>2 прогон</t>
  </si>
  <si>
    <t>3 прогон</t>
  </si>
  <si>
    <t>Длительность ступени (мин)</t>
  </si>
  <si>
    <t>по профилю</t>
  </si>
  <si>
    <t>% отклонения</t>
  </si>
  <si>
    <t>Операция</t>
  </si>
  <si>
    <t>Кол-во/час пиковой нагрузки</t>
  </si>
  <si>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</si>
  <si>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</si>
  <si>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</si>
  <si>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</si>
  <si>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</si>
  <si>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</si>
  <si>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</si>
  <si>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</si>
  <si>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Script name</t>
  </si>
  <si>
    <t>VU</t>
  </si>
  <si>
    <t>Длительность ступени</t>
  </si>
  <si>
    <t>Расчетные  параметры</t>
  </si>
  <si>
    <t>Заданные параметры</t>
  </si>
  <si>
    <t>Отклонение в %</t>
  </si>
  <si>
    <t>% в профиле</t>
  </si>
  <si>
    <t>Поиск авиабилета, просмотр истории продаж авиабилетов</t>
  </si>
  <si>
    <t xml:space="preserve">Поиск и покупка авиабилета </t>
  </si>
  <si>
    <t>Поиск авиабилета, просмотр истории продаж авиабилетов, удаление авиабилета</t>
  </si>
  <si>
    <t>Просмотр истории продаж авиабилетов</t>
  </si>
  <si>
    <t>Поиск авиабилета</t>
  </si>
  <si>
    <t>01_Search_Itinerary</t>
  </si>
  <si>
    <t>02_Search_BuyTicket</t>
  </si>
  <si>
    <t>03_SearcH_Itinerary_Delete</t>
  </si>
  <si>
    <t>04_Itinerary</t>
  </si>
  <si>
    <t>05_Search</t>
  </si>
  <si>
    <t>Logout</t>
  </si>
  <si>
    <t>goto_home</t>
  </si>
  <si>
    <t>goto_Itinerary</t>
  </si>
  <si>
    <t>Entry_Data_Flight</t>
  </si>
  <si>
    <t>goto_Flight</t>
  </si>
  <si>
    <t>login_user</t>
  </si>
  <si>
    <t>Load_start_Page</t>
  </si>
  <si>
    <t>Scripts Name (RUS)</t>
  </si>
  <si>
    <t>Scripts Name (Eng)</t>
  </si>
  <si>
    <t>choise_ticket</t>
  </si>
  <si>
    <t>Delete_first</t>
  </si>
  <si>
    <t>Entry_Data_Ticket</t>
  </si>
  <si>
    <t>Transaction rq</t>
  </si>
  <si>
    <t>Count</t>
  </si>
  <si>
    <t>Pacing</t>
  </si>
  <si>
    <t>Итоги теста Analysis</t>
  </si>
  <si>
    <t>по факту Analysis</t>
  </si>
  <si>
    <t>06_login_logout</t>
  </si>
  <si>
    <t>Загрузка страницы</t>
  </si>
  <si>
    <t>Переход к поиску полета</t>
  </si>
  <si>
    <t>Операция перехода на странцу "Home"</t>
  </si>
  <si>
    <t>Вход выход</t>
  </si>
  <si>
    <t>Итого:</t>
  </si>
  <si>
    <t>Расчет интенсивности каждой транзакции в операциях профиля</t>
  </si>
  <si>
    <t>Расчеты</t>
  </si>
  <si>
    <t>Расчет нагрузки</t>
  </si>
  <si>
    <t>Расчет нагрузчки по заданным параметрам</t>
  </si>
  <si>
    <t>Расчет параметров для проведения нагрузочного тестирования</t>
  </si>
  <si>
    <t>Коэффициент общий</t>
  </si>
  <si>
    <t>Доп. коэффициент по операциям</t>
  </si>
  <si>
    <t>кол-во одним VU в минуту</t>
  </si>
  <si>
    <t>Транзакция</t>
  </si>
  <si>
    <t>Transaction Name</t>
  </si>
  <si>
    <t>SLA Status</t>
  </si>
  <si>
    <t>Minimum</t>
  </si>
  <si>
    <t>Average</t>
  </si>
  <si>
    <t>Maximum</t>
  </si>
  <si>
    <t>Std. Deviation</t>
  </si>
  <si>
    <t>90 Percent</t>
  </si>
  <si>
    <t>Pass</t>
  </si>
  <si>
    <t>Fail</t>
  </si>
  <si>
    <t>Stop</t>
  </si>
  <si>
    <t>0,</t>
  </si>
  <si>
    <t>03_Search_itinerary_delete</t>
  </si>
  <si>
    <t>04_itinerary</t>
  </si>
  <si>
    <t>06_login_Logout</t>
  </si>
  <si>
    <t>Action_Transaction</t>
  </si>
  <si>
    <t>No Data</t>
  </si>
  <si>
    <t>0,23</t>
  </si>
  <si>
    <t>0,374</t>
  </si>
  <si>
    <t>0,235</t>
  </si>
  <si>
    <t>0,185</t>
  </si>
  <si>
    <t>0,188</t>
  </si>
  <si>
    <t>0,083</t>
  </si>
  <si>
    <t>0,48</t>
  </si>
  <si>
    <t>0,217</t>
  </si>
  <si>
    <t>Фактическая интенсивность</t>
  </si>
  <si>
    <t>Максимум 20 VU</t>
  </si>
  <si>
    <t>Расчетные значения</t>
  </si>
  <si>
    <t>Расчетная Интенсивность (операций)</t>
  </si>
  <si>
    <t>Поиск авиабилета, просмотр истории</t>
  </si>
  <si>
    <t>Transaction Name </t>
  </si>
  <si>
    <t>Minimum </t>
  </si>
  <si>
    <t>Average </t>
  </si>
  <si>
    <t>Maximum </t>
  </si>
  <si>
    <t>Std. Deviation </t>
  </si>
  <si>
    <t>90 Percent </t>
  </si>
  <si>
    <t>Pass </t>
  </si>
  <si>
    <t>Fail </t>
  </si>
  <si>
    <t>Stop </t>
  </si>
  <si>
    <t>Стабильность 2-22 минута</t>
  </si>
  <si>
    <t>1,961</t>
  </si>
  <si>
    <t>2,335</t>
  </si>
  <si>
    <t>3,151</t>
  </si>
  <si>
    <t>0,226</t>
  </si>
  <si>
    <t>2,644</t>
  </si>
  <si>
    <t>1,865</t>
  </si>
  <si>
    <t>2,267</t>
  </si>
  <si>
    <t>3,009</t>
  </si>
  <si>
    <t>0,236</t>
  </si>
  <si>
    <t>2,565</t>
  </si>
  <si>
    <t>1,627</t>
  </si>
  <si>
    <t>1,919</t>
  </si>
  <si>
    <t>3,044</t>
  </si>
  <si>
    <t>0,212</t>
  </si>
  <si>
    <t>2,129</t>
  </si>
  <si>
    <t>1,096</t>
  </si>
  <si>
    <t>1,401</t>
  </si>
  <si>
    <t>1,735</t>
  </si>
  <si>
    <t>0,164</t>
  </si>
  <si>
    <t>1,535</t>
  </si>
  <si>
    <t>0,983</t>
  </si>
  <si>
    <t>1,191</t>
  </si>
  <si>
    <t>1,83</t>
  </si>
  <si>
    <t>0,187</t>
  </si>
  <si>
    <t>1,467</t>
  </si>
  <si>
    <t>0,761</t>
  </si>
  <si>
    <t>0,869</t>
  </si>
  <si>
    <t>1,37</t>
  </si>
  <si>
    <t>0,126</t>
  </si>
  <si>
    <t>1,01</t>
  </si>
  <si>
    <t>1,907</t>
  </si>
  <si>
    <t>0,575</t>
  </si>
  <si>
    <t>2,49</t>
  </si>
  <si>
    <t>0,167</t>
  </si>
  <si>
    <t>0,37</t>
  </si>
  <si>
    <t>0,032</t>
  </si>
  <si>
    <t>0,257</t>
  </si>
  <si>
    <t>0,227</t>
  </si>
  <si>
    <t>0,412</t>
  </si>
  <si>
    <t>0,041</t>
  </si>
  <si>
    <t>0,282</t>
  </si>
  <si>
    <t>0,12</t>
  </si>
  <si>
    <t>0,178</t>
  </si>
  <si>
    <t>0,381</t>
  </si>
  <si>
    <t>0,144</t>
  </si>
  <si>
    <t>0,206</t>
  </si>
  <si>
    <t>0,41</t>
  </si>
  <si>
    <t>0,028</t>
  </si>
  <si>
    <t>0,237</t>
  </si>
  <si>
    <t>0,921</t>
  </si>
  <si>
    <t>0,327</t>
  </si>
  <si>
    <t>0,823</t>
  </si>
  <si>
    <t>0,087</t>
  </si>
  <si>
    <t>0,442</t>
  </si>
  <si>
    <t>0,261</t>
  </si>
  <si>
    <t>0,379</t>
  </si>
  <si>
    <t>0,71</t>
  </si>
  <si>
    <t>0,081</t>
  </si>
  <si>
    <t>0,503</t>
  </si>
  <si>
    <t>0,21</t>
  </si>
  <si>
    <t>0,293</t>
  </si>
  <si>
    <t>0,624</t>
  </si>
  <si>
    <t>0,059</t>
  </si>
  <si>
    <t>0,218</t>
  </si>
  <si>
    <t>0,349</t>
  </si>
  <si>
    <t>0,714</t>
  </si>
  <si>
    <t>0,077</t>
  </si>
  <si>
    <t>0,455</t>
  </si>
  <si>
    <t>0,274</t>
  </si>
  <si>
    <t>0,541</t>
  </si>
  <si>
    <t>0,048</t>
  </si>
  <si>
    <t>0,336</t>
  </si>
  <si>
    <t>Итоги теста Analysis. 200%</t>
  </si>
  <si>
    <t>Итоги теста Analysis, 90% от Lmax</t>
  </si>
  <si>
    <t>стабильность 20 минут</t>
  </si>
  <si>
    <t>Стабильность 1 час</t>
  </si>
  <si>
    <t>90 Percent  + ThinkTime</t>
  </si>
  <si>
    <t>Пиковая производительность</t>
  </si>
  <si>
    <t>максимальная производительность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</si>
</sst>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р_._-;\-* #,##0.00_р_._-;_-* &quot;-&quot;??_р_._-;_-@_-"/>
    <numFmt numFmtId="164" formatCode="0.000"/>
    <numFmt numFmtId="165" formatCode="_-* #,##0_р_._-;\-* #,##0_р_._-;_-* &quot;-&quot;??_р_._-;_-@_-"/>
    <numFmt numFmtId="166" formatCode="0.0"/>
    <numFmt numFmtId="167" formatCode="0.0%"/>
  </numFmts>
  <fonts count="2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color rgb="FF000000"/>
      <name val="Verdana"/>
      <family val="2"/>
      <charset val="204"/>
    </font>
  </fonts>
  <fills count="4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8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8" borderId="7" applyNumberFormat="0" applyAlignment="0" applyProtection="0"/>
    <xf numFmtId="0" fontId="14" fillId="9" borderId="8" applyNumberFormat="0" applyAlignment="0" applyProtection="0"/>
    <xf numFmtId="0" fontId="15" fillId="9" borderId="7" applyNumberFormat="0" applyAlignment="0" applyProtection="0"/>
    <xf numFmtId="0" fontId="16" fillId="0" borderId="9" applyNumberFormat="0" applyFill="0" applyAlignment="0" applyProtection="0"/>
    <xf numFmtId="0" fontId="17" fillId="10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20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0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0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0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0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0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1" fillId="0" borderId="0"/>
    <xf numFmtId="0" fontId="22" fillId="7" borderId="0" applyNumberFormat="0" applyBorder="0" applyAlignment="0" applyProtection="0"/>
    <xf numFmtId="0" fontId="2" fillId="0" borderId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1" borderId="11" applyNumberFormat="0" applyFont="0" applyAlignment="0" applyProtection="0"/>
    <xf numFmtId="9" fontId="21" fillId="0" borderId="0" applyFont="0" applyFill="0" applyBorder="0" applyAlignment="0" applyProtection="0"/>
  </cellStyleXfs>
  <cellXfs count="150">
    <xf numFmtId="0" fontId="0" fillId="0" borderId="0" xfId="0"/>
    <xf numFmtId="1" fontId="1" fillId="4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36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1" xfId="36" applyFont="1" applyBorder="1"/>
    <xf numFmtId="0" fontId="4" fillId="0" borderId="1" xfId="36" applyFont="1" applyBorder="1" applyAlignment="1">
      <alignment horizontal="center" vertical="center"/>
    </xf>
    <xf numFmtId="1" fontId="4" fillId="0" borderId="1" xfId="36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9" fontId="4" fillId="0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1" fontId="5" fillId="3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/>
    </xf>
    <xf numFmtId="0" fontId="4" fillId="37" borderId="1" xfId="0" applyFont="1" applyFill="1" applyBorder="1" applyAlignment="1">
      <alignment horizontal="center" vertical="center"/>
    </xf>
    <xf numFmtId="9" fontId="4" fillId="37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 wrapText="1"/>
    </xf>
    <xf numFmtId="0" fontId="6" fillId="37" borderId="1" xfId="0" applyFont="1" applyFill="1" applyBorder="1" applyAlignment="1">
      <alignment horizontal="center" vertical="center" wrapText="1"/>
    </xf>
    <xf numFmtId="0" fontId="6" fillId="38" borderId="1" xfId="0" applyFont="1" applyFill="1" applyBorder="1" applyAlignment="1">
      <alignment horizontal="center" vertical="center" wrapText="1"/>
    </xf>
    <xf numFmtId="9" fontId="4" fillId="36" borderId="1" xfId="1" applyFont="1" applyFill="1" applyBorder="1" applyAlignment="1">
      <alignment horizontal="center" vertical="center" wrapText="1"/>
    </xf>
    <xf numFmtId="1" fontId="4" fillId="36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9" fontId="4" fillId="0" borderId="0" xfId="0" applyNumberFormat="1" applyFont="1" applyAlignment="1">
      <alignment vertical="center"/>
    </xf>
    <xf numFmtId="165" fontId="4" fillId="0" borderId="0" xfId="2" applyNumberFormat="1" applyFont="1" applyAlignment="1">
      <alignment vertical="center"/>
    </xf>
    <xf numFmtId="9" fontId="4" fillId="40" borderId="1" xfId="1" applyFont="1" applyFill="1" applyBorder="1" applyAlignment="1">
      <alignment horizontal="center" vertical="center"/>
    </xf>
    <xf numFmtId="1" fontId="4" fillId="4" borderId="1" xfId="2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4" fillId="39" borderId="1" xfId="0" applyFont="1" applyFill="1" applyBorder="1" applyAlignment="1">
      <alignment horizontal="center" vertical="center"/>
    </xf>
    <xf numFmtId="9" fontId="4" fillId="39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41" borderId="1" xfId="0" applyFont="1" applyFill="1" applyBorder="1" applyAlignment="1">
      <alignment horizontal="center" vertical="center" wrapText="1"/>
    </xf>
    <xf numFmtId="1" fontId="4" fillId="40" borderId="1" xfId="2" applyNumberFormat="1" applyFont="1" applyFill="1" applyBorder="1" applyAlignment="1">
      <alignment horizontal="center" vertical="center"/>
    </xf>
    <xf numFmtId="0" fontId="6" fillId="2" borderId="2" xfId="36" applyFont="1" applyFill="1" applyBorder="1" applyAlignment="1">
      <alignment horizontal="center" vertical="center" wrapText="1"/>
    </xf>
    <xf numFmtId="0" fontId="4" fillId="0" borderId="3" xfId="36" applyFont="1" applyBorder="1"/>
    <xf numFmtId="0" fontId="4" fillId="0" borderId="3" xfId="36" applyFont="1" applyBorder="1" applyAlignment="1">
      <alignment horizontal="center" vertical="center"/>
    </xf>
    <xf numFmtId="1" fontId="4" fillId="0" borderId="3" xfId="36" applyNumberFormat="1" applyFont="1" applyBorder="1" applyAlignment="1">
      <alignment horizontal="center" vertical="center"/>
    </xf>
    <xf numFmtId="0" fontId="4" fillId="0" borderId="15" xfId="36" applyFont="1" applyBorder="1"/>
    <xf numFmtId="0" fontId="4" fillId="0" borderId="16" xfId="36" applyFont="1" applyBorder="1"/>
    <xf numFmtId="0" fontId="4" fillId="0" borderId="16" xfId="36" applyFont="1" applyBorder="1" applyAlignment="1">
      <alignment horizontal="center" vertical="center"/>
    </xf>
    <xf numFmtId="1" fontId="4" fillId="0" borderId="17" xfId="36" applyNumberFormat="1" applyFont="1" applyBorder="1" applyAlignment="1">
      <alignment horizontal="center" vertical="center"/>
    </xf>
    <xf numFmtId="0" fontId="4" fillId="0" borderId="18" xfId="36" applyFont="1" applyBorder="1"/>
    <xf numFmtId="1" fontId="4" fillId="0" borderId="19" xfId="36" applyNumberFormat="1" applyFont="1" applyBorder="1" applyAlignment="1">
      <alignment horizontal="center" vertical="center"/>
    </xf>
    <xf numFmtId="0" fontId="4" fillId="0" borderId="20" xfId="36" applyFont="1" applyBorder="1"/>
    <xf numFmtId="0" fontId="4" fillId="0" borderId="21" xfId="36" applyFont="1" applyBorder="1"/>
    <xf numFmtId="0" fontId="4" fillId="0" borderId="21" xfId="36" applyFont="1" applyBorder="1" applyAlignment="1">
      <alignment horizontal="center" vertical="center"/>
    </xf>
    <xf numFmtId="1" fontId="4" fillId="0" borderId="22" xfId="36" applyNumberFormat="1" applyFont="1" applyBorder="1" applyAlignment="1">
      <alignment horizontal="center" vertical="center"/>
    </xf>
    <xf numFmtId="0" fontId="4" fillId="0" borderId="2" xfId="36" applyFont="1" applyBorder="1"/>
    <xf numFmtId="0" fontId="4" fillId="0" borderId="2" xfId="36" applyFont="1" applyBorder="1" applyAlignment="1">
      <alignment horizontal="center" vertical="center"/>
    </xf>
    <xf numFmtId="1" fontId="4" fillId="0" borderId="2" xfId="36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2" fontId="6" fillId="0" borderId="0" xfId="0" applyNumberFormat="1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9" fontId="6" fillId="0" borderId="0" xfId="1" applyFont="1" applyBorder="1" applyAlignment="1">
      <alignment horizontal="center" vertical="center"/>
    </xf>
    <xf numFmtId="164" fontId="6" fillId="0" borderId="0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9" fontId="6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9" fontId="6" fillId="2" borderId="1" xfId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 vertical="center"/>
    </xf>
    <xf numFmtId="1" fontId="23" fillId="2" borderId="1" xfId="0" applyNumberFormat="1" applyFont="1" applyFill="1" applyBorder="1" applyAlignment="1">
      <alignment horizontal="center" vertical="center"/>
    </xf>
    <xf numFmtId="1" fontId="6" fillId="2" borderId="1" xfId="0" applyNumberFormat="1" applyFont="1" applyFill="1" applyBorder="1" applyAlignment="1">
      <alignment horizontal="center" vertical="center" wrapText="1"/>
    </xf>
    <xf numFmtId="9" fontId="6" fillId="2" borderId="1" xfId="1" applyFont="1" applyFill="1" applyBorder="1" applyAlignment="1">
      <alignment horizontal="center" vertical="center" wrapText="1"/>
    </xf>
    <xf numFmtId="9" fontId="4" fillId="37" borderId="1" xfId="1" applyFont="1" applyFill="1" applyBorder="1" applyAlignment="1">
      <alignment horizontal="center" vertical="center"/>
    </xf>
    <xf numFmtId="1" fontId="4" fillId="38" borderId="1" xfId="0" applyNumberFormat="1" applyFont="1" applyFill="1" applyBorder="1" applyAlignment="1">
      <alignment horizontal="center" vertical="center"/>
    </xf>
    <xf numFmtId="9" fontId="4" fillId="38" borderId="1" xfId="0" applyNumberFormat="1" applyFont="1" applyFill="1" applyBorder="1" applyAlignment="1">
      <alignment horizontal="center" vertical="center"/>
    </xf>
    <xf numFmtId="0" fontId="4" fillId="42" borderId="1" xfId="0" applyFont="1" applyFill="1" applyBorder="1" applyAlignment="1">
      <alignment vertical="center"/>
    </xf>
    <xf numFmtId="0" fontId="4" fillId="0" borderId="26" xfId="36" applyFont="1" applyBorder="1"/>
    <xf numFmtId="0" fontId="4" fillId="0" borderId="14" xfId="36" applyFont="1" applyBorder="1"/>
    <xf numFmtId="0" fontId="4" fillId="0" borderId="27" xfId="36" applyFont="1" applyBorder="1"/>
    <xf numFmtId="166" fontId="5" fillId="4" borderId="1" xfId="0" applyNumberFormat="1" applyFont="1" applyFill="1" applyBorder="1" applyAlignment="1">
      <alignment horizontal="center" vertical="center"/>
    </xf>
    <xf numFmtId="166" fontId="5" fillId="43" borderId="1" xfId="0" applyNumberFormat="1" applyFont="1" applyFill="1" applyBorder="1" applyAlignment="1">
      <alignment horizontal="center" vertical="center"/>
    </xf>
    <xf numFmtId="164" fontId="4" fillId="0" borderId="16" xfId="36" applyNumberFormat="1" applyFont="1" applyBorder="1" applyAlignment="1">
      <alignment horizontal="center" vertical="center"/>
    </xf>
    <xf numFmtId="164" fontId="4" fillId="0" borderId="1" xfId="36" applyNumberFormat="1" applyFont="1" applyBorder="1" applyAlignment="1">
      <alignment horizontal="center" vertical="center"/>
    </xf>
    <xf numFmtId="164" fontId="4" fillId="0" borderId="21" xfId="36" applyNumberFormat="1" applyFont="1" applyBorder="1" applyAlignment="1">
      <alignment horizontal="center" vertical="center"/>
    </xf>
    <xf numFmtId="164" fontId="4" fillId="0" borderId="3" xfId="36" applyNumberFormat="1" applyFont="1" applyBorder="1" applyAlignment="1">
      <alignment horizontal="center" vertical="center"/>
    </xf>
    <xf numFmtId="164" fontId="4" fillId="0" borderId="2" xfId="36" applyNumberFormat="1" applyFont="1" applyBorder="1" applyAlignment="1">
      <alignment horizontal="center" vertical="center"/>
    </xf>
    <xf numFmtId="164" fontId="4" fillId="44" borderId="1" xfId="0" applyNumberFormat="1" applyFont="1" applyFill="1" applyBorder="1" applyAlignment="1">
      <alignment horizontal="center" vertical="center"/>
    </xf>
    <xf numFmtId="0" fontId="0" fillId="0" borderId="0" xfId="0" quotePrefix="1" applyNumberFormat="1"/>
    <xf numFmtId="1" fontId="5" fillId="4" borderId="1" xfId="0" applyNumberFormat="1" applyFont="1" applyFill="1" applyBorder="1" applyAlignment="1">
      <alignment horizontal="center" vertical="center"/>
    </xf>
    <xf numFmtId="0" fontId="4" fillId="4" borderId="1" xfId="36" applyFont="1" applyFill="1" applyBorder="1"/>
    <xf numFmtId="0" fontId="4" fillId="4" borderId="1" xfId="0" applyFont="1" applyFill="1" applyBorder="1" applyAlignment="1">
      <alignment horizontal="center" vertical="center"/>
    </xf>
    <xf numFmtId="0" fontId="4" fillId="4" borderId="1" xfId="36" applyFont="1" applyFill="1" applyBorder="1" applyAlignment="1">
      <alignment vertical="center"/>
    </xf>
    <xf numFmtId="0" fontId="2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" fontId="1" fillId="40" borderId="1" xfId="0" applyNumberFormat="1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1" fontId="1" fillId="45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67" fontId="6" fillId="2" borderId="1" xfId="1" applyNumberFormat="1" applyFont="1" applyFill="1" applyBorder="1" applyAlignment="1">
      <alignment horizontal="center" vertical="center"/>
    </xf>
    <xf numFmtId="167" fontId="6" fillId="2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0" fontId="4" fillId="0" borderId="1" xfId="1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 wrapText="1"/>
    </xf>
    <xf numFmtId="43" fontId="0" fillId="0" borderId="0" xfId="2" quotePrefix="1" applyFont="1"/>
    <xf numFmtId="0" fontId="26" fillId="0" borderId="0" xfId="0" applyFont="1"/>
    <xf numFmtId="0" fontId="0" fillId="0" borderId="0" xfId="0" applyAlignment="1">
      <alignment vertical="center"/>
    </xf>
    <xf numFmtId="0" fontId="4" fillId="4" borderId="1" xfId="36" applyFont="1" applyFill="1" applyBorder="1" applyAlignment="1">
      <alignment horizontal="center"/>
    </xf>
    <xf numFmtId="0" fontId="4" fillId="4" borderId="1" xfId="36" applyFont="1" applyFill="1" applyBorder="1" applyAlignment="1">
      <alignment horizontal="center" vertical="center"/>
    </xf>
    <xf numFmtId="164" fontId="3" fillId="0" borderId="0" xfId="0" quotePrefix="1" applyNumberFormat="1" applyFont="1"/>
    <xf numFmtId="0" fontId="0" fillId="0" borderId="0" xfId="0" quotePrefix="1" applyNumberFormat="1" applyAlignment="1">
      <alignment horizontal="right"/>
    </xf>
    <xf numFmtId="164" fontId="6" fillId="0" borderId="0" xfId="0" applyNumberFormat="1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167" fontId="1" fillId="40" borderId="1" xfId="1" applyNumberFormat="1" applyFont="1" applyFill="1" applyBorder="1" applyAlignment="1">
      <alignment horizontal="center" vertical="center"/>
    </xf>
    <xf numFmtId="2" fontId="5" fillId="43" borderId="1" xfId="0" applyNumberFormat="1" applyFont="1" applyFill="1" applyBorder="1" applyAlignment="1">
      <alignment horizontal="center" vertical="center"/>
    </xf>
    <xf numFmtId="10" fontId="6" fillId="2" borderId="1" xfId="0" applyNumberFormat="1" applyFont="1" applyFill="1" applyBorder="1" applyAlignment="1">
      <alignment horizontal="center" vertical="center"/>
    </xf>
    <xf numFmtId="0" fontId="4" fillId="0" borderId="1" xfId="36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right" vertical="center"/>
    </xf>
    <xf numFmtId="0" fontId="6" fillId="2" borderId="23" xfId="0" applyFont="1" applyFill="1" applyBorder="1" applyAlignment="1">
      <alignment horizontal="right" vertical="center"/>
    </xf>
    <xf numFmtId="0" fontId="6" fillId="2" borderId="14" xfId="0" applyFont="1" applyFill="1" applyBorder="1" applyAlignment="1">
      <alignment horizontal="righ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  <xf numFmtId="0" fontId="6" fillId="2" borderId="1" xfId="0" applyFont="1" applyFill="1" applyBorder="1" applyAlignment="1">
      <alignment horizontal="right" vertical="center"/>
    </xf>
    <xf numFmtId="0" fontId="6" fillId="38" borderId="1" xfId="0" applyFont="1" applyFill="1" applyBorder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6" borderId="1" xfId="0" applyFont="1" applyFill="1" applyBorder="1" applyAlignment="1">
      <alignment horizontal="center" vertical="center"/>
    </xf>
    <xf numFmtId="0" fontId="6" fillId="41" borderId="1" xfId="0" applyFont="1" applyFill="1" applyBorder="1" applyAlignment="1">
      <alignment horizontal="center" vertical="center" wrapText="1"/>
    </xf>
    <xf numFmtId="0" fontId="4" fillId="40" borderId="28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38" borderId="1" xfId="0" applyFont="1" applyFill="1" applyBorder="1" applyAlignment="1">
      <alignment horizontal="center" vertical="center" wrapText="1"/>
    </xf>
    <xf numFmtId="0" fontId="6" fillId="38" borderId="13" xfId="0" applyFont="1" applyFill="1" applyBorder="1" applyAlignment="1">
      <alignment horizontal="center" vertical="center" wrapText="1"/>
    </xf>
    <xf numFmtId="0" fontId="6" fillId="38" borderId="14" xfId="0" applyFont="1" applyFill="1" applyBorder="1" applyAlignment="1">
      <alignment horizontal="center" vertical="center" wrapText="1"/>
    </xf>
    <xf numFmtId="0" fontId="3" fillId="0" borderId="0" xfId="0" quotePrefix="1" applyNumberFormat="1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48">
    <cellStyle name="20% — акцент1" xfId="19" builtinId="30" customBuiltin="1"/>
    <cellStyle name="20% — акцент2" xfId="22" builtinId="34" customBuiltin="1"/>
    <cellStyle name="20% — акцент3" xfId="25" builtinId="38" customBuiltin="1"/>
    <cellStyle name="20% — акцент4" xfId="28" builtinId="42" customBuiltin="1"/>
    <cellStyle name="20% — акцент5" xfId="31" builtinId="46" customBuiltin="1"/>
    <cellStyle name="20% — акцент6" xfId="34" builtinId="50" customBuiltin="1"/>
    <cellStyle name="40% — акцент1" xfId="20" builtinId="31" customBuiltin="1"/>
    <cellStyle name="40% — акцент2" xfId="23" builtinId="35" customBuiltin="1"/>
    <cellStyle name="40% — акцент3" xfId="26" builtinId="39" customBuiltin="1"/>
    <cellStyle name="40% — акцент4" xfId="29" builtinId="43" customBuiltin="1"/>
    <cellStyle name="40% — акцент5" xfId="32" builtinId="47" customBuiltin="1"/>
    <cellStyle name="40% — акцент6" xfId="35" builtinId="51" customBuiltin="1"/>
    <cellStyle name="60% — акцент1 2" xfId="39"/>
    <cellStyle name="60% — акцент2 2" xfId="40"/>
    <cellStyle name="60% — акцент3 2" xfId="41"/>
    <cellStyle name="60% — акцент4 2" xfId="42"/>
    <cellStyle name="60% — акцент5 2" xfId="43"/>
    <cellStyle name="60% — акцент6 2" xfId="44"/>
    <cellStyle name="Акцент1" xfId="18" builtinId="29" customBuiltin="1"/>
    <cellStyle name="Акцент2" xfId="21" builtinId="33" customBuiltin="1"/>
    <cellStyle name="Акцент3" xfId="24" builtinId="37" customBuiltin="1"/>
    <cellStyle name="Акцент4" xfId="27" builtinId="41" customBuiltin="1"/>
    <cellStyle name="Акцент5" xfId="30" builtinId="45" customBuiltin="1"/>
    <cellStyle name="Акцент6" xfId="33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4" builtinId="16" customBuiltin="1"/>
    <cellStyle name="Заголовок 2" xfId="5" builtinId="17" customBuiltin="1"/>
    <cellStyle name="Заголовок 3" xfId="6" builtinId="18" customBuiltin="1"/>
    <cellStyle name="Заголовок 4" xfId="7" builtinId="19" customBuiltin="1"/>
    <cellStyle name="Итог" xfId="17" builtinId="25" customBuiltin="1"/>
    <cellStyle name="Контрольная ячейка" xfId="14" builtinId="23" customBuiltin="1"/>
    <cellStyle name="Название" xfId="3" builtinId="15" customBuiltin="1"/>
    <cellStyle name="Нейтральный 2" xfId="37"/>
    <cellStyle name="Обычный" xfId="0" builtinId="0"/>
    <cellStyle name="Обычный 2" xfId="38"/>
    <cellStyle name="Обычный 3" xfId="45"/>
    <cellStyle name="Обычный 4" xfId="36"/>
    <cellStyle name="Плохой" xfId="9" builtinId="27" customBuiltin="1"/>
    <cellStyle name="Пояснение" xfId="16" builtinId="53" customBuiltin="1"/>
    <cellStyle name="Примечание 2" xfId="46"/>
    <cellStyle name="Процентный" xfId="1" builtinId="5"/>
    <cellStyle name="Процентный 2" xfId="47"/>
    <cellStyle name="Связанная ячейка" xfId="13" builtinId="24" customBuiltin="1"/>
    <cellStyle name="Текст предупреждения" xfId="15" builtinId="11" customBuiltin="1"/>
    <cellStyle name="Финансовый" xfId="2" builtinId="3"/>
    <cellStyle name="Хороший" xfId="8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&#1056;&#1077;&#1079;&#1091;&#1083;&#1100;&#1090;&#1072;&#1090;&#1099;/Confirm_Max/ResponseTime0000(Delete_first)0000" TargetMode="External"/><Relationship Id="rId13" Type="http://schemas.openxmlformats.org/officeDocument/2006/relationships/hyperlink" Target="../&#1056;&#1077;&#1079;&#1091;&#1083;&#1100;&#1090;&#1072;&#1090;&#1099;/Confirm_Max/ResponseTime0000(goto_Itinerary)0000" TargetMode="External"/><Relationship Id="rId3" Type="http://schemas.openxmlformats.org/officeDocument/2006/relationships/hyperlink" Target="../&#1056;&#1077;&#1079;&#1091;&#1083;&#1100;&#1090;&#1072;&#1090;&#1099;/Confirm_Max/ResponseTime0000(03_Search_itinerary_delete)0000" TargetMode="External"/><Relationship Id="rId7" Type="http://schemas.openxmlformats.org/officeDocument/2006/relationships/hyperlink" Target="../&#1056;&#1077;&#1079;&#1091;&#1083;&#1100;&#1090;&#1072;&#1090;&#1099;/Confirm_Max/ResponseTime0000(choise_ticket)0000" TargetMode="External"/><Relationship Id="rId12" Type="http://schemas.openxmlformats.org/officeDocument/2006/relationships/hyperlink" Target="../&#1056;&#1077;&#1079;&#1091;&#1083;&#1100;&#1090;&#1072;&#1090;&#1099;/Confirm_Max/ResponseTime0000(goto_home)0000" TargetMode="External"/><Relationship Id="rId17" Type="http://schemas.openxmlformats.org/officeDocument/2006/relationships/printerSettings" Target="../printerSettings/printerSettings4.bin"/><Relationship Id="rId2" Type="http://schemas.openxmlformats.org/officeDocument/2006/relationships/hyperlink" Target="../&#1056;&#1077;&#1079;&#1091;&#1083;&#1100;&#1090;&#1072;&#1090;&#1099;/Confirm_Max/ResponseTime0000(02_Search_BuyTicket)0000" TargetMode="External"/><Relationship Id="rId16" Type="http://schemas.openxmlformats.org/officeDocument/2006/relationships/hyperlink" Target="../&#1056;&#1077;&#1079;&#1091;&#1083;&#1100;&#1090;&#1072;&#1090;&#1099;/Confirm_Max/ResponseTime0000(Logout)0000" TargetMode="External"/><Relationship Id="rId1" Type="http://schemas.openxmlformats.org/officeDocument/2006/relationships/hyperlink" Target="../&#1056;&#1077;&#1079;&#1091;&#1083;&#1100;&#1090;&#1072;&#1090;&#1099;/Confirm_Max/ResponseTime0000(01_Search_Itinerary)0000" TargetMode="External"/><Relationship Id="rId6" Type="http://schemas.openxmlformats.org/officeDocument/2006/relationships/hyperlink" Target="../&#1056;&#1077;&#1079;&#1091;&#1083;&#1100;&#1090;&#1072;&#1090;&#1099;/Confirm_Max/ResponseTime0000(06_login_Logout)0000" TargetMode="External"/><Relationship Id="rId11" Type="http://schemas.openxmlformats.org/officeDocument/2006/relationships/hyperlink" Target="../&#1056;&#1077;&#1079;&#1091;&#1083;&#1100;&#1090;&#1072;&#1090;&#1099;/Confirm_Max/ResponseTime0000(goto_Flight)0000" TargetMode="External"/><Relationship Id="rId5" Type="http://schemas.openxmlformats.org/officeDocument/2006/relationships/hyperlink" Target="../&#1056;&#1077;&#1079;&#1091;&#1083;&#1100;&#1090;&#1072;&#1090;&#1099;/Confirm_Max/ResponseTime0000(05_Search)0000" TargetMode="External"/><Relationship Id="rId15" Type="http://schemas.openxmlformats.org/officeDocument/2006/relationships/hyperlink" Target="../&#1056;&#1077;&#1079;&#1091;&#1083;&#1100;&#1090;&#1072;&#1090;&#1099;/Confirm_Max/ResponseTime0000(login_user)0000" TargetMode="External"/><Relationship Id="rId10" Type="http://schemas.openxmlformats.org/officeDocument/2006/relationships/hyperlink" Target="../&#1056;&#1077;&#1079;&#1091;&#1083;&#1100;&#1090;&#1072;&#1090;&#1099;/Confirm_Max/ResponseTime0000(Entry_Data_Ticket)0000" TargetMode="External"/><Relationship Id="rId4" Type="http://schemas.openxmlformats.org/officeDocument/2006/relationships/hyperlink" Target="../&#1056;&#1077;&#1079;&#1091;&#1083;&#1100;&#1090;&#1072;&#1090;&#1099;/Confirm_Max/ResponseTime0000(04_itinerary)0000" TargetMode="External"/><Relationship Id="rId9" Type="http://schemas.openxmlformats.org/officeDocument/2006/relationships/hyperlink" Target="../&#1056;&#1077;&#1079;&#1091;&#1083;&#1100;&#1090;&#1072;&#1090;&#1099;/Confirm_Max/ResponseTime0000(Entry_Data_Flight)0000" TargetMode="External"/><Relationship Id="rId14" Type="http://schemas.openxmlformats.org/officeDocument/2006/relationships/hyperlink" Target="../&#1056;&#1077;&#1079;&#1091;&#1083;&#1100;&#1090;&#1072;&#1090;&#1099;/Confirm_Max/ResponseTime0000(Load_start_Page)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topLeftCell="A10" zoomScaleNormal="100" workbookViewId="0">
      <selection activeCell="G11" sqref="G11"/>
    </sheetView>
  </sheetViews>
  <sheetFormatPr defaultRowHeight="12.75" x14ac:dyDescent="0.25"/>
  <cols>
    <col min="1" max="1" width="6" style="10" bestFit="1" customWidth="1"/>
    <col min="2" max="2" width="35.5703125" style="21" bestFit="1" customWidth="1"/>
    <col min="3" max="3" width="22.85546875" style="21" bestFit="1" customWidth="1"/>
    <col min="4" max="4" width="14.42578125" style="17" customWidth="1"/>
    <col min="5" max="5" width="12.7109375" style="17" customWidth="1"/>
    <col min="6" max="7" width="13.140625" style="17" customWidth="1"/>
    <col min="8" max="8" width="15.85546875" style="17" customWidth="1"/>
    <col min="9" max="9" width="13.42578125" style="10" customWidth="1"/>
    <col min="10" max="11" width="13.42578125" style="17" customWidth="1"/>
    <col min="12" max="14" width="12" style="17" customWidth="1"/>
    <col min="15" max="15" width="11.85546875" style="17" bestFit="1" customWidth="1"/>
    <col min="16" max="16384" width="9.140625" style="17"/>
  </cols>
  <sheetData>
    <row r="1" spans="1:22" ht="18.75" x14ac:dyDescent="0.25">
      <c r="A1" s="133" t="s">
        <v>72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3" spans="1:22" s="5" customFormat="1" ht="27.75" customHeight="1" x14ac:dyDescent="0.25">
      <c r="A3" s="125" t="s">
        <v>1</v>
      </c>
      <c r="B3" s="125" t="s">
        <v>0</v>
      </c>
      <c r="C3" s="125" t="s">
        <v>28</v>
      </c>
      <c r="D3" s="125" t="s">
        <v>2</v>
      </c>
      <c r="E3" s="125" t="s">
        <v>4</v>
      </c>
      <c r="F3" s="125" t="s">
        <v>3</v>
      </c>
      <c r="G3" s="125" t="s">
        <v>5</v>
      </c>
      <c r="H3" s="125" t="s">
        <v>8</v>
      </c>
      <c r="I3" s="125" t="s">
        <v>15</v>
      </c>
      <c r="J3" s="125" t="s">
        <v>9</v>
      </c>
      <c r="K3" s="125" t="s">
        <v>10</v>
      </c>
      <c r="L3" s="127" t="s">
        <v>11</v>
      </c>
      <c r="M3" s="127"/>
      <c r="N3" s="127"/>
    </row>
    <row r="4" spans="1:22" s="5" customFormat="1" ht="28.5" customHeight="1" x14ac:dyDescent="0.25">
      <c r="A4" s="126"/>
      <c r="B4" s="126"/>
      <c r="C4" s="126"/>
      <c r="D4" s="126"/>
      <c r="E4" s="126"/>
      <c r="F4" s="126"/>
      <c r="G4" s="126"/>
      <c r="H4" s="126"/>
      <c r="I4" s="126"/>
      <c r="J4" s="126"/>
      <c r="K4" s="126"/>
      <c r="L4" s="6" t="s">
        <v>12</v>
      </c>
      <c r="M4" s="6" t="s">
        <v>13</v>
      </c>
      <c r="N4" s="6" t="s">
        <v>14</v>
      </c>
    </row>
    <row r="5" spans="1:22" ht="26.25" customHeight="1" x14ac:dyDescent="0.25">
      <c r="A5" s="7">
        <v>1</v>
      </c>
      <c r="B5" s="4" t="s">
        <v>105</v>
      </c>
      <c r="C5" s="8" t="s">
        <v>40</v>
      </c>
      <c r="D5" s="2">
        <f>MAX(L5:N5)</f>
        <v>2.9430000000000001</v>
      </c>
      <c r="E5" s="96">
        <v>30</v>
      </c>
      <c r="F5" s="122">
        <f>ROUND((D5+E5)*$K$17*L17,2)</f>
        <v>15.43</v>
      </c>
      <c r="G5" s="1">
        <v>1</v>
      </c>
      <c r="H5" s="2">
        <f>60/(F5)</f>
        <v>3.8885288399222295</v>
      </c>
      <c r="I5" s="3">
        <v>20</v>
      </c>
      <c r="J5" s="28">
        <f>ROUND(G5*H5*I5,0)</f>
        <v>78</v>
      </c>
      <c r="K5" s="110">
        <f t="shared" ref="K5:K10" si="0">G5/$G$11</f>
        <v>0.16666666666666666</v>
      </c>
      <c r="L5" s="29">
        <v>2.59</v>
      </c>
      <c r="M5" s="29">
        <v>2.9430000000000001</v>
      </c>
      <c r="N5" s="29">
        <v>1.982</v>
      </c>
    </row>
    <row r="6" spans="1:22" ht="26.25" customHeight="1" x14ac:dyDescent="0.25">
      <c r="A6" s="7">
        <v>2</v>
      </c>
      <c r="B6" s="4" t="s">
        <v>36</v>
      </c>
      <c r="C6" s="8" t="s">
        <v>41</v>
      </c>
      <c r="D6" s="2">
        <f>MAX(L6:N6)</f>
        <v>2.1775000000000002</v>
      </c>
      <c r="E6" s="96">
        <v>80</v>
      </c>
      <c r="F6" s="122">
        <f t="shared" ref="F6:F10" si="1">ROUND((D6+E6)*$K$17*L18,2)</f>
        <v>15.4</v>
      </c>
      <c r="G6" s="1">
        <v>1</v>
      </c>
      <c r="H6" s="2">
        <f t="shared" ref="H6:H9" si="2">60/(F6)</f>
        <v>3.8961038961038961</v>
      </c>
      <c r="I6" s="3">
        <f>I5</f>
        <v>20</v>
      </c>
      <c r="J6" s="28">
        <f t="shared" ref="J6:J9" si="3">ROUND(G6*H6*I6,0)</f>
        <v>78</v>
      </c>
      <c r="K6" s="110">
        <f t="shared" si="0"/>
        <v>0.16666666666666666</v>
      </c>
      <c r="L6" s="94">
        <v>1.988</v>
      </c>
      <c r="M6" s="94">
        <v>2.032</v>
      </c>
      <c r="N6" s="94">
        <v>2.1775000000000002</v>
      </c>
    </row>
    <row r="7" spans="1:22" ht="26.25" customHeight="1" x14ac:dyDescent="0.25">
      <c r="A7" s="7">
        <v>3</v>
      </c>
      <c r="B7" s="4" t="s">
        <v>37</v>
      </c>
      <c r="C7" s="8" t="s">
        <v>42</v>
      </c>
      <c r="D7" s="2">
        <f t="shared" ref="D7:D10" si="4">MAX(L7:N7)</f>
        <v>2.0590000000000002</v>
      </c>
      <c r="E7" s="96">
        <v>60</v>
      </c>
      <c r="F7" s="122">
        <f t="shared" si="1"/>
        <v>17.23</v>
      </c>
      <c r="G7" s="1">
        <v>1</v>
      </c>
      <c r="H7" s="2">
        <f t="shared" si="2"/>
        <v>3.4822983168891466</v>
      </c>
      <c r="I7" s="3">
        <f>I6</f>
        <v>20</v>
      </c>
      <c r="J7" s="28">
        <f t="shared" si="3"/>
        <v>70</v>
      </c>
      <c r="K7" s="110">
        <f t="shared" si="0"/>
        <v>0.16666666666666666</v>
      </c>
      <c r="L7" s="29">
        <v>2.0590000000000002</v>
      </c>
      <c r="M7" s="29">
        <v>1.786</v>
      </c>
      <c r="N7" s="29">
        <v>2.0009999999999999</v>
      </c>
    </row>
    <row r="8" spans="1:22" ht="26.25" customHeight="1" x14ac:dyDescent="0.25">
      <c r="A8" s="7">
        <v>4</v>
      </c>
      <c r="B8" s="4" t="s">
        <v>38</v>
      </c>
      <c r="C8" s="8" t="s">
        <v>43</v>
      </c>
      <c r="D8" s="2">
        <f t="shared" si="4"/>
        <v>1.9330000000000001</v>
      </c>
      <c r="E8" s="96">
        <v>40</v>
      </c>
      <c r="F8" s="122">
        <f t="shared" si="1"/>
        <v>14.55</v>
      </c>
      <c r="G8" s="1">
        <v>1</v>
      </c>
      <c r="H8" s="2">
        <f t="shared" si="2"/>
        <v>4.1237113402061851</v>
      </c>
      <c r="I8" s="3">
        <f>I7</f>
        <v>20</v>
      </c>
      <c r="J8" s="28">
        <f t="shared" si="3"/>
        <v>82</v>
      </c>
      <c r="K8" s="110">
        <f t="shared" si="0"/>
        <v>0.16666666666666666</v>
      </c>
      <c r="L8" s="29">
        <v>1.5409999999999999</v>
      </c>
      <c r="M8" s="29">
        <v>1.9330000000000001</v>
      </c>
      <c r="N8" s="29">
        <v>1.821</v>
      </c>
    </row>
    <row r="9" spans="1:22" ht="26.25" customHeight="1" x14ac:dyDescent="0.25">
      <c r="A9" s="7">
        <v>5</v>
      </c>
      <c r="B9" s="4" t="s">
        <v>39</v>
      </c>
      <c r="C9" s="8" t="s">
        <v>44</v>
      </c>
      <c r="D9" s="2">
        <f t="shared" si="4"/>
        <v>1.841</v>
      </c>
      <c r="E9" s="96">
        <v>30</v>
      </c>
      <c r="F9" s="122">
        <f t="shared" si="1"/>
        <v>11.6</v>
      </c>
      <c r="G9" s="1">
        <v>1</v>
      </c>
      <c r="H9" s="2">
        <f t="shared" si="2"/>
        <v>5.1724137931034484</v>
      </c>
      <c r="I9" s="3">
        <f>I8</f>
        <v>20</v>
      </c>
      <c r="J9" s="28">
        <f t="shared" si="3"/>
        <v>103</v>
      </c>
      <c r="K9" s="110">
        <f t="shared" si="0"/>
        <v>0.16666666666666666</v>
      </c>
      <c r="L9" s="29">
        <v>1.5309999999999999</v>
      </c>
      <c r="M9" s="29">
        <v>1.841</v>
      </c>
      <c r="N9" s="29">
        <v>1.5009999999999999</v>
      </c>
    </row>
    <row r="10" spans="1:22" ht="26.25" customHeight="1" x14ac:dyDescent="0.25">
      <c r="A10" s="7">
        <v>6</v>
      </c>
      <c r="B10" s="4" t="s">
        <v>66</v>
      </c>
      <c r="C10" s="8" t="s">
        <v>62</v>
      </c>
      <c r="D10" s="2">
        <f t="shared" si="4"/>
        <v>1.542</v>
      </c>
      <c r="E10" s="96">
        <v>200</v>
      </c>
      <c r="F10" s="122">
        <f t="shared" si="1"/>
        <v>111.9</v>
      </c>
      <c r="G10" s="1">
        <v>1</v>
      </c>
      <c r="H10" s="2">
        <f t="shared" ref="H10" si="5">60/(F10)</f>
        <v>0.53619302949061665</v>
      </c>
      <c r="I10" s="3">
        <v>20</v>
      </c>
      <c r="J10" s="28">
        <f t="shared" ref="J10" si="6">ROUND(G10*H10*I10,0)</f>
        <v>11</v>
      </c>
      <c r="K10" s="110">
        <f t="shared" si="0"/>
        <v>0.16666666666666666</v>
      </c>
      <c r="L10" s="29">
        <v>1.542</v>
      </c>
      <c r="M10" s="29">
        <v>1.4330000000000001</v>
      </c>
      <c r="N10" s="29">
        <v>1.3939999999999999</v>
      </c>
    </row>
    <row r="11" spans="1:22" x14ac:dyDescent="0.25">
      <c r="A11" s="130" t="s">
        <v>67</v>
      </c>
      <c r="B11" s="131"/>
      <c r="C11" s="131"/>
      <c r="D11" s="132"/>
      <c r="E11" s="74">
        <f>SUM(E5:E10)</f>
        <v>440</v>
      </c>
      <c r="F11" s="74">
        <f>SUM(F5:F10)</f>
        <v>186.11</v>
      </c>
      <c r="G11" s="73">
        <f>SUM(G5:G10)</f>
        <v>6</v>
      </c>
      <c r="H11" s="74">
        <f>SUM(H5:H10)</f>
        <v>21.09924921571552</v>
      </c>
      <c r="I11" s="74"/>
      <c r="J11" s="73">
        <f>SUM(J5:J10)</f>
        <v>422</v>
      </c>
      <c r="K11" s="75">
        <f>SUM(K5:K10)</f>
        <v>0.99999999999999989</v>
      </c>
      <c r="L11" s="76">
        <f>SUM(L5:L10)</f>
        <v>11.250999999999999</v>
      </c>
      <c r="M11" s="76">
        <f t="shared" ref="M11:N11" si="7">SUM(M5:M10)</f>
        <v>11.967999999999998</v>
      </c>
      <c r="N11" s="76">
        <f t="shared" si="7"/>
        <v>10.8765</v>
      </c>
    </row>
    <row r="12" spans="1:22" x14ac:dyDescent="0.25">
      <c r="A12" s="64"/>
      <c r="B12" s="65"/>
      <c r="C12" s="65"/>
      <c r="D12" s="66"/>
      <c r="E12" s="66"/>
      <c r="F12" s="66"/>
      <c r="G12" s="67"/>
      <c r="H12" s="66"/>
      <c r="I12" s="66"/>
      <c r="J12" s="67"/>
      <c r="K12" s="68"/>
      <c r="L12" s="69"/>
      <c r="M12" s="69"/>
      <c r="N12" s="69"/>
    </row>
    <row r="13" spans="1:22" ht="18.75" x14ac:dyDescent="0.25">
      <c r="A13" s="134" t="s">
        <v>71</v>
      </c>
      <c r="B13" s="134"/>
      <c r="C13" s="134"/>
      <c r="D13" s="134"/>
      <c r="E13" s="134"/>
      <c r="F13" s="134"/>
      <c r="G13" s="134"/>
      <c r="H13" s="66"/>
      <c r="I13" s="66">
        <f>180/3</f>
        <v>60</v>
      </c>
      <c r="J13" s="67"/>
      <c r="K13" s="68"/>
      <c r="L13" s="69"/>
      <c r="M13" s="69"/>
      <c r="N13" s="69"/>
    </row>
    <row r="14" spans="1:22" x14ac:dyDescent="0.25">
      <c r="H14" s="66"/>
    </row>
    <row r="15" spans="1:22" s="5" customFormat="1" ht="29.25" customHeight="1" x14ac:dyDescent="0.25">
      <c r="A15" s="125" t="s">
        <v>1</v>
      </c>
      <c r="B15" s="125" t="s">
        <v>18</v>
      </c>
      <c r="C15" s="125" t="s">
        <v>57</v>
      </c>
      <c r="D15" s="135" t="s">
        <v>32</v>
      </c>
      <c r="E15" s="136"/>
      <c r="F15" s="135" t="s">
        <v>31</v>
      </c>
      <c r="G15" s="136"/>
      <c r="H15" s="66"/>
      <c r="I15" s="128" t="s">
        <v>28</v>
      </c>
      <c r="J15" s="129"/>
      <c r="K15" s="127" t="s">
        <v>73</v>
      </c>
      <c r="L15" s="125" t="s">
        <v>74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spans="1:22" ht="38.25" x14ac:dyDescent="0.25">
      <c r="A16" s="126"/>
      <c r="B16" s="126"/>
      <c r="C16" s="126"/>
      <c r="D16" s="44" t="s">
        <v>19</v>
      </c>
      <c r="E16" s="44" t="s">
        <v>34</v>
      </c>
      <c r="F16" s="44" t="s">
        <v>19</v>
      </c>
      <c r="G16" s="44" t="s">
        <v>33</v>
      </c>
      <c r="H16" s="66"/>
      <c r="I16" s="128"/>
      <c r="J16" s="129"/>
      <c r="K16" s="127"/>
      <c r="L16" s="126"/>
      <c r="M16" s="35"/>
      <c r="N16" s="24"/>
      <c r="O16" s="35"/>
      <c r="P16" s="24"/>
      <c r="Q16" s="35"/>
      <c r="R16" s="35"/>
      <c r="S16" s="35"/>
      <c r="T16" s="35"/>
      <c r="U16" s="35"/>
      <c r="V16" s="35"/>
    </row>
    <row r="17" spans="1:22" ht="15" x14ac:dyDescent="0.25">
      <c r="A17" s="7">
        <v>1</v>
      </c>
      <c r="B17" s="25" t="s">
        <v>63</v>
      </c>
      <c r="C17" s="97" t="s">
        <v>51</v>
      </c>
      <c r="D17" s="98">
        <v>422</v>
      </c>
      <c r="E17" s="27">
        <f t="shared" ref="E17:E26" si="8">D17/$D$27</f>
        <v>0.15185318459877653</v>
      </c>
      <c r="F17" s="42">
        <f ca="1">SUMIF('Транзакции в профилях'!$C$4:$I$43,C17,'Транзакции в профилях'!$I$4:$I$43)</f>
        <v>422</v>
      </c>
      <c r="G17" s="43">
        <f t="shared" ref="G17:G20" ca="1" si="9">1-D17/F17</f>
        <v>0</v>
      </c>
      <c r="H17" s="66"/>
      <c r="I17" s="124" t="s">
        <v>40</v>
      </c>
      <c r="J17" s="124"/>
      <c r="K17" s="40">
        <v>0.34699999999999998</v>
      </c>
      <c r="L17" s="40">
        <v>1.35</v>
      </c>
      <c r="M17" s="35"/>
      <c r="N17" s="24"/>
      <c r="O17" s="35"/>
      <c r="P17" s="35"/>
      <c r="Q17" s="35"/>
      <c r="R17" s="35"/>
      <c r="S17" s="24"/>
      <c r="T17" s="35"/>
      <c r="U17" s="35"/>
      <c r="V17" s="35"/>
    </row>
    <row r="18" spans="1:22" ht="15" x14ac:dyDescent="0.25">
      <c r="A18" s="7">
        <v>2</v>
      </c>
      <c r="B18" s="25" t="s">
        <v>20</v>
      </c>
      <c r="C18" s="8" t="s">
        <v>50</v>
      </c>
      <c r="D18" s="26">
        <v>422</v>
      </c>
      <c r="E18" s="27">
        <f t="shared" si="8"/>
        <v>0.15185318459877653</v>
      </c>
      <c r="F18" s="42">
        <f ca="1">SUMIF('Транзакции в профилях'!$C$4:$I$43,C18,'Транзакции в профилях'!$I$4:$I$43)</f>
        <v>422</v>
      </c>
      <c r="G18" s="43">
        <f t="shared" ca="1" si="9"/>
        <v>0</v>
      </c>
      <c r="H18" s="66"/>
      <c r="I18" s="124" t="s">
        <v>41</v>
      </c>
      <c r="J18" s="124"/>
      <c r="K18" s="40">
        <v>1</v>
      </c>
      <c r="L18" s="40">
        <v>0.54</v>
      </c>
      <c r="M18" s="24"/>
      <c r="N18" s="35"/>
      <c r="O18" s="24"/>
      <c r="P18" s="24"/>
      <c r="Q18" s="35"/>
      <c r="R18" s="35"/>
      <c r="S18" s="35"/>
      <c r="T18" s="35"/>
      <c r="U18" s="35"/>
      <c r="V18" s="24"/>
    </row>
    <row r="19" spans="1:22" ht="15" x14ac:dyDescent="0.25">
      <c r="A19" s="7">
        <v>3</v>
      </c>
      <c r="B19" s="25" t="s">
        <v>64</v>
      </c>
      <c r="C19" s="99" t="s">
        <v>49</v>
      </c>
      <c r="D19" s="98">
        <v>340</v>
      </c>
      <c r="E19" s="27">
        <f t="shared" si="8"/>
        <v>0.12234616768621806</v>
      </c>
      <c r="F19" s="42">
        <f ca="1">SUMIF('Транзакции в профилях'!$C$4:$I$43,C19,'Транзакции в профилях'!$I$4:$I$43)</f>
        <v>340</v>
      </c>
      <c r="G19" s="43">
        <f t="shared" ca="1" si="9"/>
        <v>0</v>
      </c>
      <c r="H19" s="66"/>
      <c r="I19" s="124" t="s">
        <v>42</v>
      </c>
      <c r="J19" s="124"/>
      <c r="K19" s="40">
        <v>1</v>
      </c>
      <c r="L19" s="40">
        <v>0.8</v>
      </c>
      <c r="M19" s="24"/>
      <c r="N19" s="24"/>
      <c r="O19" s="24"/>
      <c r="P19" s="24"/>
      <c r="Q19" s="24"/>
      <c r="R19" s="24"/>
      <c r="S19" s="35"/>
      <c r="T19" s="35"/>
      <c r="U19" s="35"/>
      <c r="V19" s="35"/>
    </row>
    <row r="20" spans="1:22" ht="15" x14ac:dyDescent="0.25">
      <c r="A20" s="7">
        <v>4</v>
      </c>
      <c r="B20" s="25" t="s">
        <v>21</v>
      </c>
      <c r="C20" s="8" t="s">
        <v>48</v>
      </c>
      <c r="D20" s="26">
        <v>282</v>
      </c>
      <c r="E20" s="27">
        <f t="shared" si="8"/>
        <v>0.10147535084562792</v>
      </c>
      <c r="F20" s="42">
        <f ca="1">SUMIF('Транзакции в профилях'!$C$4:$I$43,C20,'Транзакции в профилях'!$I$4:$I$43)</f>
        <v>270</v>
      </c>
      <c r="G20" s="43">
        <f t="shared" ca="1" si="9"/>
        <v>-4.4444444444444509E-2</v>
      </c>
      <c r="H20" s="66"/>
      <c r="I20" s="124" t="s">
        <v>43</v>
      </c>
      <c r="J20" s="124"/>
      <c r="K20" s="40">
        <v>1</v>
      </c>
      <c r="L20" s="40">
        <v>1</v>
      </c>
      <c r="M20" s="24"/>
      <c r="N20" s="24"/>
      <c r="O20" s="35"/>
      <c r="P20" s="24"/>
      <c r="Q20" s="35"/>
      <c r="R20" s="24"/>
      <c r="S20" s="24"/>
      <c r="T20" s="35"/>
      <c r="U20" s="35"/>
      <c r="V20" s="35"/>
    </row>
    <row r="21" spans="1:22" x14ac:dyDescent="0.25">
      <c r="A21" s="7">
        <v>5</v>
      </c>
      <c r="B21" s="25" t="s">
        <v>22</v>
      </c>
      <c r="C21" s="8" t="s">
        <v>54</v>
      </c>
      <c r="D21" s="26">
        <v>251</v>
      </c>
      <c r="E21" s="27">
        <f t="shared" si="8"/>
        <v>9.0320259086002164E-2</v>
      </c>
      <c r="F21" s="42">
        <f ca="1">SUMIF('Транзакции в профилях'!$C$4:$I$43,C21,'Транзакции в профилях'!$I$4:$I$43)</f>
        <v>259</v>
      </c>
      <c r="G21" s="43">
        <f ca="1">1-D21/F21</f>
        <v>3.0888030888030937E-2</v>
      </c>
      <c r="H21" s="66"/>
      <c r="I21" s="124" t="s">
        <v>44</v>
      </c>
      <c r="J21" s="124"/>
      <c r="K21" s="40">
        <v>1</v>
      </c>
      <c r="L21" s="40">
        <v>1.05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</row>
    <row r="22" spans="1:22" x14ac:dyDescent="0.25">
      <c r="A22" s="7">
        <v>6</v>
      </c>
      <c r="B22" s="25" t="s">
        <v>23</v>
      </c>
      <c r="C22" s="8" t="s">
        <v>56</v>
      </c>
      <c r="D22" s="26">
        <v>175</v>
      </c>
      <c r="E22" s="27">
        <f t="shared" si="8"/>
        <v>6.2972292191435769E-2</v>
      </c>
      <c r="F22" s="42">
        <f ca="1">SUMIF('Транзакции в профилях'!$C$4:$I$43,C22,'Транзакции в профилях'!$I$4:$I$43)</f>
        <v>181</v>
      </c>
      <c r="G22" s="43">
        <f t="shared" ref="G22:G26" ca="1" si="10">1-D22/F22</f>
        <v>3.3149171270718258E-2</v>
      </c>
      <c r="H22" s="66"/>
      <c r="I22" s="124" t="s">
        <v>62</v>
      </c>
      <c r="J22" s="124"/>
      <c r="K22" s="40">
        <v>1</v>
      </c>
      <c r="L22" s="40">
        <v>1.6</v>
      </c>
    </row>
    <row r="23" spans="1:22" s="11" customFormat="1" x14ac:dyDescent="0.25">
      <c r="A23" s="7">
        <v>7</v>
      </c>
      <c r="B23" s="25" t="s">
        <v>24</v>
      </c>
      <c r="C23" s="8" t="s">
        <v>47</v>
      </c>
      <c r="D23" s="26">
        <v>159</v>
      </c>
      <c r="E23" s="27">
        <f t="shared" si="8"/>
        <v>5.7214825476790215E-2</v>
      </c>
      <c r="F23" s="42">
        <f ca="1">SUMIF('Транзакции в профилях'!$C$4:$I$43,C23,'Транзакции в профилях'!$I$4:$I$43)</f>
        <v>163</v>
      </c>
      <c r="G23" s="43">
        <f t="shared" ca="1" si="10"/>
        <v>2.4539877300613466E-2</v>
      </c>
    </row>
    <row r="24" spans="1:22" ht="15" x14ac:dyDescent="0.25">
      <c r="A24" s="7">
        <v>8</v>
      </c>
      <c r="B24" s="25" t="s">
        <v>25</v>
      </c>
      <c r="C24" s="8" t="s">
        <v>55</v>
      </c>
      <c r="D24" s="26">
        <v>73</v>
      </c>
      <c r="E24" s="27">
        <f t="shared" si="8"/>
        <v>2.626844188557035E-2</v>
      </c>
      <c r="F24" s="42">
        <f ca="1">SUMIF('Транзакции в профилях'!$C$4:$I$43,C24,'Транзакции в профилях'!$I$4:$I$43)</f>
        <v>70</v>
      </c>
      <c r="G24" s="43">
        <f t="shared" ca="1" si="10"/>
        <v>-4.2857142857142927E-2</v>
      </c>
      <c r="H24"/>
      <c r="I24"/>
      <c r="J24"/>
      <c r="K24"/>
      <c r="L24"/>
      <c r="M24"/>
      <c r="N24"/>
      <c r="O24"/>
    </row>
    <row r="25" spans="1:22" ht="15" x14ac:dyDescent="0.25">
      <c r="A25" s="7">
        <v>9</v>
      </c>
      <c r="B25" s="25" t="s">
        <v>65</v>
      </c>
      <c r="C25" s="99" t="s">
        <v>46</v>
      </c>
      <c r="D25" s="98">
        <v>329</v>
      </c>
      <c r="E25" s="27">
        <f t="shared" si="8"/>
        <v>0.11838790931989925</v>
      </c>
      <c r="F25" s="42">
        <f ca="1">SUMIF('Транзакции в профилях'!$C$4:$I$43,C25,'Транзакции в профилях'!$I$4:$I$43)</f>
        <v>329</v>
      </c>
      <c r="G25" s="43">
        <f t="shared" ca="1" si="10"/>
        <v>0</v>
      </c>
      <c r="H25" s="22"/>
      <c r="I25" s="22"/>
      <c r="J25" s="109"/>
      <c r="K25"/>
      <c r="L25">
        <f>L18-L18*8%</f>
        <v>0.49680000000000002</v>
      </c>
      <c r="M25"/>
      <c r="N25"/>
      <c r="O25"/>
    </row>
    <row r="26" spans="1:22" ht="15" x14ac:dyDescent="0.25">
      <c r="A26" s="7">
        <v>10</v>
      </c>
      <c r="B26" s="25" t="s">
        <v>26</v>
      </c>
      <c r="C26" s="8" t="s">
        <v>45</v>
      </c>
      <c r="D26" s="26">
        <v>326</v>
      </c>
      <c r="E26" s="27">
        <f t="shared" si="8"/>
        <v>0.11730838431090321</v>
      </c>
      <c r="F26" s="42">
        <f ca="1">SUMIF('Транзакции в профилях'!$C$4:$I$43,C26,'Транзакции в профилях'!$I$4:$I$43)</f>
        <v>329</v>
      </c>
      <c r="G26" s="43">
        <f t="shared" ca="1" si="10"/>
        <v>9.1185410334346795E-3</v>
      </c>
      <c r="H26" s="22"/>
      <c r="I26" s="22"/>
      <c r="J26" s="109"/>
      <c r="K26"/>
      <c r="L26"/>
      <c r="M26"/>
      <c r="N26"/>
      <c r="O26"/>
    </row>
    <row r="27" spans="1:22" ht="15" x14ac:dyDescent="0.25">
      <c r="A27" s="70"/>
      <c r="B27" s="71" t="s">
        <v>27</v>
      </c>
      <c r="C27" s="71"/>
      <c r="D27" s="70">
        <f>SUM(D17:D26)</f>
        <v>2779</v>
      </c>
      <c r="E27" s="72">
        <v>1</v>
      </c>
      <c r="F27" s="73">
        <f ca="1">SUM(F17:F26)</f>
        <v>2785</v>
      </c>
      <c r="G27" s="123">
        <f ca="1">AVERAGE(G17:G26)</f>
        <v>1.0394033191209906E-3</v>
      </c>
      <c r="H27" s="22"/>
      <c r="I27" s="22"/>
      <c r="J27" s="109"/>
      <c r="K27"/>
      <c r="L27"/>
      <c r="M27"/>
      <c r="N27"/>
      <c r="O27"/>
    </row>
    <row r="28" spans="1:22" ht="15" x14ac:dyDescent="0.25">
      <c r="H28" s="22"/>
      <c r="I28" s="22"/>
      <c r="J28" s="109"/>
      <c r="K28"/>
      <c r="L28"/>
      <c r="M28"/>
      <c r="N28"/>
      <c r="O28"/>
    </row>
    <row r="29" spans="1:22" ht="18.75" x14ac:dyDescent="0.25">
      <c r="A29" s="133" t="s">
        <v>70</v>
      </c>
      <c r="B29" s="133"/>
      <c r="C29" s="133"/>
      <c r="D29" s="133"/>
      <c r="H29" s="22"/>
      <c r="I29" s="22"/>
      <c r="J29" s="109"/>
      <c r="K29"/>
      <c r="L29"/>
      <c r="M29"/>
      <c r="N29"/>
      <c r="O29"/>
    </row>
    <row r="30" spans="1:22" ht="15" x14ac:dyDescent="0.25">
      <c r="H30" s="22"/>
      <c r="I30" s="22"/>
      <c r="J30" s="109"/>
      <c r="K30"/>
      <c r="L30"/>
      <c r="M30"/>
      <c r="N30"/>
      <c r="O30"/>
    </row>
    <row r="31" spans="1:22" ht="15" x14ac:dyDescent="0.25">
      <c r="A31" s="6" t="s">
        <v>1</v>
      </c>
      <c r="B31" s="6" t="s">
        <v>5</v>
      </c>
      <c r="C31" s="6" t="s">
        <v>6</v>
      </c>
      <c r="D31" s="6" t="s">
        <v>7</v>
      </c>
      <c r="H31" s="22"/>
      <c r="I31" s="22"/>
      <c r="J31" s="36"/>
      <c r="K31"/>
      <c r="L31"/>
      <c r="M31"/>
      <c r="N31"/>
      <c r="O31"/>
    </row>
    <row r="32" spans="1:22" ht="15" x14ac:dyDescent="0.25">
      <c r="A32" s="7">
        <v>1</v>
      </c>
      <c r="B32" s="111">
        <f>G11</f>
        <v>6</v>
      </c>
      <c r="C32" s="16">
        <f>B32/$G$11</f>
        <v>1</v>
      </c>
      <c r="D32" s="19">
        <f>$J$11</f>
        <v>422</v>
      </c>
      <c r="H32" s="22"/>
      <c r="I32" s="22"/>
      <c r="J32" s="36"/>
      <c r="K32"/>
      <c r="L32"/>
      <c r="M32"/>
      <c r="N32"/>
      <c r="O32"/>
    </row>
    <row r="33" spans="1:15" ht="15" x14ac:dyDescent="0.25">
      <c r="A33" s="7">
        <v>2</v>
      </c>
      <c r="B33" s="18">
        <f>B32+$B$32</f>
        <v>12</v>
      </c>
      <c r="C33" s="16">
        <f>B33/$G$11</f>
        <v>2</v>
      </c>
      <c r="D33" s="19">
        <f>$J$11*C33</f>
        <v>844</v>
      </c>
      <c r="H33" s="22"/>
      <c r="I33" s="22"/>
      <c r="J33" s="36"/>
      <c r="K33"/>
      <c r="L33"/>
      <c r="M33"/>
      <c r="N33"/>
      <c r="O33"/>
    </row>
    <row r="34" spans="1:15" ht="15" x14ac:dyDescent="0.25">
      <c r="A34" s="7">
        <v>3</v>
      </c>
      <c r="B34" s="18">
        <f t="shared" ref="B34:B35" si="11">B33+$B$32</f>
        <v>18</v>
      </c>
      <c r="C34" s="16">
        <f>B34/$G$11</f>
        <v>3</v>
      </c>
      <c r="D34" s="19">
        <f>$J$11*C34</f>
        <v>1266</v>
      </c>
      <c r="H34" s="22"/>
      <c r="I34" s="22"/>
      <c r="J34" s="36"/>
      <c r="K34"/>
      <c r="L34"/>
      <c r="M34"/>
      <c r="N34"/>
      <c r="O34"/>
    </row>
    <row r="35" spans="1:15" ht="15" x14ac:dyDescent="0.25">
      <c r="A35" s="7">
        <v>4</v>
      </c>
      <c r="B35" s="18">
        <f t="shared" si="11"/>
        <v>24</v>
      </c>
      <c r="C35" s="16">
        <f>B35/$G$11</f>
        <v>4</v>
      </c>
      <c r="D35" s="19">
        <f>$J$11*C35</f>
        <v>1688</v>
      </c>
      <c r="H35" s="22"/>
      <c r="I35" s="22"/>
      <c r="J35" s="36"/>
      <c r="K35"/>
      <c r="L35"/>
      <c r="M35"/>
      <c r="N35"/>
      <c r="O35"/>
    </row>
    <row r="36" spans="1:15" ht="15" x14ac:dyDescent="0.25">
      <c r="A36" s="130" t="s">
        <v>67</v>
      </c>
      <c r="B36" s="131"/>
      <c r="C36" s="132"/>
      <c r="D36" s="77">
        <f>SUM(D32:D35)</f>
        <v>4220</v>
      </c>
      <c r="H36" s="22"/>
      <c r="I36" s="22"/>
      <c r="J36" s="23"/>
      <c r="K36"/>
      <c r="L36"/>
      <c r="M36"/>
      <c r="N36"/>
      <c r="O36"/>
    </row>
    <row r="37" spans="1:15" ht="15" x14ac:dyDescent="0.25">
      <c r="I37"/>
      <c r="J37"/>
      <c r="K37"/>
      <c r="L37"/>
      <c r="M37"/>
      <c r="N37"/>
      <c r="O37"/>
    </row>
    <row r="38" spans="1:15" ht="15" x14ac:dyDescent="0.25">
      <c r="I38"/>
      <c r="J38"/>
      <c r="K38"/>
    </row>
    <row r="39" spans="1:15" ht="15" x14ac:dyDescent="0.25">
      <c r="I39"/>
      <c r="J39"/>
      <c r="K39"/>
    </row>
    <row r="40" spans="1:15" ht="15" x14ac:dyDescent="0.25">
      <c r="I40"/>
      <c r="J40"/>
      <c r="K40"/>
    </row>
    <row r="41" spans="1:15" ht="15" x14ac:dyDescent="0.25">
      <c r="I41"/>
      <c r="J41"/>
      <c r="K41"/>
    </row>
    <row r="42" spans="1:15" ht="15" x14ac:dyDescent="0.25">
      <c r="I42"/>
      <c r="J42"/>
      <c r="K42"/>
    </row>
  </sheetData>
  <mergeCells count="31">
    <mergeCell ref="C3:C4"/>
    <mergeCell ref="K3:K4"/>
    <mergeCell ref="D15:E15"/>
    <mergeCell ref="F15:G15"/>
    <mergeCell ref="A11:D11"/>
    <mergeCell ref="A36:C36"/>
    <mergeCell ref="A29:D29"/>
    <mergeCell ref="A13:G13"/>
    <mergeCell ref="A1:N1"/>
    <mergeCell ref="L15:L16"/>
    <mergeCell ref="L3:N3"/>
    <mergeCell ref="A3:A4"/>
    <mergeCell ref="B3:B4"/>
    <mergeCell ref="D3:D4"/>
    <mergeCell ref="E3:E4"/>
    <mergeCell ref="F3:F4"/>
    <mergeCell ref="G3:G4"/>
    <mergeCell ref="H3:H4"/>
    <mergeCell ref="I3:I4"/>
    <mergeCell ref="J3:J4"/>
    <mergeCell ref="I20:J20"/>
    <mergeCell ref="I21:J21"/>
    <mergeCell ref="I22:J22"/>
    <mergeCell ref="A15:A16"/>
    <mergeCell ref="K15:K16"/>
    <mergeCell ref="I15:J16"/>
    <mergeCell ref="I17:J17"/>
    <mergeCell ref="I18:J18"/>
    <mergeCell ref="I19:J19"/>
    <mergeCell ref="C15:C16"/>
    <mergeCell ref="B15:B16"/>
  </mergeCells>
  <pageMargins left="0.7" right="0.7" top="0.75" bottom="0.75" header="0.3" footer="0.3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opLeftCell="A19" zoomScaleNormal="100" workbookViewId="0">
      <selection activeCell="B24" sqref="B24"/>
    </sheetView>
  </sheetViews>
  <sheetFormatPr defaultRowHeight="12.75" x14ac:dyDescent="0.2"/>
  <cols>
    <col min="1" max="1" width="26.5703125" style="9" customWidth="1"/>
    <col min="2" max="2" width="32.85546875" style="9" bestFit="1" customWidth="1"/>
    <col min="3" max="3" width="24.5703125" style="9" customWidth="1"/>
    <col min="4" max="4" width="9.42578125" style="10" customWidth="1"/>
    <col min="5" max="5" width="8" style="10" bestFit="1" customWidth="1"/>
    <col min="6" max="6" width="11" style="10" customWidth="1"/>
    <col min="7" max="7" width="16.140625" style="10" customWidth="1"/>
    <col min="8" max="8" width="15.28515625" style="10" customWidth="1"/>
    <col min="9" max="9" width="10.28515625" style="10" bestFit="1" customWidth="1"/>
    <col min="10" max="10" width="9.140625" style="9"/>
    <col min="11" max="11" width="17.28515625" style="9" customWidth="1"/>
    <col min="12" max="12" width="33.28515625" style="15" customWidth="1"/>
    <col min="13" max="16384" width="9.140625" style="9"/>
  </cols>
  <sheetData>
    <row r="1" spans="1:13" ht="20.25" x14ac:dyDescent="0.3">
      <c r="A1" s="137" t="s">
        <v>68</v>
      </c>
      <c r="B1" s="137"/>
      <c r="C1" s="137"/>
      <c r="D1" s="137"/>
      <c r="E1" s="137"/>
      <c r="F1" s="137"/>
      <c r="G1" s="137"/>
      <c r="H1" s="137"/>
      <c r="I1" s="137"/>
    </row>
    <row r="3" spans="1:13" s="5" customFormat="1" ht="26.25" thickBot="1" x14ac:dyDescent="0.25">
      <c r="A3" s="47" t="s">
        <v>28</v>
      </c>
      <c r="B3" s="47" t="s">
        <v>76</v>
      </c>
      <c r="C3" s="47" t="s">
        <v>57</v>
      </c>
      <c r="D3" s="47" t="s">
        <v>58</v>
      </c>
      <c r="E3" s="47" t="s">
        <v>29</v>
      </c>
      <c r="F3" s="47" t="s">
        <v>59</v>
      </c>
      <c r="G3" s="47" t="s">
        <v>75</v>
      </c>
      <c r="H3" s="47" t="s">
        <v>30</v>
      </c>
      <c r="I3" s="47" t="s">
        <v>27</v>
      </c>
      <c r="M3" s="9"/>
    </row>
    <row r="4" spans="1:13" ht="15" x14ac:dyDescent="0.25">
      <c r="A4" s="51" t="s">
        <v>40</v>
      </c>
      <c r="B4" s="84" t="s">
        <v>63</v>
      </c>
      <c r="C4" s="52" t="s">
        <v>51</v>
      </c>
      <c r="D4" s="53">
        <v>1</v>
      </c>
      <c r="E4" s="53">
        <f>VLOOKUP(A4,'Расчетная таблица'!$C$5:$G$9,5,0)</f>
        <v>1</v>
      </c>
      <c r="F4" s="53">
        <f>VLOOKUP(A4,'Расчетная таблица'!$C$5:$K$9,4,0)</f>
        <v>15.43</v>
      </c>
      <c r="G4" s="89">
        <f>VLOOKUP(A4,'Расчетная таблица'!$C$5:$K$9,6,0)</f>
        <v>3.8885288399222295</v>
      </c>
      <c r="H4" s="53">
        <f>VLOOKUP(A4,'Расчетная таблица'!$C$5:$K$9,7,0)</f>
        <v>20</v>
      </c>
      <c r="I4" s="54">
        <f>VLOOKUP(A4,'Расчетная таблица'!$C$5:$K$9,8,0)</f>
        <v>78</v>
      </c>
      <c r="M4"/>
    </row>
    <row r="5" spans="1:13" ht="15" x14ac:dyDescent="0.25">
      <c r="A5" s="55" t="s">
        <v>40</v>
      </c>
      <c r="B5" s="85" t="s">
        <v>20</v>
      </c>
      <c r="C5" s="12" t="s">
        <v>50</v>
      </c>
      <c r="D5" s="13">
        <v>1</v>
      </c>
      <c r="E5" s="13">
        <f>VLOOKUP(A5,'Расчетная таблица'!$C$5:$G$9,5,0)</f>
        <v>1</v>
      </c>
      <c r="F5" s="13">
        <f>VLOOKUP(A5,'Расчетная таблица'!$C$5:$K$9,4,0)</f>
        <v>15.43</v>
      </c>
      <c r="G5" s="90">
        <f>VLOOKUP(A5,'Расчетная таблица'!$C$5:$K$9,6,0)</f>
        <v>3.8885288399222295</v>
      </c>
      <c r="H5" s="13">
        <f>VLOOKUP(A5,'Расчетная таблица'!$C$5:$K$9,7,0)</f>
        <v>20</v>
      </c>
      <c r="I5" s="56">
        <f>VLOOKUP(A5,'Расчетная таблица'!$C$5:$K$9,8,0)</f>
        <v>78</v>
      </c>
      <c r="M5"/>
    </row>
    <row r="6" spans="1:13" ht="15" x14ac:dyDescent="0.25">
      <c r="A6" s="55" t="s">
        <v>40</v>
      </c>
      <c r="B6" s="85" t="s">
        <v>64</v>
      </c>
      <c r="C6" s="12" t="s">
        <v>49</v>
      </c>
      <c r="D6" s="13">
        <v>1</v>
      </c>
      <c r="E6" s="13">
        <f>VLOOKUP(A6,'Расчетная таблица'!$C$5:$G$9,5,0)</f>
        <v>1</v>
      </c>
      <c r="F6" s="13">
        <f>VLOOKUP(A6,'Расчетная таблица'!$C$5:$K$9,4,0)</f>
        <v>15.43</v>
      </c>
      <c r="G6" s="90">
        <f>VLOOKUP(A6,'Расчетная таблица'!$C$5:$K$9,6,0)</f>
        <v>3.8885288399222295</v>
      </c>
      <c r="H6" s="13">
        <f>VLOOKUP(A6,'Расчетная таблица'!$C$5:$K$9,7,0)</f>
        <v>20</v>
      </c>
      <c r="I6" s="56">
        <f>VLOOKUP(A6,'Расчетная таблица'!$C$5:$K$9,8,0)</f>
        <v>78</v>
      </c>
      <c r="M6"/>
    </row>
    <row r="7" spans="1:13" ht="15" x14ac:dyDescent="0.25">
      <c r="A7" s="55" t="s">
        <v>40</v>
      </c>
      <c r="B7" s="85" t="s">
        <v>21</v>
      </c>
      <c r="C7" s="12" t="s">
        <v>48</v>
      </c>
      <c r="D7" s="13">
        <v>1</v>
      </c>
      <c r="E7" s="13">
        <f>VLOOKUP(A7,'Расчетная таблица'!$C$5:$G$9,5,0)</f>
        <v>1</v>
      </c>
      <c r="F7" s="13">
        <f>VLOOKUP(A7,'Расчетная таблица'!$C$5:$K$9,4,0)</f>
        <v>15.43</v>
      </c>
      <c r="G7" s="90">
        <f>VLOOKUP(A7,'Расчетная таблица'!$C$5:$K$9,6,0)</f>
        <v>3.8885288399222295</v>
      </c>
      <c r="H7" s="13">
        <f>VLOOKUP(A7,'Расчетная таблица'!$C$5:$K$9,7,0)</f>
        <v>20</v>
      </c>
      <c r="I7" s="56">
        <f>VLOOKUP(A7,'Расчетная таблица'!$C$5:$K$9,8,0)</f>
        <v>78</v>
      </c>
      <c r="M7"/>
    </row>
    <row r="8" spans="1:13" ht="15" x14ac:dyDescent="0.25">
      <c r="A8" s="55" t="s">
        <v>40</v>
      </c>
      <c r="B8" s="85" t="s">
        <v>22</v>
      </c>
      <c r="C8" s="12" t="s">
        <v>54</v>
      </c>
      <c r="D8" s="13">
        <v>1</v>
      </c>
      <c r="E8" s="13">
        <f>VLOOKUP(A8,'Расчетная таблица'!$C$5:$G$9,5,0)</f>
        <v>1</v>
      </c>
      <c r="F8" s="13">
        <f>VLOOKUP(A8,'Расчетная таблица'!$C$5:$K$9,4,0)</f>
        <v>15.43</v>
      </c>
      <c r="G8" s="90">
        <f>VLOOKUP(A8,'Расчетная таблица'!$C$5:$K$9,6,0)</f>
        <v>3.8885288399222295</v>
      </c>
      <c r="H8" s="13">
        <f>VLOOKUP(A8,'Расчетная таблица'!$C$5:$K$9,7,0)</f>
        <v>20</v>
      </c>
      <c r="I8" s="56">
        <f>VLOOKUP(A8,'Расчетная таблица'!$C$5:$K$9,8,0)</f>
        <v>78</v>
      </c>
      <c r="M8"/>
    </row>
    <row r="9" spans="1:13" ht="15" x14ac:dyDescent="0.25">
      <c r="A9" s="55" t="s">
        <v>40</v>
      </c>
      <c r="B9" s="85" t="s">
        <v>65</v>
      </c>
      <c r="C9" s="12" t="s">
        <v>46</v>
      </c>
      <c r="D9" s="13">
        <v>1</v>
      </c>
      <c r="E9" s="13">
        <f>VLOOKUP(A9,'Расчетная таблица'!$C$5:$G$9,5,0)</f>
        <v>1</v>
      </c>
      <c r="F9" s="13">
        <f>VLOOKUP(A9,'Расчетная таблица'!$C$5:$K$9,4,0)</f>
        <v>15.43</v>
      </c>
      <c r="G9" s="90">
        <f>VLOOKUP(A9,'Расчетная таблица'!$C$5:$K$9,6,0)</f>
        <v>3.8885288399222295</v>
      </c>
      <c r="H9" s="13">
        <f>VLOOKUP(A9,'Расчетная таблица'!$C$5:$K$9,7,0)</f>
        <v>20</v>
      </c>
      <c r="I9" s="56">
        <f>VLOOKUP(A9,'Расчетная таблица'!$C$5:$K$9,8,0)</f>
        <v>78</v>
      </c>
      <c r="M9"/>
    </row>
    <row r="10" spans="1:13" ht="15.75" thickBot="1" x14ac:dyDescent="0.3">
      <c r="A10" s="57" t="s">
        <v>40</v>
      </c>
      <c r="B10" s="86" t="s">
        <v>26</v>
      </c>
      <c r="C10" s="58" t="s">
        <v>45</v>
      </c>
      <c r="D10" s="59">
        <v>1</v>
      </c>
      <c r="E10" s="59">
        <f>VLOOKUP(A10,'Расчетная таблица'!$C$5:$G$9,5,0)</f>
        <v>1</v>
      </c>
      <c r="F10" s="59">
        <f>VLOOKUP(A10,'Расчетная таблица'!$C$5:$K$9,4,0)</f>
        <v>15.43</v>
      </c>
      <c r="G10" s="91">
        <f>VLOOKUP(A10,'Расчетная таблица'!$C$5:$K$9,6,0)</f>
        <v>3.8885288399222295</v>
      </c>
      <c r="H10" s="59">
        <f>VLOOKUP(A10,'Расчетная таблица'!$C$5:$K$9,7,0)</f>
        <v>20</v>
      </c>
      <c r="I10" s="60">
        <f>VLOOKUP(A10,'Расчетная таблица'!$C$5:$K$9,8,0)</f>
        <v>78</v>
      </c>
      <c r="M10"/>
    </row>
    <row r="11" spans="1:13" ht="15" x14ac:dyDescent="0.25">
      <c r="A11" s="48" t="s">
        <v>41</v>
      </c>
      <c r="B11" s="48" t="s">
        <v>63</v>
      </c>
      <c r="C11" s="48" t="s">
        <v>51</v>
      </c>
      <c r="D11" s="49">
        <v>1</v>
      </c>
      <c r="E11" s="49">
        <f>VLOOKUP(A11,'Расчетная таблица'!$C$5:$G$9,5,0)</f>
        <v>1</v>
      </c>
      <c r="F11" s="49">
        <f>VLOOKUP(A11,'Расчетная таблица'!$C$5:$K$9,4,0)</f>
        <v>15.4</v>
      </c>
      <c r="G11" s="92">
        <f>VLOOKUP(A11,'Расчетная таблица'!$C$5:$K$9,6,0)</f>
        <v>3.8961038961038961</v>
      </c>
      <c r="H11" s="49">
        <f>VLOOKUP(A11,'Расчетная таблица'!$C$5:$K$9,7,0)</f>
        <v>20</v>
      </c>
      <c r="I11" s="50">
        <f>VLOOKUP(A11,'Расчетная таблица'!$C$5:$K$9,8,0)</f>
        <v>78</v>
      </c>
      <c r="M11"/>
    </row>
    <row r="12" spans="1:13" ht="15" x14ac:dyDescent="0.25">
      <c r="A12" s="12" t="s">
        <v>41</v>
      </c>
      <c r="B12" s="12" t="s">
        <v>20</v>
      </c>
      <c r="C12" s="12" t="s">
        <v>50</v>
      </c>
      <c r="D12" s="13">
        <v>1</v>
      </c>
      <c r="E12" s="13">
        <f>VLOOKUP(A12,'Расчетная таблица'!$C$5:$G$9,5,0)</f>
        <v>1</v>
      </c>
      <c r="F12" s="13">
        <f>VLOOKUP(A12,'Расчетная таблица'!$C$5:$K$9,4,0)</f>
        <v>15.4</v>
      </c>
      <c r="G12" s="90">
        <f>VLOOKUP(A12,'Расчетная таблица'!$C$5:$K$9,6,0)</f>
        <v>3.8961038961038961</v>
      </c>
      <c r="H12" s="13">
        <f>VLOOKUP(A12,'Расчетная таблица'!$C$5:$K$9,7,0)</f>
        <v>20</v>
      </c>
      <c r="I12" s="14">
        <f>VLOOKUP(A12,'Расчетная таблица'!$C$5:$K$9,8,0)</f>
        <v>78</v>
      </c>
      <c r="M12"/>
    </row>
    <row r="13" spans="1:13" ht="15" x14ac:dyDescent="0.25">
      <c r="A13" s="12" t="s">
        <v>41</v>
      </c>
      <c r="B13" s="12" t="s">
        <v>64</v>
      </c>
      <c r="C13" s="12" t="s">
        <v>49</v>
      </c>
      <c r="D13" s="13">
        <v>1</v>
      </c>
      <c r="E13" s="13">
        <f>VLOOKUP(A13,'Расчетная таблица'!$C$5:$G$9,5,0)</f>
        <v>1</v>
      </c>
      <c r="F13" s="13">
        <f>VLOOKUP(A13,'Расчетная таблица'!$C$5:$K$9,4,0)</f>
        <v>15.4</v>
      </c>
      <c r="G13" s="90">
        <f>VLOOKUP(A13,'Расчетная таблица'!$C$5:$K$9,6,0)</f>
        <v>3.8961038961038961</v>
      </c>
      <c r="H13" s="13">
        <f>VLOOKUP(A13,'Расчетная таблица'!$C$5:$K$9,7,0)</f>
        <v>20</v>
      </c>
      <c r="I13" s="14">
        <f>VLOOKUP(A13,'Расчетная таблица'!$C$5:$K$9,8,0)</f>
        <v>78</v>
      </c>
      <c r="M13"/>
    </row>
    <row r="14" spans="1:13" ht="15" x14ac:dyDescent="0.25">
      <c r="A14" s="12" t="s">
        <v>41</v>
      </c>
      <c r="B14" s="12" t="s">
        <v>21</v>
      </c>
      <c r="C14" s="12" t="s">
        <v>48</v>
      </c>
      <c r="D14" s="13">
        <v>1</v>
      </c>
      <c r="E14" s="13">
        <f>VLOOKUP(A14,'Расчетная таблица'!$C$5:$G$9,5,0)</f>
        <v>1</v>
      </c>
      <c r="F14" s="13">
        <f>VLOOKUP(A14,'Расчетная таблица'!$C$5:$K$9,4,0)</f>
        <v>15.4</v>
      </c>
      <c r="G14" s="90">
        <f>VLOOKUP(A14,'Расчетная таблица'!$C$5:$K$9,6,0)</f>
        <v>3.8961038961038961</v>
      </c>
      <c r="H14" s="13">
        <f>VLOOKUP(A14,'Расчетная таблица'!$C$5:$K$9,7,0)</f>
        <v>20</v>
      </c>
      <c r="I14" s="14">
        <f>VLOOKUP(A14,'Расчетная таблица'!$C$5:$K$9,8,0)</f>
        <v>78</v>
      </c>
      <c r="M14"/>
    </row>
    <row r="15" spans="1:13" ht="15" x14ac:dyDescent="0.25">
      <c r="A15" s="12" t="s">
        <v>41</v>
      </c>
      <c r="B15" s="12" t="s">
        <v>22</v>
      </c>
      <c r="C15" s="12" t="s">
        <v>54</v>
      </c>
      <c r="D15" s="13">
        <v>1</v>
      </c>
      <c r="E15" s="13">
        <f>VLOOKUP(A15,'Расчетная таблица'!$C$5:$G$9,5,0)</f>
        <v>1</v>
      </c>
      <c r="F15" s="13">
        <f>VLOOKUP(A15,'Расчетная таблица'!$C$5:$K$9,4,0)</f>
        <v>15.4</v>
      </c>
      <c r="G15" s="90">
        <f>VLOOKUP(A15,'Расчетная таблица'!$C$5:$K$9,6,0)</f>
        <v>3.8961038961038961</v>
      </c>
      <c r="H15" s="13">
        <f>VLOOKUP(A15,'Расчетная таблица'!$C$5:$K$9,7,0)</f>
        <v>20</v>
      </c>
      <c r="I15" s="14">
        <f>VLOOKUP(A15,'Расчетная таблица'!$C$5:$K$9,8,0)</f>
        <v>78</v>
      </c>
      <c r="M15"/>
    </row>
    <row r="16" spans="1:13" ht="15" x14ac:dyDescent="0.25">
      <c r="A16" s="12" t="s">
        <v>41</v>
      </c>
      <c r="B16" s="12" t="s">
        <v>23</v>
      </c>
      <c r="C16" s="12" t="s">
        <v>56</v>
      </c>
      <c r="D16" s="13">
        <v>1</v>
      </c>
      <c r="E16" s="13">
        <f>VLOOKUP(A16,'Расчетная таблица'!$C$5:$G$9,5,0)</f>
        <v>1</v>
      </c>
      <c r="F16" s="13">
        <f>VLOOKUP(A16,'Расчетная таблица'!$C$5:$K$9,4,0)</f>
        <v>15.4</v>
      </c>
      <c r="G16" s="90">
        <f>VLOOKUP(A16,'Расчетная таблица'!$C$5:$K$9,6,0)</f>
        <v>3.8961038961038961</v>
      </c>
      <c r="H16" s="13">
        <f>VLOOKUP(A16,'Расчетная таблица'!$C$5:$K$9,7,0)</f>
        <v>20</v>
      </c>
      <c r="I16" s="14">
        <f>VLOOKUP(A16,'Расчетная таблица'!$C$5:$K$9,8,0)</f>
        <v>78</v>
      </c>
      <c r="K16"/>
      <c r="L16"/>
      <c r="M16"/>
    </row>
    <row r="17" spans="1:13" ht="15" x14ac:dyDescent="0.25">
      <c r="A17" s="12" t="s">
        <v>41</v>
      </c>
      <c r="B17" s="12" t="s">
        <v>65</v>
      </c>
      <c r="C17" s="12" t="s">
        <v>46</v>
      </c>
      <c r="D17" s="13">
        <v>1</v>
      </c>
      <c r="E17" s="13">
        <f>VLOOKUP(A17,'Расчетная таблица'!$C$5:$G$9,5,0)</f>
        <v>1</v>
      </c>
      <c r="F17" s="13">
        <f>VLOOKUP(A17,'Расчетная таблица'!$C$5:$K$9,4,0)</f>
        <v>15.4</v>
      </c>
      <c r="G17" s="90">
        <f>VLOOKUP(A17,'Расчетная таблица'!$C$5:$K$9,6,0)</f>
        <v>3.8961038961038961</v>
      </c>
      <c r="H17" s="13">
        <f>VLOOKUP(A17,'Расчетная таблица'!$C$5:$K$9,7,0)</f>
        <v>20</v>
      </c>
      <c r="I17" s="14">
        <f>VLOOKUP(A17,'Расчетная таблица'!$C$5:$K$9,8,0)</f>
        <v>78</v>
      </c>
      <c r="K17"/>
      <c r="L17"/>
      <c r="M17"/>
    </row>
    <row r="18" spans="1:13" ht="15.75" thickBot="1" x14ac:dyDescent="0.3">
      <c r="A18" s="61" t="s">
        <v>41</v>
      </c>
      <c r="B18" s="61" t="s">
        <v>26</v>
      </c>
      <c r="C18" s="61" t="s">
        <v>45</v>
      </c>
      <c r="D18" s="62">
        <v>1</v>
      </c>
      <c r="E18" s="62">
        <f>VLOOKUP(A18,'Расчетная таблица'!$C$5:$G$9,5,0)</f>
        <v>1</v>
      </c>
      <c r="F18" s="62">
        <f>VLOOKUP(A18,'Расчетная таблица'!$C$5:$K$9,4,0)</f>
        <v>15.4</v>
      </c>
      <c r="G18" s="93">
        <f>VLOOKUP(A18,'Расчетная таблица'!$C$5:$K$9,6,0)</f>
        <v>3.8961038961038961</v>
      </c>
      <c r="H18" s="62">
        <f>VLOOKUP(A18,'Расчетная таблица'!$C$5:$K$9,7,0)</f>
        <v>20</v>
      </c>
      <c r="I18" s="63">
        <f>VLOOKUP(A18,'Расчетная таблица'!$C$5:$K$9,8,0)</f>
        <v>78</v>
      </c>
      <c r="K18"/>
      <c r="L18"/>
      <c r="M18"/>
    </row>
    <row r="19" spans="1:13" ht="15" x14ac:dyDescent="0.25">
      <c r="A19" s="51" t="s">
        <v>42</v>
      </c>
      <c r="B19" s="84" t="s">
        <v>63</v>
      </c>
      <c r="C19" s="52" t="s">
        <v>51</v>
      </c>
      <c r="D19" s="53">
        <v>1</v>
      </c>
      <c r="E19" s="53">
        <f>VLOOKUP(A19,'Расчетная таблица'!$C$5:$G$9,5,0)</f>
        <v>1</v>
      </c>
      <c r="F19" s="53">
        <f>VLOOKUP(A19,'Расчетная таблица'!$C$5:$K$9,4,0)</f>
        <v>17.23</v>
      </c>
      <c r="G19" s="89">
        <f>VLOOKUP(A19,'Расчетная таблица'!$C$5:$K$9,6,0)</f>
        <v>3.4822983168891466</v>
      </c>
      <c r="H19" s="53">
        <f>VLOOKUP(A19,'Расчетная таблица'!$C$5:$K$9,7,0)</f>
        <v>20</v>
      </c>
      <c r="I19" s="54">
        <f>VLOOKUP(A19,'Расчетная таблица'!$C$5:$K$9,8,0)</f>
        <v>70</v>
      </c>
      <c r="K19"/>
      <c r="L19"/>
      <c r="M19"/>
    </row>
    <row r="20" spans="1:13" ht="15" x14ac:dyDescent="0.25">
      <c r="A20" s="55" t="s">
        <v>42</v>
      </c>
      <c r="B20" s="85" t="s">
        <v>20</v>
      </c>
      <c r="C20" s="12" t="s">
        <v>50</v>
      </c>
      <c r="D20" s="13">
        <v>1</v>
      </c>
      <c r="E20" s="13">
        <f>VLOOKUP(A20,'Расчетная таблица'!$C$5:$G$9,5,0)</f>
        <v>1</v>
      </c>
      <c r="F20" s="13">
        <f>VLOOKUP(A20,'Расчетная таблица'!$C$5:$K$9,4,0)</f>
        <v>17.23</v>
      </c>
      <c r="G20" s="90">
        <f>VLOOKUP(A20,'Расчетная таблица'!$C$5:$K$9,6,0)</f>
        <v>3.4822983168891466</v>
      </c>
      <c r="H20" s="13">
        <f>VLOOKUP(A20,'Расчетная таблица'!$C$5:$K$9,7,0)</f>
        <v>20</v>
      </c>
      <c r="I20" s="56">
        <f>VLOOKUP(A20,'Расчетная таблица'!$C$5:$K$9,8,0)</f>
        <v>70</v>
      </c>
      <c r="K20"/>
      <c r="L20"/>
      <c r="M20"/>
    </row>
    <row r="21" spans="1:13" x14ac:dyDescent="0.2">
      <c r="A21" s="55" t="s">
        <v>42</v>
      </c>
      <c r="B21" s="85" t="s">
        <v>64</v>
      </c>
      <c r="C21" s="12" t="s">
        <v>49</v>
      </c>
      <c r="D21" s="13">
        <v>1</v>
      </c>
      <c r="E21" s="13">
        <f>VLOOKUP(A21,'Расчетная таблица'!$C$5:$G$9,5,0)</f>
        <v>1</v>
      </c>
      <c r="F21" s="13">
        <f>VLOOKUP(A21,'Расчетная таблица'!$C$5:$K$9,4,0)</f>
        <v>17.23</v>
      </c>
      <c r="G21" s="90">
        <f>VLOOKUP(A21,'Расчетная таблица'!$C$5:$K$9,6,0)</f>
        <v>3.4822983168891466</v>
      </c>
      <c r="H21" s="13">
        <f>VLOOKUP(A21,'Расчетная таблица'!$C$5:$K$9,7,0)</f>
        <v>20</v>
      </c>
      <c r="I21" s="56">
        <f>VLOOKUP(A21,'Расчетная таблица'!$C$5:$K$9,8,0)</f>
        <v>70</v>
      </c>
    </row>
    <row r="22" spans="1:13" x14ac:dyDescent="0.2">
      <c r="A22" s="55" t="s">
        <v>42</v>
      </c>
      <c r="B22" s="85" t="s">
        <v>24</v>
      </c>
      <c r="C22" s="12" t="s">
        <v>47</v>
      </c>
      <c r="D22" s="13">
        <v>1</v>
      </c>
      <c r="E22" s="13">
        <f>VLOOKUP(A22,'Расчетная таблица'!$C$5:$G$9,5,0)</f>
        <v>1</v>
      </c>
      <c r="F22" s="13">
        <f>VLOOKUP(A22,'Расчетная таблица'!$C$5:$K$9,4,0)</f>
        <v>17.23</v>
      </c>
      <c r="G22" s="90">
        <f>VLOOKUP(A22,'Расчетная таблица'!$C$5:$K$9,6,0)</f>
        <v>3.4822983168891466</v>
      </c>
      <c r="H22" s="13">
        <f>VLOOKUP(A22,'Расчетная таблица'!$C$5:$K$9,7,0)</f>
        <v>20</v>
      </c>
      <c r="I22" s="56">
        <f>VLOOKUP(A22,'Расчетная таблица'!$C$5:$K$9,8,0)</f>
        <v>70</v>
      </c>
    </row>
    <row r="23" spans="1:13" x14ac:dyDescent="0.2">
      <c r="A23" s="55" t="s">
        <v>42</v>
      </c>
      <c r="B23" s="85" t="s">
        <v>25</v>
      </c>
      <c r="C23" s="12" t="s">
        <v>55</v>
      </c>
      <c r="D23" s="13">
        <v>1</v>
      </c>
      <c r="E23" s="13">
        <f>VLOOKUP(A23,'Расчетная таблица'!$C$5:$G$9,5,0)</f>
        <v>1</v>
      </c>
      <c r="F23" s="13">
        <f>VLOOKUP(A23,'Расчетная таблица'!$C$5:$K$9,4,0)</f>
        <v>17.23</v>
      </c>
      <c r="G23" s="90">
        <f>VLOOKUP(A23,'Расчетная таблица'!$C$5:$K$9,6,0)</f>
        <v>3.4822983168891466</v>
      </c>
      <c r="H23" s="13">
        <f>VLOOKUP(A23,'Расчетная таблица'!$C$5:$K$9,7,0)</f>
        <v>20</v>
      </c>
      <c r="I23" s="56">
        <f>VLOOKUP(A23,'Расчетная таблица'!$C$5:$K$9,8,0)</f>
        <v>70</v>
      </c>
    </row>
    <row r="24" spans="1:13" ht="13.5" thickBot="1" x14ac:dyDescent="0.25">
      <c r="A24" s="57" t="s">
        <v>42</v>
      </c>
      <c r="B24" s="86" t="s">
        <v>65</v>
      </c>
      <c r="C24" s="58" t="s">
        <v>46</v>
      </c>
      <c r="D24" s="59">
        <v>1</v>
      </c>
      <c r="E24" s="59">
        <f>VLOOKUP(A24,'Расчетная таблица'!$C$5:$G$9,5,0)</f>
        <v>1</v>
      </c>
      <c r="F24" s="59">
        <f>VLOOKUP(A24,'Расчетная таблица'!$C$5:$K$9,4,0)</f>
        <v>17.23</v>
      </c>
      <c r="G24" s="91">
        <f>VLOOKUP(A24,'Расчетная таблица'!$C$5:$K$9,6,0)</f>
        <v>3.4822983168891466</v>
      </c>
      <c r="H24" s="59">
        <f>VLOOKUP(A24,'Расчетная таблица'!$C$5:$K$9,7,0)</f>
        <v>20</v>
      </c>
      <c r="I24" s="60">
        <f>VLOOKUP(A24,'Расчетная таблица'!$C$5:$K$9,8,0)</f>
        <v>70</v>
      </c>
    </row>
    <row r="25" spans="1:13" ht="13.5" thickBot="1" x14ac:dyDescent="0.25">
      <c r="A25" s="57" t="s">
        <v>42</v>
      </c>
      <c r="B25" s="86" t="s">
        <v>65</v>
      </c>
      <c r="C25" s="61" t="s">
        <v>45</v>
      </c>
      <c r="D25" s="59">
        <v>1</v>
      </c>
      <c r="E25" s="59">
        <f>VLOOKUP(A25,'Расчетная таблица'!$C$5:$G$9,5,0)</f>
        <v>1</v>
      </c>
      <c r="F25" s="59">
        <f>VLOOKUP(A25,'Расчетная таблица'!$C$5:$K$9,4,0)</f>
        <v>17.23</v>
      </c>
      <c r="G25" s="91">
        <f>VLOOKUP(A25,'Расчетная таблица'!$C$5:$K$9,6,0)</f>
        <v>3.4822983168891466</v>
      </c>
      <c r="H25" s="59">
        <f>VLOOKUP(A25,'Расчетная таблица'!$C$5:$K$9,7,0)</f>
        <v>20</v>
      </c>
      <c r="I25" s="60">
        <f>VLOOKUP(A25,'Расчетная таблица'!$C$5:$K$9,8,0)</f>
        <v>70</v>
      </c>
    </row>
    <row r="26" spans="1:13" x14ac:dyDescent="0.2">
      <c r="A26" s="48" t="s">
        <v>43</v>
      </c>
      <c r="B26" s="48" t="s">
        <v>63</v>
      </c>
      <c r="C26" s="48" t="s">
        <v>51</v>
      </c>
      <c r="D26" s="49">
        <v>1</v>
      </c>
      <c r="E26" s="49">
        <f>VLOOKUP(A26,'Расчетная таблица'!$C$5:$G$9,5,0)</f>
        <v>1</v>
      </c>
      <c r="F26" s="49">
        <f>VLOOKUP(A26,'Расчетная таблица'!$C$5:$K$9,4,0)</f>
        <v>14.55</v>
      </c>
      <c r="G26" s="92">
        <f>VLOOKUP(A26,'Расчетная таблица'!$C$5:$K$9,6,0)</f>
        <v>4.1237113402061851</v>
      </c>
      <c r="H26" s="49">
        <f>VLOOKUP(A26,'Расчетная таблица'!$C$5:$K$9,7,0)</f>
        <v>20</v>
      </c>
      <c r="I26" s="50">
        <f>VLOOKUP(A26,'Расчетная таблица'!$C$5:$K$9,8,0)</f>
        <v>82</v>
      </c>
    </row>
    <row r="27" spans="1:13" x14ac:dyDescent="0.2">
      <c r="A27" s="12" t="s">
        <v>43</v>
      </c>
      <c r="B27" s="12" t="s">
        <v>20</v>
      </c>
      <c r="C27" s="12" t="s">
        <v>50</v>
      </c>
      <c r="D27" s="13">
        <v>1</v>
      </c>
      <c r="E27" s="13">
        <f>VLOOKUP(A27,'Расчетная таблица'!$C$5:$G$9,5,0)</f>
        <v>1</v>
      </c>
      <c r="F27" s="13">
        <f>VLOOKUP(A27,'Расчетная таблица'!$C$5:$K$9,4,0)</f>
        <v>14.55</v>
      </c>
      <c r="G27" s="90">
        <f>VLOOKUP(A27,'Расчетная таблица'!$C$5:$K$9,6,0)</f>
        <v>4.1237113402061851</v>
      </c>
      <c r="H27" s="13">
        <f>VLOOKUP(A27,'Расчетная таблица'!$C$5:$K$9,7,0)</f>
        <v>20</v>
      </c>
      <c r="I27" s="14">
        <f>VLOOKUP(A27,'Расчетная таблица'!$C$5:$K$9,8,0)</f>
        <v>82</v>
      </c>
    </row>
    <row r="28" spans="1:13" ht="13.5" thickBot="1" x14ac:dyDescent="0.25">
      <c r="A28" s="12" t="s">
        <v>43</v>
      </c>
      <c r="B28" s="12" t="s">
        <v>24</v>
      </c>
      <c r="C28" s="12" t="s">
        <v>47</v>
      </c>
      <c r="D28" s="13">
        <v>1</v>
      </c>
      <c r="E28" s="13">
        <f>VLOOKUP(A28,'Расчетная таблица'!$C$5:$G$9,5,0)</f>
        <v>1</v>
      </c>
      <c r="F28" s="13">
        <f>VLOOKUP(A28,'Расчетная таблица'!$C$5:$K$9,4,0)</f>
        <v>14.55</v>
      </c>
      <c r="G28" s="90">
        <f>VLOOKUP(A28,'Расчетная таблица'!$C$5:$K$9,6,0)</f>
        <v>4.1237113402061851</v>
      </c>
      <c r="H28" s="13">
        <f>VLOOKUP(A28,'Расчетная таблица'!$C$5:$K$9,7,0)</f>
        <v>20</v>
      </c>
      <c r="I28" s="14">
        <f>VLOOKUP(A28,'Расчетная таблица'!$C$5:$K$9,8,0)</f>
        <v>82</v>
      </c>
    </row>
    <row r="29" spans="1:13" x14ac:dyDescent="0.2">
      <c r="A29" s="51" t="s">
        <v>44</v>
      </c>
      <c r="B29" s="84" t="s">
        <v>63</v>
      </c>
      <c r="C29" s="52" t="s">
        <v>51</v>
      </c>
      <c r="D29" s="53">
        <v>1</v>
      </c>
      <c r="E29" s="53">
        <f>VLOOKUP(A29,'Расчетная таблица'!$C$5:$G$9,5,0)</f>
        <v>1</v>
      </c>
      <c r="F29" s="53">
        <f>VLOOKUP(A29,'Расчетная таблица'!$C$5:$K$9,4,0)</f>
        <v>11.6</v>
      </c>
      <c r="G29" s="89">
        <f>VLOOKUP(A29,'Расчетная таблица'!$C$5:$K$9,6,0)</f>
        <v>5.1724137931034484</v>
      </c>
      <c r="H29" s="53">
        <f>VLOOKUP(A29,'Расчетная таблица'!$C$5:$K$9,7,0)</f>
        <v>20</v>
      </c>
      <c r="I29" s="54">
        <f>VLOOKUP(A29,'Расчетная таблица'!$C$5:$K$9,8,0)</f>
        <v>103</v>
      </c>
    </row>
    <row r="30" spans="1:13" x14ac:dyDescent="0.2">
      <c r="A30" s="55" t="s">
        <v>44</v>
      </c>
      <c r="B30" s="85" t="s">
        <v>20</v>
      </c>
      <c r="C30" s="12" t="s">
        <v>50</v>
      </c>
      <c r="D30" s="13">
        <v>1</v>
      </c>
      <c r="E30" s="13">
        <f>VLOOKUP(A30,'Расчетная таблица'!$C$5:$G$9,5,0)</f>
        <v>1</v>
      </c>
      <c r="F30" s="13">
        <f>VLOOKUP(A30,'Расчетная таблица'!$C$5:$K$9,4,0)</f>
        <v>11.6</v>
      </c>
      <c r="G30" s="90">
        <f>VLOOKUP(A30,'Расчетная таблица'!$C$5:$K$9,6,0)</f>
        <v>5.1724137931034484</v>
      </c>
      <c r="H30" s="13">
        <f>VLOOKUP(A30,'Расчетная таблица'!$C$5:$K$9,7,0)</f>
        <v>20</v>
      </c>
      <c r="I30" s="56">
        <f>VLOOKUP(A30,'Расчетная таблица'!$C$5:$K$9,8,0)</f>
        <v>103</v>
      </c>
    </row>
    <row r="31" spans="1:13" x14ac:dyDescent="0.2">
      <c r="A31" s="55" t="s">
        <v>44</v>
      </c>
      <c r="B31" s="85" t="s">
        <v>64</v>
      </c>
      <c r="C31" s="12" t="s">
        <v>49</v>
      </c>
      <c r="D31" s="13">
        <v>1</v>
      </c>
      <c r="E31" s="13">
        <f>VLOOKUP(A31,'Расчетная таблица'!$C$5:$G$9,5,0)</f>
        <v>1</v>
      </c>
      <c r="F31" s="13">
        <f>VLOOKUP(A31,'Расчетная таблица'!$C$5:$K$9,4,0)</f>
        <v>11.6</v>
      </c>
      <c r="G31" s="90">
        <f>VLOOKUP(A31,'Расчетная таблица'!$C$5:$K$9,6,0)</f>
        <v>5.1724137931034484</v>
      </c>
      <c r="H31" s="13">
        <f>VLOOKUP(A31,'Расчетная таблица'!$C$5:$K$9,7,0)</f>
        <v>20</v>
      </c>
      <c r="I31" s="56">
        <f>VLOOKUP(A31,'Расчетная таблица'!$C$5:$K$9,8,0)</f>
        <v>103</v>
      </c>
    </row>
    <row r="32" spans="1:13" x14ac:dyDescent="0.2">
      <c r="A32" s="55" t="s">
        <v>44</v>
      </c>
      <c r="B32" s="97" t="s">
        <v>21</v>
      </c>
      <c r="C32" s="97" t="s">
        <v>48</v>
      </c>
      <c r="D32" s="13">
        <v>1</v>
      </c>
      <c r="E32" s="13">
        <f>VLOOKUP(A32,'Расчетная таблица'!$C$5:$G$9,5,0)</f>
        <v>1</v>
      </c>
      <c r="F32" s="13">
        <f>VLOOKUP(A32,'Расчетная таблица'!$C$5:$K$9,4,0)</f>
        <v>11.6</v>
      </c>
      <c r="G32" s="90">
        <f>VLOOKUP(A32,'Расчетная таблица'!$C$5:$K$9,6,0)</f>
        <v>5.1724137931034484</v>
      </c>
      <c r="H32" s="13">
        <f>VLOOKUP(A32,'Расчетная таблица'!$C$5:$K$9,7,0)</f>
        <v>20</v>
      </c>
      <c r="I32" s="56">
        <f>VLOOKUP(A32,'Расчетная таблица'!$C$5:$K$9,8,0)</f>
        <v>103</v>
      </c>
    </row>
    <row r="33" spans="1:9" x14ac:dyDescent="0.2">
      <c r="A33" s="55" t="s">
        <v>44</v>
      </c>
      <c r="B33" s="97" t="s">
        <v>22</v>
      </c>
      <c r="C33" s="97" t="s">
        <v>54</v>
      </c>
      <c r="D33" s="13">
        <v>1</v>
      </c>
      <c r="E33" s="13">
        <f>VLOOKUP(A33,'Расчетная таблица'!$C$5:$G$9,5,0)</f>
        <v>1</v>
      </c>
      <c r="F33" s="13">
        <f>VLOOKUP(A33,'Расчетная таблица'!$C$5:$K$9,4,0)</f>
        <v>11.6</v>
      </c>
      <c r="G33" s="90">
        <f>VLOOKUP(A33,'Расчетная таблица'!$C$5:$K$9,6,0)</f>
        <v>5.1724137931034484</v>
      </c>
      <c r="H33" s="13">
        <f>VLOOKUP(A33,'Расчетная таблица'!$C$5:$K$9,7,0)</f>
        <v>20</v>
      </c>
      <c r="I33" s="56">
        <f>VLOOKUP(A33,'Расчетная таблица'!$C$5:$K$9,8,0)</f>
        <v>103</v>
      </c>
    </row>
    <row r="34" spans="1:9" x14ac:dyDescent="0.2">
      <c r="A34" s="55" t="s">
        <v>44</v>
      </c>
      <c r="B34" s="97" t="s">
        <v>23</v>
      </c>
      <c r="C34" s="97" t="s">
        <v>56</v>
      </c>
      <c r="D34" s="13">
        <v>1</v>
      </c>
      <c r="E34" s="13">
        <f>VLOOKUP(A34,'Расчетная таблица'!$C$5:$G$9,5,0)</f>
        <v>1</v>
      </c>
      <c r="F34" s="13">
        <f>VLOOKUP(A34,'Расчетная таблица'!$C$5:$K$9,4,0)</f>
        <v>11.6</v>
      </c>
      <c r="G34" s="90">
        <f>VLOOKUP(A34,'Расчетная таблица'!$C$5:$K$9,6,0)</f>
        <v>5.1724137931034484</v>
      </c>
      <c r="H34" s="13">
        <f>VLOOKUP(A34,'Расчетная таблица'!$C$5:$K$9,7,0)</f>
        <v>20</v>
      </c>
      <c r="I34" s="56">
        <f>VLOOKUP(A34,'Расчетная таблица'!$C$5:$K$9,8,0)</f>
        <v>103</v>
      </c>
    </row>
    <row r="35" spans="1:9" ht="13.5" thickBot="1" x14ac:dyDescent="0.25">
      <c r="A35" s="57" t="s">
        <v>44</v>
      </c>
      <c r="B35" s="61" t="s">
        <v>26</v>
      </c>
      <c r="C35" s="12" t="s">
        <v>46</v>
      </c>
      <c r="D35" s="59">
        <v>1</v>
      </c>
      <c r="E35" s="59">
        <f>VLOOKUP(A35,'Расчетная таблица'!$C$5:$G$9,5,0)</f>
        <v>1</v>
      </c>
      <c r="F35" s="59">
        <f>VLOOKUP(A35,'Расчетная таблица'!$C$5:$K$9,4,0)</f>
        <v>11.6</v>
      </c>
      <c r="G35" s="91">
        <f>VLOOKUP(A35,'Расчетная таблица'!$C$5:$K$9,6,0)</f>
        <v>5.1724137931034484</v>
      </c>
      <c r="H35" s="59">
        <f>VLOOKUP(A35,'Расчетная таблица'!$C$5:$K$9,7,0)</f>
        <v>20</v>
      </c>
      <c r="I35" s="60">
        <f>VLOOKUP(A35,'Расчетная таблица'!$C$5:$K$9,8,0)</f>
        <v>103</v>
      </c>
    </row>
    <row r="36" spans="1:9" ht="13.5" thickBot="1" x14ac:dyDescent="0.25">
      <c r="A36" s="57" t="s">
        <v>44</v>
      </c>
      <c r="B36" s="61" t="s">
        <v>26</v>
      </c>
      <c r="C36" s="61" t="s">
        <v>45</v>
      </c>
      <c r="D36" s="59">
        <v>1</v>
      </c>
      <c r="E36" s="59">
        <f>VLOOKUP(A36,'Расчетная таблица'!$C$5:$G$9,5,0)</f>
        <v>1</v>
      </c>
      <c r="F36" s="59">
        <f>VLOOKUP(A36,'Расчетная таблица'!$C$5:$K$9,4,0)</f>
        <v>11.6</v>
      </c>
      <c r="G36" s="91">
        <f>VLOOKUP(A36,'Расчетная таблица'!$C$5:$K$9,6,0)</f>
        <v>5.1724137931034484</v>
      </c>
      <c r="H36" s="59">
        <f>VLOOKUP(A36,'Расчетная таблица'!$C$5:$K$9,7,0)</f>
        <v>20</v>
      </c>
      <c r="I36" s="60">
        <f>VLOOKUP(A36,'Расчетная таблица'!$C$5:$K$9,8,0)</f>
        <v>103</v>
      </c>
    </row>
    <row r="37" spans="1:9" ht="12" customHeight="1" x14ac:dyDescent="0.2">
      <c r="A37" s="48" t="s">
        <v>62</v>
      </c>
      <c r="B37" s="48" t="s">
        <v>63</v>
      </c>
      <c r="C37" s="97" t="s">
        <v>51</v>
      </c>
      <c r="D37" s="49">
        <v>1</v>
      </c>
      <c r="E37" s="49">
        <f>VLOOKUP(A37,'Расчетная таблица'!$C$5:$G$10,5,0)</f>
        <v>1</v>
      </c>
      <c r="F37" s="49">
        <f>VLOOKUP(A37,'Расчетная таблица'!$C$5:$K$10,4,0)</f>
        <v>111.9</v>
      </c>
      <c r="G37" s="92">
        <f>VLOOKUP(A37,'Расчетная таблица'!$C$5:$K$11,6,0)</f>
        <v>0.53619302949061665</v>
      </c>
      <c r="H37" s="49">
        <f>VLOOKUP(A37,'Расчетная таблица'!$C$5:$K$10,7,0)</f>
        <v>20</v>
      </c>
      <c r="I37" s="50">
        <f>VLOOKUP(A37,'Расчетная таблица'!$C$5:$K$10,8,0)</f>
        <v>11</v>
      </c>
    </row>
    <row r="38" spans="1:9" ht="12" customHeight="1" x14ac:dyDescent="0.2">
      <c r="A38" s="12" t="s">
        <v>62</v>
      </c>
      <c r="B38" s="12" t="s">
        <v>20</v>
      </c>
      <c r="C38" s="8" t="s">
        <v>50</v>
      </c>
      <c r="D38" s="13">
        <v>1</v>
      </c>
      <c r="E38" s="13">
        <f>VLOOKUP(A38,'Расчетная таблица'!$C$5:$G$10,5,0)</f>
        <v>1</v>
      </c>
      <c r="F38" s="13">
        <f>VLOOKUP(A38,'Расчетная таблица'!$C$5:$K$10,4,0)</f>
        <v>111.9</v>
      </c>
      <c r="G38" s="90">
        <f>VLOOKUP(A38,'Расчетная таблица'!$C$5:$K$11,6,0)</f>
        <v>0.53619302949061665</v>
      </c>
      <c r="H38" s="13">
        <f>VLOOKUP(A38,'Расчетная таблица'!$C$5:$K$10,7,0)</f>
        <v>20</v>
      </c>
      <c r="I38" s="14">
        <f>VLOOKUP(A38,'Расчетная таблица'!$C$5:$K$10,8,0)</f>
        <v>11</v>
      </c>
    </row>
    <row r="39" spans="1:9" x14ac:dyDescent="0.2">
      <c r="A39" s="12" t="s">
        <v>62</v>
      </c>
      <c r="B39" s="12" t="s">
        <v>26</v>
      </c>
      <c r="C39" s="99" t="s">
        <v>49</v>
      </c>
      <c r="D39" s="13">
        <v>1</v>
      </c>
      <c r="E39" s="13">
        <f>VLOOKUP(A39,'Расчетная таблица'!$C$5:$G$10,5,0)</f>
        <v>1</v>
      </c>
      <c r="F39" s="13">
        <f>VLOOKUP(A39,'Расчетная таблица'!$C$5:$K$10,4,0)</f>
        <v>111.9</v>
      </c>
      <c r="G39" s="90">
        <f>VLOOKUP(A39,'Расчетная таблица'!$C$5:$K$11,6,0)</f>
        <v>0.53619302949061665</v>
      </c>
      <c r="H39" s="13">
        <f>VLOOKUP(A39,'Расчетная таблица'!$C$5:$K$10,7,0)</f>
        <v>20</v>
      </c>
      <c r="I39" s="14">
        <f>VLOOKUP(A39,'Расчетная таблица'!$C$5:$K$10,8,0)</f>
        <v>11</v>
      </c>
    </row>
    <row r="40" spans="1:9" x14ac:dyDescent="0.2">
      <c r="A40" s="12" t="s">
        <v>62</v>
      </c>
      <c r="C40" s="8" t="s">
        <v>48</v>
      </c>
      <c r="D40" s="13">
        <v>1</v>
      </c>
      <c r="E40" s="13">
        <f>VLOOKUP(A40,'Расчетная таблица'!$C$5:$G$10,5,0)</f>
        <v>1</v>
      </c>
      <c r="F40" s="13">
        <f>VLOOKUP(A40,'Расчетная таблица'!$C$5:$K$10,4,0)</f>
        <v>111.9</v>
      </c>
      <c r="G40" s="90">
        <f>VLOOKUP(A40,'Расчетная таблица'!$C$5:$K$11,6,0)</f>
        <v>0.53619302949061665</v>
      </c>
      <c r="H40" s="13">
        <f>VLOOKUP(A40,'Расчетная таблица'!$C$5:$K$10,7,0)</f>
        <v>20</v>
      </c>
      <c r="I40" s="14">
        <f>VLOOKUP(A40,'Расчетная таблица'!$C$5:$K$10,8,0)</f>
        <v>11</v>
      </c>
    </row>
    <row r="41" spans="1:9" x14ac:dyDescent="0.2">
      <c r="A41" s="12" t="s">
        <v>62</v>
      </c>
      <c r="C41" s="8" t="s">
        <v>47</v>
      </c>
      <c r="D41" s="13">
        <v>1</v>
      </c>
      <c r="E41" s="13">
        <f>VLOOKUP(A41,'Расчетная таблица'!$C$5:$G$10,5,0)</f>
        <v>1</v>
      </c>
      <c r="F41" s="13">
        <f>VLOOKUP(A41,'Расчетная таблица'!$C$5:$K$10,4,0)</f>
        <v>111.9</v>
      </c>
      <c r="G41" s="90">
        <f>VLOOKUP(A41,'Расчетная таблица'!$C$5:$K$11,6,0)</f>
        <v>0.53619302949061665</v>
      </c>
      <c r="H41" s="13">
        <f>VLOOKUP(A41,'Расчетная таблица'!$C$5:$K$10,7,0)</f>
        <v>20</v>
      </c>
      <c r="I41" s="14">
        <f>VLOOKUP(A41,'Расчетная таблица'!$C$5:$K$10,8,0)</f>
        <v>11</v>
      </c>
    </row>
    <row r="42" spans="1:9" x14ac:dyDescent="0.2">
      <c r="D42" s="9"/>
      <c r="E42" s="9"/>
      <c r="F42" s="9"/>
      <c r="G42" s="9"/>
    </row>
    <row r="43" spans="1:9" x14ac:dyDescent="0.2">
      <c r="D43" s="9"/>
      <c r="E43" s="9"/>
      <c r="F43" s="9"/>
      <c r="G43" s="9"/>
    </row>
    <row r="44" spans="1:9" x14ac:dyDescent="0.2">
      <c r="D44" s="9"/>
      <c r="E44" s="9"/>
      <c r="F44" s="9"/>
      <c r="G44" s="9"/>
    </row>
    <row r="45" spans="1:9" x14ac:dyDescent="0.2">
      <c r="D45" s="9"/>
      <c r="E45" s="9"/>
      <c r="F45" s="9"/>
      <c r="G45" s="9"/>
    </row>
    <row r="46" spans="1:9" x14ac:dyDescent="0.2">
      <c r="D46" s="9"/>
      <c r="E46" s="9"/>
      <c r="F46" s="9"/>
      <c r="G46" s="9"/>
    </row>
    <row r="47" spans="1:9" x14ac:dyDescent="0.2">
      <c r="D47" s="9"/>
      <c r="E47" s="9"/>
      <c r="F47" s="9"/>
      <c r="G47" s="9"/>
    </row>
    <row r="48" spans="1:9" x14ac:dyDescent="0.2">
      <c r="D48" s="9"/>
      <c r="E48" s="9"/>
      <c r="F48" s="9"/>
      <c r="G48" s="9"/>
    </row>
    <row r="49" spans="4:7" x14ac:dyDescent="0.2">
      <c r="D49" s="9"/>
      <c r="E49" s="9"/>
      <c r="F49" s="9"/>
      <c r="G49" s="9"/>
    </row>
    <row r="50" spans="4:7" x14ac:dyDescent="0.2">
      <c r="D50" s="9"/>
      <c r="E50" s="9"/>
      <c r="F50" s="9"/>
      <c r="G50" s="9"/>
    </row>
    <row r="51" spans="4:7" x14ac:dyDescent="0.2">
      <c r="D51" s="9"/>
      <c r="E51" s="9"/>
      <c r="F51" s="9"/>
      <c r="G51" s="9"/>
    </row>
    <row r="52" spans="4:7" x14ac:dyDescent="0.2">
      <c r="D52" s="9"/>
      <c r="E52" s="9"/>
      <c r="F52" s="9"/>
      <c r="G52" s="9"/>
    </row>
    <row r="53" spans="4:7" x14ac:dyDescent="0.2">
      <c r="D53" s="9"/>
      <c r="E53" s="9"/>
      <c r="F53" s="9"/>
      <c r="G53" s="9"/>
    </row>
    <row r="54" spans="4:7" x14ac:dyDescent="0.2">
      <c r="D54" s="9"/>
      <c r="E54" s="9"/>
      <c r="F54" s="9"/>
      <c r="G54" s="9"/>
    </row>
    <row r="55" spans="4:7" x14ac:dyDescent="0.2">
      <c r="D55" s="9"/>
      <c r="E55" s="9"/>
      <c r="F55" s="9"/>
      <c r="G55" s="9"/>
    </row>
    <row r="56" spans="4:7" x14ac:dyDescent="0.2">
      <c r="D56" s="9"/>
      <c r="E56" s="9"/>
      <c r="F56" s="9"/>
      <c r="G56" s="9"/>
    </row>
    <row r="57" spans="4:7" x14ac:dyDescent="0.2">
      <c r="D57" s="9"/>
      <c r="E57" s="9"/>
      <c r="F57" s="9"/>
      <c r="G57" s="9"/>
    </row>
    <row r="58" spans="4:7" x14ac:dyDescent="0.2">
      <c r="D58" s="9"/>
      <c r="E58" s="9"/>
      <c r="F58" s="9"/>
      <c r="G58" s="9"/>
    </row>
    <row r="59" spans="4:7" x14ac:dyDescent="0.2">
      <c r="D59" s="9"/>
      <c r="E59" s="9"/>
      <c r="F59" s="9"/>
      <c r="G59" s="9"/>
    </row>
    <row r="60" spans="4:7" x14ac:dyDescent="0.2">
      <c r="D60" s="9"/>
      <c r="E60" s="9"/>
      <c r="F60" s="9"/>
      <c r="G60" s="9"/>
    </row>
  </sheetData>
  <autoFilter ref="A3:M39"/>
  <mergeCells count="1">
    <mergeCell ref="A1:I1"/>
  </mergeCells>
  <pageMargins left="0.7" right="0.7" top="0.75" bottom="0.75" header="0.3" footer="0.3"/>
  <pageSetup paperSize="9" scale="7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opLeftCell="A19" zoomScaleNormal="100" workbookViewId="0">
      <selection activeCell="I7" sqref="I7"/>
    </sheetView>
  </sheetViews>
  <sheetFormatPr defaultRowHeight="12.75" x14ac:dyDescent="0.25"/>
  <cols>
    <col min="1" max="1" width="7.140625" style="17" customWidth="1"/>
    <col min="2" max="2" width="36.28515625" style="17" customWidth="1"/>
    <col min="3" max="3" width="22.85546875" style="17" bestFit="1" customWidth="1"/>
    <col min="4" max="4" width="16" style="17" customWidth="1"/>
    <col min="5" max="5" width="11.7109375" style="17" customWidth="1"/>
    <col min="6" max="6" width="16" style="17" customWidth="1"/>
    <col min="7" max="7" width="11.7109375" style="17" customWidth="1"/>
    <col min="8" max="8" width="16" style="17" customWidth="1"/>
    <col min="9" max="9" width="11.7109375" style="17" customWidth="1"/>
    <col min="10" max="16384" width="9.140625" style="17"/>
  </cols>
  <sheetData>
    <row r="1" spans="1:9" ht="18.75" x14ac:dyDescent="0.25">
      <c r="A1" s="133" t="s">
        <v>69</v>
      </c>
      <c r="B1" s="133"/>
      <c r="C1" s="133"/>
      <c r="D1" s="133"/>
      <c r="E1" s="133"/>
      <c r="F1" s="133"/>
      <c r="G1" s="133"/>
      <c r="H1" s="133"/>
      <c r="I1" s="133"/>
    </row>
    <row r="3" spans="1:9" ht="24.75" customHeight="1" x14ac:dyDescent="0.25">
      <c r="A3" s="142" t="s">
        <v>1</v>
      </c>
      <c r="B3" s="142" t="s">
        <v>18</v>
      </c>
      <c r="C3" s="142" t="s">
        <v>57</v>
      </c>
      <c r="D3" s="140" t="s">
        <v>32</v>
      </c>
      <c r="E3" s="140"/>
      <c r="F3" s="141" t="s">
        <v>31</v>
      </c>
      <c r="G3" s="141"/>
      <c r="H3" s="139" t="s">
        <v>60</v>
      </c>
      <c r="I3" s="139"/>
    </row>
    <row r="4" spans="1:9" s="21" customFormat="1" ht="36" customHeight="1" x14ac:dyDescent="0.25">
      <c r="A4" s="142"/>
      <c r="B4" s="142"/>
      <c r="C4" s="142"/>
      <c r="D4" s="31" t="s">
        <v>19</v>
      </c>
      <c r="E4" s="31" t="s">
        <v>34</v>
      </c>
      <c r="F4" s="30" t="s">
        <v>19</v>
      </c>
      <c r="G4" s="30" t="s">
        <v>33</v>
      </c>
      <c r="H4" s="32" t="s">
        <v>19</v>
      </c>
      <c r="I4" s="32" t="s">
        <v>33</v>
      </c>
    </row>
    <row r="5" spans="1:9" x14ac:dyDescent="0.25">
      <c r="A5" s="7">
        <v>1</v>
      </c>
      <c r="B5" s="25" t="str">
        <f>'Расчетная таблица'!B17</f>
        <v>Загрузка страницы</v>
      </c>
      <c r="C5" s="25" t="str">
        <f>'Расчетная таблица'!C17</f>
        <v>Load_start_Page</v>
      </c>
      <c r="D5" s="26">
        <f>'Расчетная таблица'!D17</f>
        <v>422</v>
      </c>
      <c r="E5" s="80">
        <f>'Расчетная таблица'!E17</f>
        <v>0.15185318459877653</v>
      </c>
      <c r="F5" s="34">
        <f ca="1">'Расчетная таблица'!F17</f>
        <v>422</v>
      </c>
      <c r="G5" s="33">
        <f ca="1">'Расчетная таблица'!G17</f>
        <v>0</v>
      </c>
      <c r="H5" s="81">
        <f>VLOOKUP(C5,'import Summary Report'!$A$2:$J$51,8,0)</f>
        <v>434</v>
      </c>
      <c r="I5" s="82">
        <f>1-D5/H5</f>
        <v>2.7649769585253448E-2</v>
      </c>
    </row>
    <row r="6" spans="1:9" x14ac:dyDescent="0.25">
      <c r="A6" s="7">
        <v>2</v>
      </c>
      <c r="B6" s="83" t="str">
        <f>'Расчетная таблица'!B18</f>
        <v>Вход в систему</v>
      </c>
      <c r="C6" s="25" t="str">
        <f>'Расчетная таблица'!C18</f>
        <v>login_user</v>
      </c>
      <c r="D6" s="26">
        <f>'Расчетная таблица'!D18</f>
        <v>422</v>
      </c>
      <c r="E6" s="80">
        <f>'Расчетная таблица'!E18</f>
        <v>0.15185318459877653</v>
      </c>
      <c r="F6" s="34">
        <f ca="1">'Расчетная таблица'!F18</f>
        <v>422</v>
      </c>
      <c r="G6" s="33">
        <f ca="1">'Расчетная таблица'!G18</f>
        <v>0</v>
      </c>
      <c r="H6" s="81">
        <f>VLOOKUP(C6,'import Summary Report'!$A$2:$J$51,8,0)</f>
        <v>434</v>
      </c>
      <c r="I6" s="82">
        <f t="shared" ref="I6:I14" si="0">1-D6/H6</f>
        <v>2.7649769585253448E-2</v>
      </c>
    </row>
    <row r="7" spans="1:9" x14ac:dyDescent="0.25">
      <c r="A7" s="7">
        <v>3</v>
      </c>
      <c r="B7" s="25" t="str">
        <f>'Расчетная таблица'!B19</f>
        <v>Переход к поиску полета</v>
      </c>
      <c r="C7" s="25" t="str">
        <f>'Расчетная таблица'!C19</f>
        <v>goto_Flight</v>
      </c>
      <c r="D7" s="26">
        <f>'Расчетная таблица'!D19</f>
        <v>340</v>
      </c>
      <c r="E7" s="80">
        <f>'Расчетная таблица'!E19</f>
        <v>0.12234616768621806</v>
      </c>
      <c r="F7" s="34">
        <f ca="1">'Расчетная таблица'!F19</f>
        <v>340</v>
      </c>
      <c r="G7" s="33">
        <f ca="1">'Расчетная таблица'!G19</f>
        <v>0</v>
      </c>
      <c r="H7" s="81">
        <f>VLOOKUP(C7,'import Summary Report'!$A$2:$J$51,8,0)</f>
        <v>360</v>
      </c>
      <c r="I7" s="82">
        <f t="shared" si="0"/>
        <v>5.555555555555558E-2</v>
      </c>
    </row>
    <row r="8" spans="1:9" x14ac:dyDescent="0.25">
      <c r="A8" s="7">
        <v>4</v>
      </c>
      <c r="B8" s="83" t="str">
        <f>'Расчетная таблица'!B20</f>
        <v>Заполнение полей для поиска билета</v>
      </c>
      <c r="C8" s="25" t="str">
        <f>'Расчетная таблица'!C20</f>
        <v>Entry_Data_Flight</v>
      </c>
      <c r="D8" s="26">
        <f>'Расчетная таблица'!D20</f>
        <v>282</v>
      </c>
      <c r="E8" s="80">
        <f>'Расчетная таблица'!E20</f>
        <v>0.10147535084562792</v>
      </c>
      <c r="F8" s="34">
        <f ca="1">'Расчетная таблица'!F20</f>
        <v>270</v>
      </c>
      <c r="G8" s="33">
        <f ca="1">'Расчетная таблица'!G20</f>
        <v>-4.4444444444444509E-2</v>
      </c>
      <c r="H8" s="81">
        <f>VLOOKUP(C8,'import Summary Report'!$A$2:$J$51,8,0)</f>
        <v>289</v>
      </c>
      <c r="I8" s="82">
        <f t="shared" si="0"/>
        <v>2.422145328719727E-2</v>
      </c>
    </row>
    <row r="9" spans="1:9" x14ac:dyDescent="0.25">
      <c r="A9" s="7">
        <v>5</v>
      </c>
      <c r="B9" s="83" t="str">
        <f>'Расчетная таблица'!B21</f>
        <v>Выбор рейса из найденных</v>
      </c>
      <c r="C9" s="25" t="str">
        <f>'Расчетная таблица'!C21</f>
        <v>choise_ticket</v>
      </c>
      <c r="D9" s="26">
        <f>'Расчетная таблица'!D21</f>
        <v>251</v>
      </c>
      <c r="E9" s="80">
        <f>'Расчетная таблица'!E21</f>
        <v>9.0320259086002164E-2</v>
      </c>
      <c r="F9" s="34">
        <f ca="1">'Расчетная таблица'!F21</f>
        <v>259</v>
      </c>
      <c r="G9" s="33">
        <f ca="1">'Расчетная таблица'!G21</f>
        <v>3.0888030888030937E-2</v>
      </c>
      <c r="H9" s="81">
        <f>VLOOKUP(C9,'import Summary Report'!$A$2:$J$51,8,0)</f>
        <v>252</v>
      </c>
      <c r="I9" s="82">
        <f t="shared" si="0"/>
        <v>3.9682539682539542E-3</v>
      </c>
    </row>
    <row r="10" spans="1:9" x14ac:dyDescent="0.25">
      <c r="A10" s="7">
        <v>6</v>
      </c>
      <c r="B10" s="83" t="str">
        <f>'Расчетная таблица'!B22</f>
        <v>Оплата билета</v>
      </c>
      <c r="C10" s="25" t="str">
        <f>'Расчетная таблица'!C22</f>
        <v>Entry_Data_Ticket</v>
      </c>
      <c r="D10" s="26">
        <f>'Расчетная таблица'!D22</f>
        <v>175</v>
      </c>
      <c r="E10" s="80">
        <f>'Расчетная таблица'!E22</f>
        <v>6.2972292191435769E-2</v>
      </c>
      <c r="F10" s="34">
        <f ca="1">'Расчетная таблица'!F22</f>
        <v>181</v>
      </c>
      <c r="G10" s="33">
        <f ca="1">'Расчетная таблица'!G22</f>
        <v>3.3149171270718258E-2</v>
      </c>
      <c r="H10" s="81">
        <f>VLOOKUP(C10,'import Summary Report'!$A$2:$J$51,8,0)</f>
        <v>180</v>
      </c>
      <c r="I10" s="82">
        <f t="shared" si="0"/>
        <v>2.777777777777779E-2</v>
      </c>
    </row>
    <row r="11" spans="1:9" x14ac:dyDescent="0.25">
      <c r="A11" s="7">
        <v>7</v>
      </c>
      <c r="B11" s="83" t="str">
        <f>'Расчетная таблица'!B23</f>
        <v>Просмотр квитанций</v>
      </c>
      <c r="C11" s="25" t="str">
        <f>'Расчетная таблица'!C23</f>
        <v>goto_Itinerary</v>
      </c>
      <c r="D11" s="26">
        <f>'Расчетная таблица'!D23</f>
        <v>159</v>
      </c>
      <c r="E11" s="80">
        <f>'Расчетная таблица'!E23</f>
        <v>5.7214825476790215E-2</v>
      </c>
      <c r="F11" s="34">
        <f ca="1">'Расчетная таблица'!F23</f>
        <v>163</v>
      </c>
      <c r="G11" s="33">
        <f ca="1">'Расчетная таблица'!G23</f>
        <v>2.4539877300613466E-2</v>
      </c>
      <c r="H11" s="81">
        <f>VLOOKUP(C11,'import Summary Report'!$A$2:$J$51,8,0)</f>
        <v>158</v>
      </c>
      <c r="I11" s="82">
        <f t="shared" si="0"/>
        <v>-6.3291139240506666E-3</v>
      </c>
    </row>
    <row r="12" spans="1:9" x14ac:dyDescent="0.25">
      <c r="A12" s="7">
        <v>8</v>
      </c>
      <c r="B12" s="83" t="str">
        <f>'Расчетная таблица'!B24</f>
        <v>Отмена бронирования билета</v>
      </c>
      <c r="C12" s="25" t="str">
        <f>'Расчетная таблица'!C24</f>
        <v>Delete_first</v>
      </c>
      <c r="D12" s="26">
        <f>'Расчетная таблица'!D24</f>
        <v>73</v>
      </c>
      <c r="E12" s="80">
        <f>'Расчетная таблица'!E24</f>
        <v>2.626844188557035E-2</v>
      </c>
      <c r="F12" s="34">
        <f ca="1">'Расчетная таблица'!F24</f>
        <v>70</v>
      </c>
      <c r="G12" s="33">
        <f ca="1">'Расчетная таблица'!G24</f>
        <v>-4.2857142857142927E-2</v>
      </c>
      <c r="H12" s="81">
        <f>VLOOKUP(C12,'import Summary Report'!$A$2:$J$51,8,0)</f>
        <v>70</v>
      </c>
      <c r="I12" s="82">
        <f t="shared" si="0"/>
        <v>-4.2857142857142927E-2</v>
      </c>
    </row>
    <row r="13" spans="1:9" x14ac:dyDescent="0.25">
      <c r="A13" s="7">
        <v>9</v>
      </c>
      <c r="B13" s="25" t="str">
        <f>'Расчетная таблица'!B25</f>
        <v>Операция перехода на странцу "Home"</v>
      </c>
      <c r="C13" s="25" t="str">
        <f>'Расчетная таблица'!C25</f>
        <v>goto_home</v>
      </c>
      <c r="D13" s="26">
        <f>'Расчетная таблица'!D25</f>
        <v>329</v>
      </c>
      <c r="E13" s="80">
        <f>'Расчетная таблица'!E25</f>
        <v>0.11838790931989925</v>
      </c>
      <c r="F13" s="34">
        <f ca="1">'Расчетная таблица'!F25</f>
        <v>329</v>
      </c>
      <c r="G13" s="33">
        <f ca="1">'Расчетная таблица'!G25</f>
        <v>0</v>
      </c>
      <c r="H13" s="81">
        <f>VLOOKUP(C13,'import Summary Report'!$A$2:$J$51,8,0)</f>
        <v>322</v>
      </c>
      <c r="I13" s="82">
        <f t="shared" si="0"/>
        <v>-2.1739130434782705E-2</v>
      </c>
    </row>
    <row r="14" spans="1:9" x14ac:dyDescent="0.25">
      <c r="A14" s="7">
        <v>10</v>
      </c>
      <c r="B14" s="83" t="str">
        <f>'Расчетная таблица'!B26</f>
        <v>Выход из системы</v>
      </c>
      <c r="C14" s="25" t="str">
        <f>'Расчетная таблица'!C26</f>
        <v>Logout</v>
      </c>
      <c r="D14" s="26">
        <f>'Расчетная таблица'!D26</f>
        <v>326</v>
      </c>
      <c r="E14" s="80">
        <f>'Расчетная таблица'!E26</f>
        <v>0.11730838431090321</v>
      </c>
      <c r="F14" s="34">
        <f ca="1">'Расчетная таблица'!F26</f>
        <v>329</v>
      </c>
      <c r="G14" s="33">
        <f ca="1">'Расчетная таблица'!G26</f>
        <v>9.1185410334346795E-3</v>
      </c>
      <c r="H14" s="81">
        <f>VLOOKUP(C14,'import Summary Report'!$A$2:$J$51,8,0)</f>
        <v>328</v>
      </c>
      <c r="I14" s="82">
        <f t="shared" si="0"/>
        <v>6.0975609756097615E-3</v>
      </c>
    </row>
    <row r="15" spans="1:9" ht="15" customHeight="1" x14ac:dyDescent="0.25">
      <c r="A15" s="130" t="s">
        <v>67</v>
      </c>
      <c r="B15" s="131"/>
      <c r="C15" s="132"/>
      <c r="D15" s="70">
        <f>'Расчетная таблица'!D27</f>
        <v>2779</v>
      </c>
      <c r="E15" s="75">
        <f>'Расчетная таблица'!E27</f>
        <v>1</v>
      </c>
      <c r="F15" s="78">
        <f ca="1">'Расчетная таблица'!F27</f>
        <v>2785</v>
      </c>
      <c r="G15" s="79">
        <f ca="1">'Расчетная таблица'!G27</f>
        <v>1.0394033191209906E-3</v>
      </c>
      <c r="H15" s="73">
        <f>SUM(H5:H14)</f>
        <v>2827</v>
      </c>
      <c r="I15" s="108">
        <f>AVERAGE(I5:I14)</f>
        <v>1.0199475351892496E-2</v>
      </c>
    </row>
    <row r="17" spans="1:6" ht="27.75" customHeight="1" x14ac:dyDescent="0.25">
      <c r="A17" s="142" t="s">
        <v>1</v>
      </c>
      <c r="B17" s="142" t="s">
        <v>52</v>
      </c>
      <c r="C17" s="142" t="s">
        <v>53</v>
      </c>
      <c r="D17" s="142" t="s">
        <v>19</v>
      </c>
      <c r="E17" s="142"/>
      <c r="F17" s="142" t="s">
        <v>17</v>
      </c>
    </row>
    <row r="18" spans="1:6" ht="30" customHeight="1" x14ac:dyDescent="0.25">
      <c r="A18" s="142"/>
      <c r="B18" s="142"/>
      <c r="C18" s="142"/>
      <c r="D18" s="45" t="s">
        <v>16</v>
      </c>
      <c r="E18" s="45" t="s">
        <v>61</v>
      </c>
      <c r="F18" s="142"/>
    </row>
    <row r="19" spans="1:6" ht="30.75" customHeight="1" x14ac:dyDescent="0.25">
      <c r="A19" s="7">
        <v>1</v>
      </c>
      <c r="B19" s="20" t="str">
        <f>'Расчетная таблица'!B5</f>
        <v>Поиск авиабилета, просмотр истории</v>
      </c>
      <c r="C19" s="20" t="str">
        <f>'Расчетная таблица'!C5</f>
        <v>01_Search_Itinerary</v>
      </c>
      <c r="D19" s="39">
        <f>'Расчетная таблица'!J5</f>
        <v>78</v>
      </c>
      <c r="E19" s="46">
        <f>VLOOKUP(C19,'import Summary Report'!$A$2:$J$51,8,0)</f>
        <v>73</v>
      </c>
      <c r="F19" s="38">
        <f t="shared" ref="F19:F24" si="1">1-D19/E19</f>
        <v>-6.8493150684931559E-2</v>
      </c>
    </row>
    <row r="20" spans="1:6" ht="30.75" customHeight="1" x14ac:dyDescent="0.25">
      <c r="A20" s="7">
        <v>2</v>
      </c>
      <c r="B20" s="20" t="str">
        <f>'Расчетная таблица'!B6</f>
        <v xml:space="preserve">Поиск и покупка авиабилета </v>
      </c>
      <c r="C20" s="20" t="str">
        <f>'Расчетная таблица'!C6</f>
        <v>02_Search_BuyTicket</v>
      </c>
      <c r="D20" s="39">
        <f>'Расчетная таблица'!J6</f>
        <v>78</v>
      </c>
      <c r="E20" s="46">
        <f>VLOOKUP(C20,'import Summary Report'!$A$2:$J$51,8,0)</f>
        <v>180</v>
      </c>
      <c r="F20" s="38">
        <f t="shared" si="1"/>
        <v>0.56666666666666665</v>
      </c>
    </row>
    <row r="21" spans="1:6" ht="30.75" customHeight="1" x14ac:dyDescent="0.25">
      <c r="A21" s="7">
        <v>3</v>
      </c>
      <c r="B21" s="20" t="str">
        <f>'Расчетная таблица'!B7</f>
        <v>Поиск авиабилета, просмотр истории продаж авиабилетов, удаление авиабилета</v>
      </c>
      <c r="C21" s="20" t="str">
        <f>'Расчетная таблица'!C7</f>
        <v>03_SearcH_Itinerary_Delete</v>
      </c>
      <c r="D21" s="39">
        <f>'Расчетная таблица'!J7</f>
        <v>70</v>
      </c>
      <c r="E21" s="46">
        <f>VLOOKUP(C21,'import Summary Report'!$A$2:$J$51,8,0)</f>
        <v>70</v>
      </c>
      <c r="F21" s="38">
        <f t="shared" si="1"/>
        <v>0</v>
      </c>
    </row>
    <row r="22" spans="1:6" ht="30.75" customHeight="1" x14ac:dyDescent="0.25">
      <c r="A22" s="7">
        <v>4</v>
      </c>
      <c r="B22" s="20" t="str">
        <f>'Расчетная таблица'!B8</f>
        <v>Просмотр истории продаж авиабилетов</v>
      </c>
      <c r="C22" s="20" t="str">
        <f>'Расчетная таблица'!C8</f>
        <v>04_Itinerary</v>
      </c>
      <c r="D22" s="39">
        <f>'Расчетная таблица'!J8</f>
        <v>82</v>
      </c>
      <c r="E22" s="46">
        <f>VLOOKUP(C22,'import Summary Report'!$A$2:$J$51,8,0)</f>
        <v>15</v>
      </c>
      <c r="F22" s="38">
        <f t="shared" si="1"/>
        <v>-4.4666666666666668</v>
      </c>
    </row>
    <row r="23" spans="1:6" ht="30.75" customHeight="1" x14ac:dyDescent="0.25">
      <c r="A23" s="7">
        <v>5</v>
      </c>
      <c r="B23" s="20" t="str">
        <f>'Расчетная таблица'!B9</f>
        <v>Поиск авиабилета</v>
      </c>
      <c r="C23" s="20" t="str">
        <f>'Расчетная таблица'!C9</f>
        <v>05_Search</v>
      </c>
      <c r="D23" s="39">
        <f>'Расчетная таблица'!J9</f>
        <v>103</v>
      </c>
      <c r="E23" s="46">
        <f>VLOOKUP(C23,'import Summary Report'!$A$2:$J$51,8,0)</f>
        <v>38</v>
      </c>
      <c r="F23" s="38">
        <f t="shared" si="1"/>
        <v>-1.7105263157894739</v>
      </c>
    </row>
    <row r="24" spans="1:6" ht="30.75" customHeight="1" x14ac:dyDescent="0.25">
      <c r="A24" s="7">
        <v>6</v>
      </c>
      <c r="B24" s="20" t="str">
        <f>'Расчетная таблица'!B10</f>
        <v>Вход выход</v>
      </c>
      <c r="C24" s="20" t="str">
        <f>'Расчетная таблица'!C10</f>
        <v>06_login_logout</v>
      </c>
      <c r="D24" s="39">
        <f>'Расчетная таблица'!J10</f>
        <v>11</v>
      </c>
      <c r="E24" s="46">
        <f>VLOOKUP(C24,'import Summary Report'!$A$2:$J$51,8,0)</f>
        <v>60</v>
      </c>
      <c r="F24" s="38">
        <f t="shared" si="1"/>
        <v>0.81666666666666665</v>
      </c>
    </row>
    <row r="25" spans="1:6" x14ac:dyDescent="0.25">
      <c r="A25" s="138" t="s">
        <v>67</v>
      </c>
      <c r="B25" s="138"/>
      <c r="C25" s="138"/>
      <c r="D25" s="73">
        <f>SUM(D19:D24)</f>
        <v>422</v>
      </c>
      <c r="E25" s="73">
        <f>SUM(E19:E24)</f>
        <v>436</v>
      </c>
      <c r="F25" s="72">
        <f>AVERAGE(F19:F24)</f>
        <v>-0.8103921333012899</v>
      </c>
    </row>
    <row r="27" spans="1:6" x14ac:dyDescent="0.25">
      <c r="E27" s="17">
        <f>E25*3*2</f>
        <v>2616</v>
      </c>
    </row>
  </sheetData>
  <mergeCells count="14">
    <mergeCell ref="A25:C25"/>
    <mergeCell ref="A15:C15"/>
    <mergeCell ref="A1:I1"/>
    <mergeCell ref="H3:I3"/>
    <mergeCell ref="D3:E3"/>
    <mergeCell ref="F3:G3"/>
    <mergeCell ref="A3:A4"/>
    <mergeCell ref="B3:B4"/>
    <mergeCell ref="C3:C4"/>
    <mergeCell ref="D17:E17"/>
    <mergeCell ref="A17:A18"/>
    <mergeCell ref="B17:B18"/>
    <mergeCell ref="C17:C18"/>
    <mergeCell ref="F17:F18"/>
  </mergeCells>
  <pageMargins left="0.7" right="0.7" top="0.75" bottom="0.75" header="0.3" footer="0.3"/>
  <pageSetup paperSize="9" scale="8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3" sqref="K3:K19"/>
    </sheetView>
  </sheetViews>
  <sheetFormatPr defaultRowHeight="15" x14ac:dyDescent="0.25"/>
  <cols>
    <col min="1" max="1" width="25.85546875" bestFit="1" customWidth="1"/>
    <col min="12" max="12" width="25.85546875" bestFit="1" customWidth="1"/>
  </cols>
  <sheetData>
    <row r="1" spans="1:1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  <row r="2" spans="1:14" x14ac:dyDescent="0.25">
      <c r="A2" s="95" t="s">
        <v>77</v>
      </c>
      <c r="B2" s="95" t="s">
        <v>78</v>
      </c>
      <c r="C2" s="95" t="s">
        <v>79</v>
      </c>
      <c r="D2" s="95" t="s">
        <v>80</v>
      </c>
      <c r="E2" s="95" t="s">
        <v>81</v>
      </c>
      <c r="F2" s="95" t="s">
        <v>82</v>
      </c>
      <c r="G2" s="95" t="s">
        <v>83</v>
      </c>
      <c r="H2" s="95" t="s">
        <v>84</v>
      </c>
      <c r="I2" s="95" t="s">
        <v>85</v>
      </c>
      <c r="J2" s="95" t="s">
        <v>86</v>
      </c>
    </row>
    <row r="3" spans="1:14" x14ac:dyDescent="0.25">
      <c r="A3" s="95" t="s">
        <v>40</v>
      </c>
      <c r="B3" s="95" t="s">
        <v>84</v>
      </c>
      <c r="C3" s="95" t="s">
        <v>116</v>
      </c>
      <c r="D3" s="95" t="s">
        <v>117</v>
      </c>
      <c r="E3" s="95" t="s">
        <v>118</v>
      </c>
      <c r="F3" s="95" t="s">
        <v>119</v>
      </c>
      <c r="G3" s="95" t="s">
        <v>120</v>
      </c>
      <c r="H3" s="95">
        <v>73</v>
      </c>
      <c r="I3" s="95" t="s">
        <v>87</v>
      </c>
      <c r="J3" s="95" t="s">
        <v>87</v>
      </c>
      <c r="N3">
        <f>H3*1</f>
        <v>73</v>
      </c>
    </row>
    <row r="4" spans="1:14" x14ac:dyDescent="0.25">
      <c r="A4" s="95" t="s">
        <v>41</v>
      </c>
      <c r="B4" s="95" t="s">
        <v>84</v>
      </c>
      <c r="C4" s="95" t="s">
        <v>121</v>
      </c>
      <c r="D4" s="95" t="s">
        <v>122</v>
      </c>
      <c r="E4" s="95" t="s">
        <v>123</v>
      </c>
      <c r="F4" s="95" t="s">
        <v>124</v>
      </c>
      <c r="G4" s="95" t="s">
        <v>125</v>
      </c>
      <c r="H4" s="95">
        <v>180</v>
      </c>
      <c r="I4" s="95" t="s">
        <v>87</v>
      </c>
      <c r="J4" s="95" t="s">
        <v>87</v>
      </c>
      <c r="N4">
        <f t="shared" ref="N4:N19" si="0">H4*1</f>
        <v>180</v>
      </c>
    </row>
    <row r="5" spans="1:14" x14ac:dyDescent="0.25">
      <c r="A5" s="95" t="s">
        <v>88</v>
      </c>
      <c r="B5" s="95" t="s">
        <v>84</v>
      </c>
      <c r="C5" s="95" t="s">
        <v>126</v>
      </c>
      <c r="D5" s="95" t="s">
        <v>127</v>
      </c>
      <c r="E5" s="95" t="s">
        <v>128</v>
      </c>
      <c r="F5" s="95" t="s">
        <v>129</v>
      </c>
      <c r="G5" s="95" t="s">
        <v>130</v>
      </c>
      <c r="H5" s="95">
        <v>70</v>
      </c>
      <c r="I5" s="95" t="s">
        <v>87</v>
      </c>
      <c r="J5" s="95" t="s">
        <v>87</v>
      </c>
      <c r="N5">
        <f t="shared" si="0"/>
        <v>70</v>
      </c>
    </row>
    <row r="6" spans="1:14" x14ac:dyDescent="0.25">
      <c r="A6" s="95" t="s">
        <v>89</v>
      </c>
      <c r="B6" s="95" t="s">
        <v>84</v>
      </c>
      <c r="C6" s="95" t="s">
        <v>131</v>
      </c>
      <c r="D6" s="95" t="s">
        <v>132</v>
      </c>
      <c r="E6" s="95" t="s">
        <v>133</v>
      </c>
      <c r="F6" s="95" t="s">
        <v>134</v>
      </c>
      <c r="G6" s="95" t="s">
        <v>135</v>
      </c>
      <c r="H6" s="95">
        <v>15</v>
      </c>
      <c r="I6" s="95" t="s">
        <v>87</v>
      </c>
      <c r="J6" s="95" t="s">
        <v>87</v>
      </c>
      <c r="L6" s="95"/>
      <c r="N6">
        <f t="shared" si="0"/>
        <v>15</v>
      </c>
    </row>
    <row r="7" spans="1:14" x14ac:dyDescent="0.25">
      <c r="A7" s="95" t="s">
        <v>44</v>
      </c>
      <c r="B7" s="95" t="s">
        <v>84</v>
      </c>
      <c r="C7" s="95" t="s">
        <v>136</v>
      </c>
      <c r="D7" s="95" t="s">
        <v>137</v>
      </c>
      <c r="E7" s="95" t="s">
        <v>138</v>
      </c>
      <c r="F7" s="95" t="s">
        <v>139</v>
      </c>
      <c r="G7" s="95" t="s">
        <v>140</v>
      </c>
      <c r="H7" s="95">
        <v>38</v>
      </c>
      <c r="I7" s="95" t="s">
        <v>87</v>
      </c>
      <c r="J7" s="95" t="s">
        <v>87</v>
      </c>
      <c r="L7" s="95"/>
      <c r="N7">
        <f t="shared" si="0"/>
        <v>38</v>
      </c>
    </row>
    <row r="8" spans="1:14" x14ac:dyDescent="0.25">
      <c r="A8" s="95" t="s">
        <v>90</v>
      </c>
      <c r="B8" s="95" t="s">
        <v>84</v>
      </c>
      <c r="C8" s="95" t="s">
        <v>141</v>
      </c>
      <c r="D8" s="95" t="s">
        <v>142</v>
      </c>
      <c r="E8" s="95" t="s">
        <v>143</v>
      </c>
      <c r="F8" s="95" t="s">
        <v>144</v>
      </c>
      <c r="G8" s="95" t="s">
        <v>145</v>
      </c>
      <c r="H8" s="95">
        <v>60</v>
      </c>
      <c r="I8" s="95" t="s">
        <v>87</v>
      </c>
      <c r="J8" s="95" t="s">
        <v>87</v>
      </c>
      <c r="L8" s="95"/>
      <c r="N8">
        <f t="shared" si="0"/>
        <v>60</v>
      </c>
    </row>
    <row r="9" spans="1:14" x14ac:dyDescent="0.25">
      <c r="A9" s="95" t="s">
        <v>91</v>
      </c>
      <c r="B9" s="95" t="s">
        <v>92</v>
      </c>
      <c r="C9" s="95" t="s">
        <v>141</v>
      </c>
      <c r="D9" s="95" t="s">
        <v>146</v>
      </c>
      <c r="E9" s="95" t="s">
        <v>118</v>
      </c>
      <c r="F9" s="95" t="s">
        <v>147</v>
      </c>
      <c r="G9" s="95" t="s">
        <v>148</v>
      </c>
      <c r="H9" s="95">
        <v>436</v>
      </c>
      <c r="I9" s="95" t="s">
        <v>87</v>
      </c>
      <c r="J9" s="95" t="s">
        <v>87</v>
      </c>
      <c r="L9" s="95"/>
      <c r="N9">
        <f t="shared" si="0"/>
        <v>436</v>
      </c>
    </row>
    <row r="10" spans="1:14" x14ac:dyDescent="0.25">
      <c r="A10" s="95" t="s">
        <v>54</v>
      </c>
      <c r="B10" s="95" t="s">
        <v>84</v>
      </c>
      <c r="C10" s="95" t="s">
        <v>149</v>
      </c>
      <c r="D10" s="95" t="s">
        <v>100</v>
      </c>
      <c r="E10" s="95" t="s">
        <v>150</v>
      </c>
      <c r="F10" s="95" t="s">
        <v>151</v>
      </c>
      <c r="G10" s="95" t="s">
        <v>152</v>
      </c>
      <c r="H10" s="95">
        <v>252</v>
      </c>
      <c r="I10" s="95" t="s">
        <v>87</v>
      </c>
      <c r="J10" s="95" t="s">
        <v>87</v>
      </c>
      <c r="L10" s="95"/>
      <c r="N10">
        <f t="shared" si="0"/>
        <v>252</v>
      </c>
    </row>
    <row r="11" spans="1:14" x14ac:dyDescent="0.25">
      <c r="A11" s="95" t="s">
        <v>55</v>
      </c>
      <c r="B11" s="95" t="s">
        <v>84</v>
      </c>
      <c r="C11" s="95" t="s">
        <v>149</v>
      </c>
      <c r="D11" s="95" t="s">
        <v>153</v>
      </c>
      <c r="E11" s="95" t="s">
        <v>154</v>
      </c>
      <c r="F11" s="95" t="s">
        <v>155</v>
      </c>
      <c r="G11" s="95" t="s">
        <v>156</v>
      </c>
      <c r="H11" s="95">
        <v>70</v>
      </c>
      <c r="I11" s="95" t="s">
        <v>87</v>
      </c>
      <c r="J11" s="95" t="s">
        <v>87</v>
      </c>
      <c r="L11" s="95"/>
      <c r="N11">
        <f t="shared" si="0"/>
        <v>70</v>
      </c>
    </row>
    <row r="12" spans="1:14" x14ac:dyDescent="0.25">
      <c r="A12" s="95" t="s">
        <v>48</v>
      </c>
      <c r="B12" s="95" t="s">
        <v>84</v>
      </c>
      <c r="C12" s="95" t="s">
        <v>157</v>
      </c>
      <c r="D12" s="95" t="s">
        <v>158</v>
      </c>
      <c r="E12" s="95" t="s">
        <v>159</v>
      </c>
      <c r="F12" s="95" t="s">
        <v>155</v>
      </c>
      <c r="G12" s="95" t="s">
        <v>93</v>
      </c>
      <c r="H12" s="95">
        <v>289</v>
      </c>
      <c r="I12" s="95" t="s">
        <v>87</v>
      </c>
      <c r="J12" s="95" t="s">
        <v>87</v>
      </c>
      <c r="L12" s="95"/>
      <c r="N12">
        <f t="shared" si="0"/>
        <v>289</v>
      </c>
    </row>
    <row r="13" spans="1:14" x14ac:dyDescent="0.25">
      <c r="A13" s="95" t="s">
        <v>56</v>
      </c>
      <c r="B13" s="95" t="s">
        <v>84</v>
      </c>
      <c r="C13" s="95" t="s">
        <v>160</v>
      </c>
      <c r="D13" s="95" t="s">
        <v>161</v>
      </c>
      <c r="E13" s="95" t="s">
        <v>162</v>
      </c>
      <c r="F13" s="95" t="s">
        <v>163</v>
      </c>
      <c r="G13" s="95" t="s">
        <v>95</v>
      </c>
      <c r="H13" s="95">
        <v>180</v>
      </c>
      <c r="I13" s="95" t="s">
        <v>87</v>
      </c>
      <c r="J13" s="95" t="s">
        <v>87</v>
      </c>
      <c r="L13" s="95"/>
      <c r="N13">
        <f t="shared" si="0"/>
        <v>180</v>
      </c>
    </row>
    <row r="14" spans="1:14" x14ac:dyDescent="0.25">
      <c r="A14" s="95" t="s">
        <v>49</v>
      </c>
      <c r="B14" s="95" t="s">
        <v>84</v>
      </c>
      <c r="C14" s="95" t="s">
        <v>164</v>
      </c>
      <c r="D14" s="95" t="s">
        <v>150</v>
      </c>
      <c r="E14" s="95" t="s">
        <v>165</v>
      </c>
      <c r="F14" s="95" t="s">
        <v>98</v>
      </c>
      <c r="G14" s="95" t="s">
        <v>99</v>
      </c>
      <c r="H14" s="95">
        <v>360</v>
      </c>
      <c r="I14" s="95" t="s">
        <v>87</v>
      </c>
      <c r="J14" s="95" t="s">
        <v>87</v>
      </c>
      <c r="L14" s="95"/>
      <c r="N14">
        <f t="shared" si="0"/>
        <v>360</v>
      </c>
    </row>
    <row r="15" spans="1:14" x14ac:dyDescent="0.25">
      <c r="A15" s="95" t="s">
        <v>46</v>
      </c>
      <c r="B15" s="95" t="s">
        <v>84</v>
      </c>
      <c r="C15" s="95" t="s">
        <v>97</v>
      </c>
      <c r="D15" s="95" t="s">
        <v>166</v>
      </c>
      <c r="E15" s="95" t="s">
        <v>167</v>
      </c>
      <c r="F15" s="95" t="s">
        <v>168</v>
      </c>
      <c r="G15" s="95" t="s">
        <v>169</v>
      </c>
      <c r="H15" s="95">
        <v>322</v>
      </c>
      <c r="I15" s="95" t="s">
        <v>87</v>
      </c>
      <c r="J15" s="95" t="s">
        <v>87</v>
      </c>
      <c r="L15" s="95"/>
      <c r="N15">
        <f t="shared" si="0"/>
        <v>322</v>
      </c>
    </row>
    <row r="16" spans="1:14" x14ac:dyDescent="0.25">
      <c r="A16" s="95" t="s">
        <v>47</v>
      </c>
      <c r="B16" s="95" t="s">
        <v>84</v>
      </c>
      <c r="C16" s="95" t="s">
        <v>170</v>
      </c>
      <c r="D16" s="95" t="s">
        <v>171</v>
      </c>
      <c r="E16" s="95" t="s">
        <v>172</v>
      </c>
      <c r="F16" s="95" t="s">
        <v>173</v>
      </c>
      <c r="G16" s="95" t="s">
        <v>174</v>
      </c>
      <c r="H16" s="95">
        <v>158</v>
      </c>
      <c r="I16" s="95" t="s">
        <v>87</v>
      </c>
      <c r="J16" s="95" t="s">
        <v>87</v>
      </c>
      <c r="L16" s="95"/>
      <c r="N16">
        <f t="shared" si="0"/>
        <v>158</v>
      </c>
    </row>
    <row r="17" spans="1:14" x14ac:dyDescent="0.25">
      <c r="A17" s="95" t="s">
        <v>51</v>
      </c>
      <c r="B17" s="95" t="s">
        <v>84</v>
      </c>
      <c r="C17" s="95" t="s">
        <v>175</v>
      </c>
      <c r="D17" s="95" t="s">
        <v>176</v>
      </c>
      <c r="E17" s="95" t="s">
        <v>177</v>
      </c>
      <c r="F17" s="95" t="s">
        <v>178</v>
      </c>
      <c r="G17" s="95" t="s">
        <v>94</v>
      </c>
      <c r="H17" s="95">
        <v>434</v>
      </c>
      <c r="I17" s="95" t="s">
        <v>87</v>
      </c>
      <c r="J17" s="95" t="s">
        <v>87</v>
      </c>
      <c r="L17" s="95"/>
      <c r="N17">
        <f t="shared" si="0"/>
        <v>434</v>
      </c>
    </row>
    <row r="18" spans="1:14" x14ac:dyDescent="0.25">
      <c r="A18" s="95" t="s">
        <v>50</v>
      </c>
      <c r="B18" s="95" t="s">
        <v>84</v>
      </c>
      <c r="C18" s="95" t="s">
        <v>179</v>
      </c>
      <c r="D18" s="95" t="s">
        <v>180</v>
      </c>
      <c r="E18" s="95" t="s">
        <v>181</v>
      </c>
      <c r="F18" s="95" t="s">
        <v>182</v>
      </c>
      <c r="G18" s="95" t="s">
        <v>183</v>
      </c>
      <c r="H18" s="95">
        <v>434</v>
      </c>
      <c r="I18" s="95" t="s">
        <v>87</v>
      </c>
      <c r="J18" s="95" t="s">
        <v>87</v>
      </c>
      <c r="L18" s="95"/>
      <c r="N18">
        <f t="shared" si="0"/>
        <v>434</v>
      </c>
    </row>
    <row r="19" spans="1:14" x14ac:dyDescent="0.25">
      <c r="A19" s="95" t="s">
        <v>45</v>
      </c>
      <c r="B19" s="95" t="s">
        <v>84</v>
      </c>
      <c r="C19" s="95" t="s">
        <v>96</v>
      </c>
      <c r="D19" s="95" t="s">
        <v>184</v>
      </c>
      <c r="E19" s="95" t="s">
        <v>185</v>
      </c>
      <c r="F19" s="95" t="s">
        <v>186</v>
      </c>
      <c r="G19" s="95" t="s">
        <v>187</v>
      </c>
      <c r="H19" s="95">
        <v>328</v>
      </c>
      <c r="I19" s="95" t="s">
        <v>87</v>
      </c>
      <c r="J19" s="95" t="s">
        <v>87</v>
      </c>
      <c r="L19" s="95"/>
      <c r="N19">
        <f t="shared" si="0"/>
        <v>328</v>
      </c>
    </row>
  </sheetData>
  <sortState ref="L6:L19">
    <sortCondition ref="L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0"/>
  <sheetViews>
    <sheetView zoomScaleNormal="100" workbookViewId="0">
      <selection activeCell="G11" sqref="G11"/>
    </sheetView>
  </sheetViews>
  <sheetFormatPr defaultRowHeight="12.75" x14ac:dyDescent="0.25"/>
  <cols>
    <col min="1" max="1" width="6" style="10" bestFit="1" customWidth="1"/>
    <col min="2" max="2" width="35.5703125" style="21" bestFit="1" customWidth="1"/>
    <col min="3" max="3" width="22.85546875" style="21" bestFit="1" customWidth="1"/>
    <col min="4" max="4" width="14.42578125" style="17" customWidth="1"/>
    <col min="5" max="5" width="11" style="17" customWidth="1"/>
    <col min="6" max="6" width="10" style="17" customWidth="1"/>
    <col min="7" max="7" width="11" style="17" customWidth="1"/>
    <col min="8" max="8" width="15.85546875" style="17" customWidth="1"/>
    <col min="9" max="9" width="13.42578125" style="10" customWidth="1"/>
    <col min="10" max="10" width="13.42578125" style="17" customWidth="1"/>
    <col min="11" max="11" width="13.42578125" style="17" hidden="1" customWidth="1"/>
    <col min="12" max="14" width="12" style="17" hidden="1" customWidth="1"/>
    <col min="15" max="16" width="13.42578125" style="17" customWidth="1"/>
    <col min="17" max="18" width="12.42578125" style="17" customWidth="1"/>
    <col min="19" max="16384" width="9.140625" style="17"/>
  </cols>
  <sheetData>
    <row r="1" spans="1:18" ht="18.75" x14ac:dyDescent="0.25">
      <c r="A1" s="133" t="s">
        <v>72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8" ht="18.75" x14ac:dyDescent="0.25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3" spans="1:18" ht="26.25" customHeight="1" x14ac:dyDescent="0.25">
      <c r="A3" s="144" t="s">
        <v>103</v>
      </c>
      <c r="B3" s="144"/>
      <c r="C3" s="144"/>
      <c r="D3" s="144"/>
      <c r="E3" s="144"/>
      <c r="F3" s="144"/>
      <c r="G3" s="144"/>
      <c r="H3" s="144"/>
      <c r="I3" s="144"/>
      <c r="J3" s="144"/>
      <c r="O3" s="143" t="s">
        <v>102</v>
      </c>
      <c r="P3" s="143"/>
    </row>
    <row r="4" spans="1:18" s="5" customFormat="1" ht="27.75" customHeight="1" x14ac:dyDescent="0.25">
      <c r="A4" s="125" t="s">
        <v>1</v>
      </c>
      <c r="B4" s="125" t="s">
        <v>0</v>
      </c>
      <c r="C4" s="125" t="s">
        <v>28</v>
      </c>
      <c r="D4" s="125" t="s">
        <v>2</v>
      </c>
      <c r="E4" s="125" t="s">
        <v>4</v>
      </c>
      <c r="F4" s="125" t="s">
        <v>3</v>
      </c>
      <c r="G4" s="125" t="s">
        <v>5</v>
      </c>
      <c r="H4" s="125" t="s">
        <v>8</v>
      </c>
      <c r="I4" s="125" t="s">
        <v>15</v>
      </c>
      <c r="J4" s="125" t="s">
        <v>104</v>
      </c>
      <c r="K4" s="125" t="s">
        <v>10</v>
      </c>
      <c r="L4" s="127" t="s">
        <v>11</v>
      </c>
      <c r="M4" s="127"/>
      <c r="N4" s="127"/>
      <c r="O4" s="125" t="s">
        <v>101</v>
      </c>
      <c r="P4" s="125" t="s">
        <v>33</v>
      </c>
      <c r="Q4" s="17"/>
      <c r="R4" s="17"/>
    </row>
    <row r="5" spans="1:18" s="5" customFormat="1" ht="28.5" customHeight="1" x14ac:dyDescent="0.25">
      <c r="A5" s="126"/>
      <c r="B5" s="126"/>
      <c r="C5" s="126"/>
      <c r="D5" s="126"/>
      <c r="E5" s="126"/>
      <c r="F5" s="126"/>
      <c r="G5" s="126"/>
      <c r="H5" s="126"/>
      <c r="I5" s="126"/>
      <c r="J5" s="126"/>
      <c r="K5" s="126"/>
      <c r="L5" s="101" t="s">
        <v>12</v>
      </c>
      <c r="M5" s="101" t="s">
        <v>13</v>
      </c>
      <c r="N5" s="101" t="s">
        <v>14</v>
      </c>
      <c r="O5" s="126"/>
      <c r="P5" s="126"/>
      <c r="Q5" s="17"/>
      <c r="R5" s="17"/>
    </row>
    <row r="6" spans="1:18" ht="26.25" customHeight="1" x14ac:dyDescent="0.25">
      <c r="A6" s="7">
        <v>1</v>
      </c>
      <c r="B6" s="4" t="s">
        <v>35</v>
      </c>
      <c r="C6" s="8" t="s">
        <v>40</v>
      </c>
      <c r="D6" s="2">
        <f>MAX(L6:N6)</f>
        <v>2.9430000000000001</v>
      </c>
      <c r="E6" s="96">
        <f>F6-D6</f>
        <v>30.056999999999999</v>
      </c>
      <c r="F6" s="88">
        <v>33</v>
      </c>
      <c r="G6" s="1">
        <v>4</v>
      </c>
      <c r="H6" s="2">
        <f>60/(F6)</f>
        <v>1.8181818181818181</v>
      </c>
      <c r="I6" s="3">
        <v>20</v>
      </c>
      <c r="J6" s="105">
        <f>ROUND(G6*H6*I6,0)</f>
        <v>145</v>
      </c>
      <c r="K6" s="16">
        <f t="shared" ref="K6:K11" si="0">G6/$G$12</f>
        <v>0.2</v>
      </c>
      <c r="L6" s="29">
        <v>2.59</v>
      </c>
      <c r="M6" s="29">
        <v>2.9430000000000001</v>
      </c>
      <c r="N6" s="29">
        <v>1.982</v>
      </c>
      <c r="O6" s="103">
        <f t="shared" ref="O6:O11" si="1">VLOOKUP(C6,$A$42:$J$58,8,0)</f>
        <v>145</v>
      </c>
      <c r="P6" s="121">
        <f>1-J6/O6</f>
        <v>0</v>
      </c>
    </row>
    <row r="7" spans="1:18" ht="26.25" customHeight="1" x14ac:dyDescent="0.25">
      <c r="A7" s="7">
        <v>2</v>
      </c>
      <c r="B7" s="4" t="s">
        <v>36</v>
      </c>
      <c r="C7" s="8" t="s">
        <v>41</v>
      </c>
      <c r="D7" s="2">
        <f>MAX(L7:N7)</f>
        <v>2.1775000000000002</v>
      </c>
      <c r="E7" s="96">
        <f>F7-D7</f>
        <v>17.822499999999998</v>
      </c>
      <c r="F7" s="87">
        <v>20</v>
      </c>
      <c r="G7" s="1">
        <v>6</v>
      </c>
      <c r="H7" s="2">
        <f t="shared" ref="H7:H11" si="2">60/(F7)</f>
        <v>3</v>
      </c>
      <c r="I7" s="3">
        <v>20</v>
      </c>
      <c r="J7" s="105">
        <f t="shared" ref="J7:J11" si="3">ROUND(G7*H7*I7,0)</f>
        <v>360</v>
      </c>
      <c r="K7" s="16">
        <f t="shared" si="0"/>
        <v>0.3</v>
      </c>
      <c r="L7" s="94">
        <v>1.988</v>
      </c>
      <c r="M7" s="94">
        <v>2.032</v>
      </c>
      <c r="N7" s="94">
        <v>2.1775000000000002</v>
      </c>
      <c r="O7" s="103">
        <f t="shared" si="1"/>
        <v>331</v>
      </c>
      <c r="P7" s="121">
        <f t="shared" ref="P7:P11" si="4">1-J7/O7</f>
        <v>-8.7613293051359564E-2</v>
      </c>
    </row>
    <row r="8" spans="1:18" ht="26.25" customHeight="1" x14ac:dyDescent="0.25">
      <c r="A8" s="7">
        <v>3</v>
      </c>
      <c r="B8" s="4" t="s">
        <v>37</v>
      </c>
      <c r="C8" s="8" t="s">
        <v>42</v>
      </c>
      <c r="D8" s="2">
        <f t="shared" ref="D8:D11" si="5">MAX(L8:N8)</f>
        <v>2.0590000000000002</v>
      </c>
      <c r="E8" s="96">
        <f t="shared" ref="E8:E11" si="6">F8-D8</f>
        <v>31.940999999999999</v>
      </c>
      <c r="F8" s="88">
        <v>34</v>
      </c>
      <c r="G8" s="1">
        <v>4</v>
      </c>
      <c r="H8" s="2">
        <f t="shared" si="2"/>
        <v>1.7647058823529411</v>
      </c>
      <c r="I8" s="3">
        <v>20</v>
      </c>
      <c r="J8" s="105">
        <f t="shared" si="3"/>
        <v>141</v>
      </c>
      <c r="K8" s="16">
        <f t="shared" si="0"/>
        <v>0.2</v>
      </c>
      <c r="L8" s="29">
        <v>2.0590000000000002</v>
      </c>
      <c r="M8" s="29">
        <v>1.786</v>
      </c>
      <c r="N8" s="29">
        <v>2.0009999999999999</v>
      </c>
      <c r="O8" s="103">
        <f t="shared" si="1"/>
        <v>123</v>
      </c>
      <c r="P8" s="121">
        <f t="shared" si="4"/>
        <v>-0.14634146341463405</v>
      </c>
    </row>
    <row r="9" spans="1:18" ht="26.25" customHeight="1" x14ac:dyDescent="0.25">
      <c r="A9" s="7">
        <v>4</v>
      </c>
      <c r="B9" s="4" t="s">
        <v>38</v>
      </c>
      <c r="C9" s="8" t="s">
        <v>43</v>
      </c>
      <c r="D9" s="2">
        <f t="shared" si="5"/>
        <v>1.9330000000000001</v>
      </c>
      <c r="E9" s="96">
        <f t="shared" si="6"/>
        <v>82.066999999999993</v>
      </c>
      <c r="F9" s="88">
        <v>84</v>
      </c>
      <c r="G9" s="1">
        <v>2</v>
      </c>
      <c r="H9" s="2">
        <f t="shared" si="2"/>
        <v>0.7142857142857143</v>
      </c>
      <c r="I9" s="3">
        <v>20</v>
      </c>
      <c r="J9" s="105">
        <f t="shared" si="3"/>
        <v>29</v>
      </c>
      <c r="K9" s="16">
        <f t="shared" si="0"/>
        <v>0.1</v>
      </c>
      <c r="L9" s="29">
        <v>1.5409999999999999</v>
      </c>
      <c r="M9" s="29">
        <v>1.9330000000000001</v>
      </c>
      <c r="N9" s="29">
        <v>1.821</v>
      </c>
      <c r="O9" s="103">
        <f t="shared" si="1"/>
        <v>28</v>
      </c>
      <c r="P9" s="121">
        <f t="shared" si="4"/>
        <v>-3.5714285714285809E-2</v>
      </c>
    </row>
    <row r="10" spans="1:18" ht="26.25" customHeight="1" x14ac:dyDescent="0.25">
      <c r="A10" s="7">
        <v>5</v>
      </c>
      <c r="B10" s="4" t="s">
        <v>39</v>
      </c>
      <c r="C10" s="8" t="s">
        <v>44</v>
      </c>
      <c r="D10" s="2">
        <f t="shared" si="5"/>
        <v>1.841</v>
      </c>
      <c r="E10" s="96">
        <f t="shared" si="6"/>
        <v>30.158999999999999</v>
      </c>
      <c r="F10" s="88">
        <v>32</v>
      </c>
      <c r="G10" s="1">
        <v>2</v>
      </c>
      <c r="H10" s="2">
        <f t="shared" si="2"/>
        <v>1.875</v>
      </c>
      <c r="I10" s="3">
        <v>20</v>
      </c>
      <c r="J10" s="105">
        <f t="shared" si="3"/>
        <v>75</v>
      </c>
      <c r="K10" s="16">
        <f t="shared" si="0"/>
        <v>0.1</v>
      </c>
      <c r="L10" s="29">
        <v>1.5309999999999999</v>
      </c>
      <c r="M10" s="29">
        <v>1.841</v>
      </c>
      <c r="N10" s="29">
        <v>1.5009999999999999</v>
      </c>
      <c r="O10" s="103">
        <f t="shared" si="1"/>
        <v>70</v>
      </c>
      <c r="P10" s="121">
        <f t="shared" si="4"/>
        <v>-7.1428571428571397E-2</v>
      </c>
    </row>
    <row r="11" spans="1:18" ht="26.25" customHeight="1" x14ac:dyDescent="0.25">
      <c r="A11" s="7">
        <v>6</v>
      </c>
      <c r="B11" s="4" t="s">
        <v>66</v>
      </c>
      <c r="C11" s="8" t="s">
        <v>62</v>
      </c>
      <c r="D11" s="2">
        <f t="shared" si="5"/>
        <v>1.542</v>
      </c>
      <c r="E11" s="96">
        <f t="shared" si="6"/>
        <v>18.457999999999998</v>
      </c>
      <c r="F11" s="88">
        <v>20</v>
      </c>
      <c r="G11" s="1">
        <v>2</v>
      </c>
      <c r="H11" s="2">
        <f t="shared" si="2"/>
        <v>3</v>
      </c>
      <c r="I11" s="3">
        <v>20</v>
      </c>
      <c r="J11" s="105">
        <f t="shared" si="3"/>
        <v>120</v>
      </c>
      <c r="K11" s="16">
        <f t="shared" si="0"/>
        <v>0.1</v>
      </c>
      <c r="L11" s="29">
        <v>1.542</v>
      </c>
      <c r="M11" s="29">
        <v>1.4330000000000001</v>
      </c>
      <c r="N11" s="29">
        <v>1.3939999999999999</v>
      </c>
      <c r="O11" s="103">
        <f t="shared" si="1"/>
        <v>106</v>
      </c>
      <c r="P11" s="121">
        <f t="shared" si="4"/>
        <v>-0.13207547169811318</v>
      </c>
    </row>
    <row r="12" spans="1:18" x14ac:dyDescent="0.25">
      <c r="A12" s="130" t="s">
        <v>67</v>
      </c>
      <c r="B12" s="131"/>
      <c r="C12" s="131"/>
      <c r="D12" s="132"/>
      <c r="E12" s="74">
        <f>SUM(E6:E11)</f>
        <v>210.50449999999998</v>
      </c>
      <c r="F12" s="74">
        <f>SUM(F6:F11)</f>
        <v>223</v>
      </c>
      <c r="G12" s="73">
        <f>SUM(G6:G11)</f>
        <v>20</v>
      </c>
      <c r="H12" s="74">
        <f>SUM(H6:H11)</f>
        <v>12.172173414820474</v>
      </c>
      <c r="I12" s="74"/>
      <c r="J12" s="73">
        <f>SUM(J6:J11)</f>
        <v>870</v>
      </c>
      <c r="K12" s="75">
        <f>SUM(K6:K11)</f>
        <v>0.99999999999999989</v>
      </c>
      <c r="L12" s="76">
        <f>SUM(L6:L11)</f>
        <v>11.250999999999999</v>
      </c>
      <c r="M12" s="76">
        <f t="shared" ref="M12:N12" si="7">SUM(M6:M11)</f>
        <v>11.967999999999998</v>
      </c>
      <c r="N12" s="76">
        <f t="shared" si="7"/>
        <v>10.8765</v>
      </c>
      <c r="O12" s="73">
        <f>SUM(O6:O11)</f>
        <v>803</v>
      </c>
      <c r="P12" s="75">
        <f>AVERAGE(P6:P11)</f>
        <v>-7.8862180884493996E-2</v>
      </c>
    </row>
    <row r="13" spans="1:18" x14ac:dyDescent="0.25">
      <c r="A13" s="64"/>
      <c r="B13" s="65"/>
      <c r="C13" s="65"/>
      <c r="D13" s="66"/>
      <c r="E13" s="66"/>
      <c r="F13" s="66">
        <f>ROUND((D13+E13)*K29*L29,0)</f>
        <v>0</v>
      </c>
      <c r="G13" s="67"/>
      <c r="H13" s="66"/>
      <c r="I13" s="66"/>
      <c r="J13" s="67"/>
      <c r="K13" s="68"/>
      <c r="L13" s="69"/>
      <c r="M13" s="69"/>
      <c r="N13" s="69"/>
      <c r="O13" s="67">
        <f>O12*3</f>
        <v>2409</v>
      </c>
      <c r="P13" s="67"/>
    </row>
    <row r="14" spans="1:18" x14ac:dyDescent="0.25">
      <c r="A14" s="64"/>
      <c r="B14" s="65"/>
      <c r="C14" s="65"/>
      <c r="D14" s="66"/>
      <c r="E14" s="66"/>
      <c r="F14" s="66"/>
      <c r="G14" s="67"/>
      <c r="H14" s="66"/>
      <c r="I14" s="66"/>
      <c r="J14" s="67"/>
      <c r="K14" s="68"/>
      <c r="L14" s="69"/>
      <c r="M14" s="69"/>
      <c r="N14" s="69"/>
      <c r="O14" s="67"/>
      <c r="P14" s="67"/>
    </row>
    <row r="15" spans="1:18" ht="26.25" customHeight="1" x14ac:dyDescent="0.25">
      <c r="A15" s="144" t="s">
        <v>103</v>
      </c>
      <c r="B15" s="144"/>
      <c r="C15" s="144"/>
      <c r="D15" s="144"/>
      <c r="E15" s="144"/>
      <c r="F15" s="144"/>
      <c r="G15" s="144"/>
      <c r="H15" s="144"/>
      <c r="I15" s="144"/>
      <c r="J15" s="144"/>
      <c r="O15" s="143" t="s">
        <v>115</v>
      </c>
      <c r="P15" s="143"/>
    </row>
    <row r="16" spans="1:18" s="5" customFormat="1" ht="27.75" customHeight="1" x14ac:dyDescent="0.25">
      <c r="A16" s="125" t="s">
        <v>1</v>
      </c>
      <c r="B16" s="125" t="s">
        <v>0</v>
      </c>
      <c r="C16" s="125" t="s">
        <v>28</v>
      </c>
      <c r="D16" s="125" t="s">
        <v>2</v>
      </c>
      <c r="E16" s="125" t="s">
        <v>4</v>
      </c>
      <c r="F16" s="125" t="s">
        <v>3</v>
      </c>
      <c r="G16" s="125" t="s">
        <v>5</v>
      </c>
      <c r="H16" s="125" t="s">
        <v>8</v>
      </c>
      <c r="I16" s="125" t="s">
        <v>15</v>
      </c>
      <c r="J16" s="125" t="s">
        <v>104</v>
      </c>
      <c r="K16" s="125" t="s">
        <v>10</v>
      </c>
      <c r="L16" s="127" t="s">
        <v>11</v>
      </c>
      <c r="M16" s="127"/>
      <c r="N16" s="127"/>
      <c r="O16" s="125" t="s">
        <v>101</v>
      </c>
      <c r="P16" s="125" t="s">
        <v>33</v>
      </c>
    </row>
    <row r="17" spans="1:20" s="5" customFormat="1" ht="28.5" customHeight="1" x14ac:dyDescent="0.25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02" t="s">
        <v>12</v>
      </c>
      <c r="M17" s="102" t="s">
        <v>13</v>
      </c>
      <c r="N17" s="102" t="s">
        <v>14</v>
      </c>
      <c r="O17" s="126"/>
      <c r="P17" s="126"/>
    </row>
    <row r="18" spans="1:20" ht="26.25" customHeight="1" x14ac:dyDescent="0.25">
      <c r="A18" s="7">
        <v>1</v>
      </c>
      <c r="B18" s="4" t="s">
        <v>35</v>
      </c>
      <c r="C18" s="8" t="s">
        <v>40</v>
      </c>
      <c r="D18" s="2">
        <f>MAX(L18:N18)</f>
        <v>2.9430000000000001</v>
      </c>
      <c r="E18" s="96">
        <f>F18-D18</f>
        <v>30.056999999999999</v>
      </c>
      <c r="F18" s="88">
        <v>33</v>
      </c>
      <c r="G18" s="1">
        <v>3</v>
      </c>
      <c r="H18" s="2">
        <f>60/(F18)</f>
        <v>1.8181818181818181</v>
      </c>
      <c r="I18" s="3">
        <v>20</v>
      </c>
      <c r="J18" s="105">
        <f>ROUND(G18*H18*I18,0)</f>
        <v>109</v>
      </c>
      <c r="K18" s="16">
        <f t="shared" ref="K18:K23" si="8">G18/$G$12</f>
        <v>0.15</v>
      </c>
      <c r="L18" s="29">
        <v>2.59</v>
      </c>
      <c r="M18" s="29">
        <v>2.9430000000000001</v>
      </c>
      <c r="N18" s="29">
        <v>1.982</v>
      </c>
      <c r="O18" s="103">
        <f t="shared" ref="O18:O23" si="9">VLOOKUP(C18,$A$83:$J$99,8,0)</f>
        <v>110</v>
      </c>
      <c r="P18" s="121">
        <f>1-J18/O18</f>
        <v>9.0909090909090384E-3</v>
      </c>
    </row>
    <row r="19" spans="1:20" ht="26.25" customHeight="1" x14ac:dyDescent="0.25">
      <c r="A19" s="7">
        <v>2</v>
      </c>
      <c r="B19" s="4" t="s">
        <v>36</v>
      </c>
      <c r="C19" s="8" t="s">
        <v>41</v>
      </c>
      <c r="D19" s="2">
        <f>MAX(L19:N19)</f>
        <v>2.1775000000000002</v>
      </c>
      <c r="E19" s="96">
        <f>F19-D19</f>
        <v>17.822499999999998</v>
      </c>
      <c r="F19" s="87">
        <v>20</v>
      </c>
      <c r="G19" s="1">
        <v>6</v>
      </c>
      <c r="H19" s="2">
        <f t="shared" ref="H19:H23" si="10">60/(F19)</f>
        <v>3</v>
      </c>
      <c r="I19" s="3">
        <v>20</v>
      </c>
      <c r="J19" s="105">
        <f t="shared" ref="J19:J23" si="11">ROUND(G19*H19*I19,0)</f>
        <v>360</v>
      </c>
      <c r="K19" s="16">
        <f t="shared" si="8"/>
        <v>0.3</v>
      </c>
      <c r="L19" s="94">
        <v>1.988</v>
      </c>
      <c r="M19" s="94">
        <v>2.032</v>
      </c>
      <c r="N19" s="94">
        <v>2.1775000000000002</v>
      </c>
      <c r="O19" s="103">
        <f t="shared" si="9"/>
        <v>359</v>
      </c>
      <c r="P19" s="121">
        <f t="shared" ref="P19:P23" si="12">1-J19/O19</f>
        <v>-2.7855153203342198E-3</v>
      </c>
    </row>
    <row r="20" spans="1:20" ht="26.25" customHeight="1" x14ac:dyDescent="0.25">
      <c r="A20" s="7">
        <v>3</v>
      </c>
      <c r="B20" s="4" t="s">
        <v>37</v>
      </c>
      <c r="C20" s="8" t="s">
        <v>42</v>
      </c>
      <c r="D20" s="2">
        <f t="shared" ref="D20:D23" si="13">MAX(L20:N20)</f>
        <v>2.0590000000000002</v>
      </c>
      <c r="E20" s="96">
        <f t="shared" ref="E20:E23" si="14">F20-D20</f>
        <v>31.940999999999999</v>
      </c>
      <c r="F20" s="88">
        <v>34</v>
      </c>
      <c r="G20" s="1">
        <v>3</v>
      </c>
      <c r="H20" s="2">
        <f t="shared" si="10"/>
        <v>1.7647058823529411</v>
      </c>
      <c r="I20" s="3">
        <v>20</v>
      </c>
      <c r="J20" s="105">
        <f t="shared" si="11"/>
        <v>106</v>
      </c>
      <c r="K20" s="16">
        <f t="shared" si="8"/>
        <v>0.15</v>
      </c>
      <c r="L20" s="29">
        <v>2.0590000000000002</v>
      </c>
      <c r="M20" s="29">
        <v>1.786</v>
      </c>
      <c r="N20" s="29">
        <v>2.0009999999999999</v>
      </c>
      <c r="O20" s="103">
        <f t="shared" si="9"/>
        <v>103</v>
      </c>
      <c r="P20" s="121">
        <f t="shared" si="12"/>
        <v>-2.9126213592232997E-2</v>
      </c>
    </row>
    <row r="21" spans="1:20" ht="26.25" customHeight="1" x14ac:dyDescent="0.25">
      <c r="A21" s="7">
        <v>4</v>
      </c>
      <c r="B21" s="4" t="s">
        <v>38</v>
      </c>
      <c r="C21" s="8" t="s">
        <v>43</v>
      </c>
      <c r="D21" s="2">
        <f t="shared" si="13"/>
        <v>1.9330000000000001</v>
      </c>
      <c r="E21" s="96">
        <f t="shared" si="14"/>
        <v>82.066999999999993</v>
      </c>
      <c r="F21" s="88">
        <v>84</v>
      </c>
      <c r="G21" s="1">
        <v>2</v>
      </c>
      <c r="H21" s="2">
        <f t="shared" si="10"/>
        <v>0.7142857142857143</v>
      </c>
      <c r="I21" s="3">
        <v>20</v>
      </c>
      <c r="J21" s="105">
        <f t="shared" si="11"/>
        <v>29</v>
      </c>
      <c r="K21" s="16">
        <f t="shared" si="8"/>
        <v>0.1</v>
      </c>
      <c r="L21" s="29">
        <v>1.5409999999999999</v>
      </c>
      <c r="M21" s="29">
        <v>1.9330000000000001</v>
      </c>
      <c r="N21" s="29">
        <v>1.821</v>
      </c>
      <c r="O21" s="103">
        <f t="shared" si="9"/>
        <v>29</v>
      </c>
      <c r="P21" s="121">
        <f t="shared" si="12"/>
        <v>0</v>
      </c>
    </row>
    <row r="22" spans="1:20" ht="26.25" customHeight="1" x14ac:dyDescent="0.25">
      <c r="A22" s="7">
        <v>5</v>
      </c>
      <c r="B22" s="4" t="s">
        <v>39</v>
      </c>
      <c r="C22" s="8" t="s">
        <v>44</v>
      </c>
      <c r="D22" s="2">
        <f t="shared" si="13"/>
        <v>1.841</v>
      </c>
      <c r="E22" s="96">
        <f t="shared" si="14"/>
        <v>30.158999999999999</v>
      </c>
      <c r="F22" s="88">
        <v>32</v>
      </c>
      <c r="G22" s="1">
        <v>2</v>
      </c>
      <c r="H22" s="2">
        <f t="shared" si="10"/>
        <v>1.875</v>
      </c>
      <c r="I22" s="3">
        <v>20</v>
      </c>
      <c r="J22" s="105">
        <f t="shared" si="11"/>
        <v>75</v>
      </c>
      <c r="K22" s="16">
        <f t="shared" si="8"/>
        <v>0.1</v>
      </c>
      <c r="L22" s="29">
        <v>1.5309999999999999</v>
      </c>
      <c r="M22" s="29">
        <v>1.841</v>
      </c>
      <c r="N22" s="29">
        <v>1.5009999999999999</v>
      </c>
      <c r="O22" s="103">
        <f t="shared" si="9"/>
        <v>75</v>
      </c>
      <c r="P22" s="121">
        <f t="shared" si="12"/>
        <v>0</v>
      </c>
    </row>
    <row r="23" spans="1:20" ht="26.25" customHeight="1" x14ac:dyDescent="0.25">
      <c r="A23" s="7">
        <v>6</v>
      </c>
      <c r="B23" s="4" t="s">
        <v>66</v>
      </c>
      <c r="C23" s="8" t="s">
        <v>62</v>
      </c>
      <c r="D23" s="2">
        <f t="shared" si="13"/>
        <v>1.542</v>
      </c>
      <c r="E23" s="96">
        <f t="shared" si="14"/>
        <v>18.457999999999998</v>
      </c>
      <c r="F23" s="88">
        <v>20</v>
      </c>
      <c r="G23" s="1">
        <v>2</v>
      </c>
      <c r="H23" s="2">
        <f t="shared" si="10"/>
        <v>3</v>
      </c>
      <c r="I23" s="3">
        <v>20</v>
      </c>
      <c r="J23" s="105">
        <f t="shared" si="11"/>
        <v>120</v>
      </c>
      <c r="K23" s="16">
        <f t="shared" si="8"/>
        <v>0.1</v>
      </c>
      <c r="L23" s="29">
        <v>1.542</v>
      </c>
      <c r="M23" s="29">
        <v>1.4330000000000001</v>
      </c>
      <c r="N23" s="29">
        <v>1.3939999999999999</v>
      </c>
      <c r="O23" s="103">
        <f t="shared" si="9"/>
        <v>120</v>
      </c>
      <c r="P23" s="121">
        <f t="shared" si="12"/>
        <v>0</v>
      </c>
    </row>
    <row r="24" spans="1:20" x14ac:dyDescent="0.25">
      <c r="A24" s="130" t="s">
        <v>67</v>
      </c>
      <c r="B24" s="131"/>
      <c r="C24" s="131"/>
      <c r="D24" s="132"/>
      <c r="E24" s="74">
        <f>SUM(E18:E23)</f>
        <v>210.50449999999998</v>
      </c>
      <c r="F24" s="74">
        <f>SUM(F18:F23)</f>
        <v>223</v>
      </c>
      <c r="G24" s="73">
        <f>SUM(G18:G23)</f>
        <v>18</v>
      </c>
      <c r="H24" s="74">
        <f>SUM(H18:H23)</f>
        <v>12.172173414820474</v>
      </c>
      <c r="I24" s="74"/>
      <c r="J24" s="73">
        <f>SUM(J18:J23)</f>
        <v>799</v>
      </c>
      <c r="K24" s="73">
        <f t="shared" ref="K24:N24" si="15">SUM(K18:K23)</f>
        <v>0.89999999999999991</v>
      </c>
      <c r="L24" s="73">
        <f t="shared" si="15"/>
        <v>11.250999999999999</v>
      </c>
      <c r="M24" s="73">
        <f t="shared" si="15"/>
        <v>11.967999999999998</v>
      </c>
      <c r="N24" s="73">
        <f t="shared" si="15"/>
        <v>10.8765</v>
      </c>
      <c r="O24" s="73">
        <f>SUM(O18:O23)</f>
        <v>796</v>
      </c>
      <c r="P24" s="107">
        <f>AVERAGE(P18:P23)</f>
        <v>-3.803469970276363E-3</v>
      </c>
    </row>
    <row r="25" spans="1:20" ht="18.75" customHeight="1" x14ac:dyDescent="0.25">
      <c r="A25" s="134" t="s">
        <v>71</v>
      </c>
      <c r="B25" s="134"/>
      <c r="C25" s="134"/>
      <c r="D25" s="134"/>
      <c r="E25" s="134"/>
      <c r="F25" s="134"/>
      <c r="G25" s="134"/>
      <c r="H25" s="66"/>
      <c r="I25" s="66"/>
      <c r="J25" s="67"/>
      <c r="K25" s="68"/>
      <c r="L25" s="69"/>
      <c r="M25" s="69"/>
      <c r="N25" s="69"/>
      <c r="O25" s="67">
        <f>O24*3</f>
        <v>2388</v>
      </c>
      <c r="P25" s="67"/>
    </row>
    <row r="26" spans="1:20" ht="12.75" customHeight="1" x14ac:dyDescent="0.25"/>
    <row r="27" spans="1:20" s="5" customFormat="1" ht="29.25" customHeight="1" x14ac:dyDescent="0.25">
      <c r="A27" s="125" t="s">
        <v>1</v>
      </c>
      <c r="B27" s="125" t="s">
        <v>18</v>
      </c>
      <c r="C27" s="125" t="s">
        <v>57</v>
      </c>
      <c r="D27" s="104" t="s">
        <v>31</v>
      </c>
      <c r="E27" s="145" t="s">
        <v>188</v>
      </c>
      <c r="F27" s="145"/>
      <c r="G27" s="104" t="s">
        <v>31</v>
      </c>
      <c r="H27" s="146" t="s">
        <v>189</v>
      </c>
      <c r="I27" s="147"/>
      <c r="K27" s="127" t="s">
        <v>73</v>
      </c>
      <c r="L27" s="125" t="s">
        <v>74</v>
      </c>
      <c r="M27" s="22"/>
      <c r="N27" s="22"/>
      <c r="O27" s="22"/>
      <c r="P27" s="22"/>
      <c r="Q27" s="22"/>
      <c r="R27" s="22"/>
      <c r="S27" s="22"/>
      <c r="T27" s="22"/>
    </row>
    <row r="28" spans="1:20" ht="38.25" customHeight="1" x14ac:dyDescent="0.25">
      <c r="A28" s="126"/>
      <c r="B28" s="126"/>
      <c r="C28" s="126"/>
      <c r="D28" s="101" t="s">
        <v>19</v>
      </c>
      <c r="E28" s="32" t="s">
        <v>19</v>
      </c>
      <c r="F28" s="32" t="s">
        <v>33</v>
      </c>
      <c r="G28" s="106" t="s">
        <v>19</v>
      </c>
      <c r="H28" s="32" t="s">
        <v>19</v>
      </c>
      <c r="I28" s="32" t="s">
        <v>33</v>
      </c>
      <c r="K28" s="127"/>
      <c r="L28" s="126"/>
      <c r="M28" s="35"/>
      <c r="N28" s="24"/>
      <c r="O28" s="35"/>
      <c r="P28" s="35"/>
      <c r="Q28" s="35"/>
      <c r="R28" s="35"/>
      <c r="S28" s="35"/>
      <c r="T28" s="35"/>
    </row>
    <row r="29" spans="1:20" ht="15" customHeight="1" x14ac:dyDescent="0.25">
      <c r="A29" s="7">
        <v>1</v>
      </c>
      <c r="B29" s="25" t="s">
        <v>63</v>
      </c>
      <c r="C29" s="97" t="s">
        <v>51</v>
      </c>
      <c r="D29" s="115">
        <f>'Расчетная таблица'!D17*2</f>
        <v>844</v>
      </c>
      <c r="E29" s="81">
        <f>VLOOKUP(C29,$A$42:$J$58,8,0)</f>
        <v>802</v>
      </c>
      <c r="F29" s="82">
        <f>1-D29/E29</f>
        <v>-5.2369077306733125E-2</v>
      </c>
      <c r="G29" s="115">
        <f>'Расчетная таблица'!D17*2*0.9</f>
        <v>759.6</v>
      </c>
      <c r="H29" s="81">
        <f t="shared" ref="H29:H38" si="16">VLOOKUP(C29,$A$83:$J$99,8,0)</f>
        <v>795</v>
      </c>
      <c r="I29" s="82">
        <f>1-G29/H29</f>
        <v>4.4528301886792465E-2</v>
      </c>
      <c r="K29" s="40">
        <v>0.74099999999999999</v>
      </c>
      <c r="L29" s="40">
        <v>0.71</v>
      </c>
      <c r="M29" s="35"/>
      <c r="N29" s="24"/>
      <c r="O29" s="35"/>
      <c r="P29" s="35"/>
      <c r="Q29" s="24"/>
      <c r="R29" s="35"/>
      <c r="S29" s="35"/>
      <c r="T29" s="35"/>
    </row>
    <row r="30" spans="1:20" ht="15" customHeight="1" x14ac:dyDescent="0.25">
      <c r="A30" s="7">
        <v>2</v>
      </c>
      <c r="B30" s="25" t="s">
        <v>20</v>
      </c>
      <c r="C30" s="8" t="s">
        <v>50</v>
      </c>
      <c r="D30" s="13">
        <f>'Расчетная таблица'!D18*2</f>
        <v>844</v>
      </c>
      <c r="E30" s="81">
        <f t="shared" ref="E30:E38" si="17">VLOOKUP(C30,$A$42:$J$58,8,0)</f>
        <v>803</v>
      </c>
      <c r="F30" s="82">
        <f t="shared" ref="F30:F38" si="18">1-D30/E30</f>
        <v>-5.1058530510585287E-2</v>
      </c>
      <c r="G30" s="13">
        <f>'Расчетная таблица'!D18*2*0.9</f>
        <v>759.6</v>
      </c>
      <c r="H30" s="81">
        <f t="shared" si="16"/>
        <v>794</v>
      </c>
      <c r="I30" s="82">
        <f t="shared" ref="I30:I38" si="19">1-G30/H30</f>
        <v>4.3324937027707788E-2</v>
      </c>
      <c r="K30" s="40">
        <v>0.74099999999999999</v>
      </c>
      <c r="L30" s="40">
        <v>0.26500000000000001</v>
      </c>
      <c r="M30" s="24"/>
      <c r="N30" s="35"/>
      <c r="O30" s="24"/>
      <c r="P30" s="24"/>
      <c r="Q30" s="35"/>
      <c r="R30" s="35"/>
      <c r="S30" s="35"/>
      <c r="T30" s="24"/>
    </row>
    <row r="31" spans="1:20" ht="15" customHeight="1" x14ac:dyDescent="0.25">
      <c r="A31" s="7">
        <v>3</v>
      </c>
      <c r="B31" s="25" t="s">
        <v>64</v>
      </c>
      <c r="C31" s="99" t="s">
        <v>49</v>
      </c>
      <c r="D31" s="116">
        <f>'Расчетная таблица'!D19*2</f>
        <v>680</v>
      </c>
      <c r="E31" s="81">
        <f t="shared" si="17"/>
        <v>666</v>
      </c>
      <c r="F31" s="82">
        <f t="shared" si="18"/>
        <v>-2.1021021021021102E-2</v>
      </c>
      <c r="G31" s="116">
        <f>'Расчетная таблица'!D19*2*0.9</f>
        <v>612</v>
      </c>
      <c r="H31" s="81">
        <f t="shared" si="16"/>
        <v>650</v>
      </c>
      <c r="I31" s="82">
        <f t="shared" si="19"/>
        <v>5.8461538461538454E-2</v>
      </c>
      <c r="K31" s="40">
        <v>0.74099999999999999</v>
      </c>
      <c r="L31" s="40">
        <v>0.66</v>
      </c>
      <c r="M31" s="24"/>
      <c r="N31" s="24"/>
      <c r="O31" s="24"/>
      <c r="P31" s="24"/>
      <c r="Q31" s="35"/>
      <c r="R31" s="35"/>
      <c r="S31" s="35"/>
      <c r="T31" s="35"/>
    </row>
    <row r="32" spans="1:20" ht="15" customHeight="1" x14ac:dyDescent="0.25">
      <c r="A32" s="7">
        <v>4</v>
      </c>
      <c r="B32" s="25" t="s">
        <v>21</v>
      </c>
      <c r="C32" s="8" t="s">
        <v>48</v>
      </c>
      <c r="D32" s="13">
        <f>'Расчетная таблица'!D20*2</f>
        <v>564</v>
      </c>
      <c r="E32" s="81">
        <f t="shared" si="17"/>
        <v>544</v>
      </c>
      <c r="F32" s="82">
        <f t="shared" si="18"/>
        <v>-3.6764705882353033E-2</v>
      </c>
      <c r="G32" s="13">
        <f>'Расчетная таблица'!D20*2*0.9</f>
        <v>507.6</v>
      </c>
      <c r="H32" s="81">
        <f t="shared" si="16"/>
        <v>543</v>
      </c>
      <c r="I32" s="82">
        <f t="shared" si="19"/>
        <v>6.5193370165745779E-2</v>
      </c>
      <c r="K32" s="40">
        <v>0.74099999999999999</v>
      </c>
      <c r="L32" s="40">
        <v>3.9</v>
      </c>
      <c r="M32" s="24"/>
      <c r="N32" s="24"/>
      <c r="O32" s="35"/>
      <c r="P32" s="35"/>
      <c r="Q32" s="24"/>
      <c r="R32" s="35"/>
      <c r="S32" s="35"/>
      <c r="T32" s="35"/>
    </row>
    <row r="33" spans="1:20" ht="12.75" customHeight="1" x14ac:dyDescent="0.25">
      <c r="A33" s="7">
        <v>5</v>
      </c>
      <c r="B33" s="25" t="s">
        <v>22</v>
      </c>
      <c r="C33" s="8" t="s">
        <v>54</v>
      </c>
      <c r="D33" s="13">
        <f>'Расчетная таблица'!D21*2</f>
        <v>502</v>
      </c>
      <c r="E33" s="81">
        <f t="shared" si="17"/>
        <v>475</v>
      </c>
      <c r="F33" s="82">
        <f t="shared" si="18"/>
        <v>-5.6842105263157805E-2</v>
      </c>
      <c r="G33" s="13">
        <f>'Расчетная таблица'!D21*2*0.9</f>
        <v>451.8</v>
      </c>
      <c r="H33" s="81">
        <f t="shared" si="16"/>
        <v>468</v>
      </c>
      <c r="I33" s="82">
        <f t="shared" si="19"/>
        <v>3.4615384615384603E-2</v>
      </c>
      <c r="K33" s="40">
        <v>0.74099999999999999</v>
      </c>
      <c r="L33" s="40">
        <v>0.8</v>
      </c>
      <c r="M33" s="37"/>
      <c r="N33" s="37"/>
      <c r="O33" s="37"/>
      <c r="P33" s="37"/>
      <c r="Q33" s="37"/>
      <c r="R33" s="37"/>
      <c r="S33" s="37"/>
      <c r="T33" s="37"/>
    </row>
    <row r="34" spans="1:20" ht="12.75" customHeight="1" x14ac:dyDescent="0.25">
      <c r="A34" s="7">
        <v>6</v>
      </c>
      <c r="B34" s="25" t="s">
        <v>23</v>
      </c>
      <c r="C34" s="8" t="s">
        <v>56</v>
      </c>
      <c r="D34" s="13">
        <f>'Расчетная таблица'!D22*2</f>
        <v>350</v>
      </c>
      <c r="E34" s="81">
        <f t="shared" si="17"/>
        <v>329</v>
      </c>
      <c r="F34" s="82">
        <f t="shared" si="18"/>
        <v>-6.3829787234042534E-2</v>
      </c>
      <c r="G34" s="13">
        <f>'Расчетная таблица'!D22*2*0.9</f>
        <v>315</v>
      </c>
      <c r="H34" s="81">
        <f t="shared" si="16"/>
        <v>358</v>
      </c>
      <c r="I34" s="82">
        <f t="shared" si="19"/>
        <v>0.12011173184357538</v>
      </c>
      <c r="K34" s="41">
        <v>0.74099999999999999</v>
      </c>
      <c r="L34" s="40">
        <v>1</v>
      </c>
    </row>
    <row r="35" spans="1:20" s="11" customFormat="1" ht="12.75" customHeight="1" x14ac:dyDescent="0.25">
      <c r="A35" s="7">
        <v>7</v>
      </c>
      <c r="B35" s="25" t="s">
        <v>24</v>
      </c>
      <c r="C35" s="8" t="s">
        <v>47</v>
      </c>
      <c r="D35" s="13">
        <f>'Расчетная таблица'!D23*2</f>
        <v>318</v>
      </c>
      <c r="E35" s="81">
        <f t="shared" si="17"/>
        <v>295</v>
      </c>
      <c r="F35" s="82">
        <f t="shared" si="18"/>
        <v>-7.7966101694915357E-2</v>
      </c>
      <c r="G35" s="13">
        <f>'Расчетная таблица'!D23*2*0.9</f>
        <v>286.2</v>
      </c>
      <c r="H35" s="81">
        <f t="shared" si="16"/>
        <v>244</v>
      </c>
      <c r="I35" s="82">
        <f t="shared" si="19"/>
        <v>-0.172950819672131</v>
      </c>
    </row>
    <row r="36" spans="1:20" ht="15" customHeight="1" x14ac:dyDescent="0.25">
      <c r="A36" s="7">
        <v>8</v>
      </c>
      <c r="B36" s="25" t="s">
        <v>25</v>
      </c>
      <c r="C36" s="8" t="s">
        <v>55</v>
      </c>
      <c r="D36" s="13">
        <f>'Расчетная таблица'!D24*2</f>
        <v>146</v>
      </c>
      <c r="E36" s="81">
        <f t="shared" si="17"/>
        <v>122</v>
      </c>
      <c r="F36" s="82">
        <f t="shared" si="18"/>
        <v>-0.19672131147540983</v>
      </c>
      <c r="G36" s="13">
        <f>'Расчетная таблица'!D24*2*0.9</f>
        <v>131.4</v>
      </c>
      <c r="H36" s="81">
        <f t="shared" si="16"/>
        <v>104</v>
      </c>
      <c r="I36" s="82">
        <f t="shared" si="19"/>
        <v>-0.26346153846153841</v>
      </c>
      <c r="K36"/>
      <c r="L36"/>
      <c r="M36"/>
      <c r="N36"/>
      <c r="O36"/>
      <c r="P36"/>
    </row>
    <row r="37" spans="1:20" ht="15" customHeight="1" x14ac:dyDescent="0.25">
      <c r="A37" s="7">
        <v>9</v>
      </c>
      <c r="B37" s="25" t="s">
        <v>65</v>
      </c>
      <c r="C37" s="99" t="s">
        <v>46</v>
      </c>
      <c r="D37" s="116">
        <f>'Расчетная таблица'!D25*2</f>
        <v>658</v>
      </c>
      <c r="E37" s="81">
        <f t="shared" si="17"/>
        <v>599</v>
      </c>
      <c r="F37" s="82">
        <f t="shared" si="18"/>
        <v>-9.8497495826377346E-2</v>
      </c>
      <c r="G37" s="116">
        <f>'Расчетная таблица'!D25*2*0.9</f>
        <v>592.20000000000005</v>
      </c>
      <c r="H37" s="81">
        <f t="shared" si="16"/>
        <v>573</v>
      </c>
      <c r="I37" s="82">
        <f t="shared" si="19"/>
        <v>-3.3507853403141441E-2</v>
      </c>
      <c r="K37"/>
      <c r="L37"/>
      <c r="M37"/>
      <c r="N37"/>
      <c r="O37" s="36"/>
      <c r="P37" s="36"/>
    </row>
    <row r="38" spans="1:20" ht="15" customHeight="1" x14ac:dyDescent="0.25">
      <c r="A38" s="7">
        <v>10</v>
      </c>
      <c r="B38" s="25" t="s">
        <v>26</v>
      </c>
      <c r="C38" s="8" t="s">
        <v>45</v>
      </c>
      <c r="D38" s="13">
        <f>'Расчетная таблица'!D26*2</f>
        <v>652</v>
      </c>
      <c r="E38" s="81" t="e">
        <f t="shared" si="17"/>
        <v>#N/A</v>
      </c>
      <c r="F38" s="82" t="e">
        <f t="shared" si="18"/>
        <v>#N/A</v>
      </c>
      <c r="G38" s="13">
        <f>'Расчетная таблица'!D26*2*0.9</f>
        <v>586.80000000000007</v>
      </c>
      <c r="H38" s="81">
        <f t="shared" si="16"/>
        <v>618</v>
      </c>
      <c r="I38" s="82">
        <f t="shared" si="19"/>
        <v>5.0485436893203728E-2</v>
      </c>
      <c r="K38"/>
      <c r="L38"/>
      <c r="M38"/>
      <c r="N38"/>
      <c r="O38" s="36"/>
      <c r="P38" s="36"/>
    </row>
    <row r="39" spans="1:20" ht="15" customHeight="1" x14ac:dyDescent="0.25">
      <c r="A39" s="70"/>
      <c r="B39" s="71" t="s">
        <v>27</v>
      </c>
      <c r="C39" s="71"/>
      <c r="D39" s="73">
        <f>SUM(D29:D38)</f>
        <v>5558</v>
      </c>
      <c r="E39" s="73" t="e">
        <f>SUM(E29:E38)</f>
        <v>#N/A</v>
      </c>
      <c r="F39" s="72" t="e">
        <f>AVERAGE(F29:F38)</f>
        <v>#N/A</v>
      </c>
      <c r="G39" s="73">
        <f>SUM(G29:G38)</f>
        <v>5002.2</v>
      </c>
      <c r="H39" s="73">
        <f>SUM(H29:H38)</f>
        <v>5147</v>
      </c>
      <c r="I39" s="72">
        <f>AVERAGE(I29:I38)</f>
        <v>-5.3199510642862654E-3</v>
      </c>
      <c r="K39"/>
      <c r="L39"/>
      <c r="M39"/>
      <c r="N39"/>
      <c r="O39" s="36"/>
      <c r="P39" s="36"/>
    </row>
    <row r="40" spans="1:20" ht="15" customHeight="1" x14ac:dyDescent="0.25">
      <c r="K40"/>
      <c r="L40"/>
      <c r="M40"/>
      <c r="N40"/>
      <c r="O40" s="36"/>
      <c r="P40" s="36"/>
    </row>
    <row r="41" spans="1:20" ht="15" customHeight="1" x14ac:dyDescent="0.25">
      <c r="A41" s="148" t="s">
        <v>194</v>
      </c>
      <c r="B41" s="148"/>
      <c r="C41" s="148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48"/>
    </row>
    <row r="42" spans="1:20" ht="15" x14ac:dyDescent="0.25">
      <c r="A42" s="95" t="s">
        <v>77</v>
      </c>
      <c r="B42" s="95" t="s">
        <v>78</v>
      </c>
      <c r="C42" s="95" t="s">
        <v>79</v>
      </c>
      <c r="D42" s="95" t="s">
        <v>80</v>
      </c>
      <c r="E42" s="95" t="s">
        <v>81</v>
      </c>
      <c r="F42" s="95" t="s">
        <v>82</v>
      </c>
      <c r="G42" s="95" t="s">
        <v>83</v>
      </c>
      <c r="H42" s="95" t="s">
        <v>84</v>
      </c>
      <c r="I42" s="95" t="s">
        <v>85</v>
      </c>
      <c r="J42" s="95" t="s">
        <v>86</v>
      </c>
      <c r="K42"/>
      <c r="P42" s="95"/>
    </row>
    <row r="43" spans="1:20" ht="15" x14ac:dyDescent="0.25">
      <c r="A43" s="95" t="s">
        <v>40</v>
      </c>
      <c r="B43" s="95" t="s">
        <v>84</v>
      </c>
      <c r="C43" s="95">
        <v>2.9870000000000001</v>
      </c>
      <c r="D43" s="95">
        <v>9.3699999999999992</v>
      </c>
      <c r="E43" s="95">
        <v>21.172999999999998</v>
      </c>
      <c r="F43" s="95">
        <v>2.9289999999999998</v>
      </c>
      <c r="G43" s="95">
        <v>13.166</v>
      </c>
      <c r="H43" s="95">
        <v>145</v>
      </c>
      <c r="I43" s="95" t="s">
        <v>87</v>
      </c>
      <c r="J43" s="95" t="s">
        <v>87</v>
      </c>
      <c r="K43"/>
      <c r="O43" s="95">
        <f>SUM(H43:H48)</f>
        <v>803</v>
      </c>
      <c r="P43" s="95">
        <f>O43*3</f>
        <v>2409</v>
      </c>
    </row>
    <row r="44" spans="1:20" ht="15" x14ac:dyDescent="0.25">
      <c r="A44" s="95" t="s">
        <v>41</v>
      </c>
      <c r="B44" s="95" t="s">
        <v>84</v>
      </c>
      <c r="C44" s="95">
        <v>3.3570000000000002</v>
      </c>
      <c r="D44" s="95">
        <v>8.3559999999999999</v>
      </c>
      <c r="E44" s="95">
        <v>15.364000000000001</v>
      </c>
      <c r="F44" s="95">
        <v>2.4500000000000002</v>
      </c>
      <c r="G44" s="95">
        <v>11.522</v>
      </c>
      <c r="H44" s="95">
        <v>331</v>
      </c>
      <c r="I44" s="95" t="s">
        <v>87</v>
      </c>
      <c r="J44" s="95" t="s">
        <v>87</v>
      </c>
      <c r="K44"/>
      <c r="O44" s="95">
        <f>SUM(H50:H59)</f>
        <v>5245</v>
      </c>
      <c r="P44" s="95">
        <f>O44*3</f>
        <v>15735</v>
      </c>
    </row>
    <row r="45" spans="1:20" ht="15" x14ac:dyDescent="0.25">
      <c r="A45" s="95" t="s">
        <v>88</v>
      </c>
      <c r="B45" s="95" t="s">
        <v>84</v>
      </c>
      <c r="C45" s="95">
        <v>4.5469999999999997</v>
      </c>
      <c r="D45" s="95">
        <v>11.733000000000001</v>
      </c>
      <c r="E45" s="95">
        <v>23.317</v>
      </c>
      <c r="F45" s="95">
        <v>3.5110000000000001</v>
      </c>
      <c r="G45" s="95">
        <v>16.8</v>
      </c>
      <c r="H45" s="95">
        <v>123</v>
      </c>
      <c r="I45" s="95" t="s">
        <v>87</v>
      </c>
      <c r="J45" s="95" t="s">
        <v>87</v>
      </c>
      <c r="O45" s="95"/>
      <c r="P45" s="95"/>
    </row>
    <row r="46" spans="1:20" ht="15" x14ac:dyDescent="0.25">
      <c r="A46" s="95" t="s">
        <v>89</v>
      </c>
      <c r="B46" s="95" t="s">
        <v>84</v>
      </c>
      <c r="C46" s="95">
        <v>4.1760000000000002</v>
      </c>
      <c r="D46" s="95">
        <v>10.974</v>
      </c>
      <c r="E46" s="95">
        <v>16.021999999999998</v>
      </c>
      <c r="F46" s="95">
        <v>2.2130000000000001</v>
      </c>
      <c r="G46" s="95">
        <v>13.358000000000001</v>
      </c>
      <c r="H46" s="95">
        <v>28</v>
      </c>
      <c r="I46" s="95" t="s">
        <v>87</v>
      </c>
      <c r="J46" s="95" t="s">
        <v>87</v>
      </c>
      <c r="O46" s="95"/>
      <c r="P46" s="95"/>
    </row>
    <row r="47" spans="1:20" ht="15" x14ac:dyDescent="0.25">
      <c r="A47" s="95" t="s">
        <v>44</v>
      </c>
      <c r="B47" s="95" t="s">
        <v>84</v>
      </c>
      <c r="C47" s="95">
        <v>2.1819999999999999</v>
      </c>
      <c r="D47" s="95">
        <v>9.1709999999999994</v>
      </c>
      <c r="E47" s="95">
        <v>16.47</v>
      </c>
      <c r="F47" s="95">
        <v>3.2</v>
      </c>
      <c r="G47" s="95">
        <v>13.84</v>
      </c>
      <c r="H47" s="95">
        <v>70</v>
      </c>
      <c r="I47" s="95" t="s">
        <v>87</v>
      </c>
      <c r="J47" s="95" t="s">
        <v>87</v>
      </c>
      <c r="O47" s="95"/>
      <c r="P47" s="95"/>
    </row>
    <row r="48" spans="1:20" ht="15" x14ac:dyDescent="0.25">
      <c r="A48" s="95" t="s">
        <v>90</v>
      </c>
      <c r="B48" s="95" t="s">
        <v>84</v>
      </c>
      <c r="C48" s="95">
        <v>2.3780000000000001</v>
      </c>
      <c r="D48" s="95">
        <v>7.2050000000000001</v>
      </c>
      <c r="E48" s="95">
        <v>16.968</v>
      </c>
      <c r="F48" s="95">
        <v>2.9569999999999999</v>
      </c>
      <c r="G48" s="95">
        <v>11.792</v>
      </c>
      <c r="H48" s="95">
        <v>106</v>
      </c>
      <c r="I48" s="95" t="s">
        <v>87</v>
      </c>
      <c r="J48" s="95" t="s">
        <v>87</v>
      </c>
      <c r="O48" s="95"/>
      <c r="P48" s="95"/>
    </row>
    <row r="49" spans="1:18" ht="15" x14ac:dyDescent="0.25">
      <c r="A49" s="95" t="s">
        <v>91</v>
      </c>
      <c r="B49" s="95" t="s">
        <v>92</v>
      </c>
      <c r="C49" s="95">
        <v>2.1829999999999998</v>
      </c>
      <c r="D49" s="95">
        <v>9.0670000000000002</v>
      </c>
      <c r="E49" s="95">
        <v>23.317</v>
      </c>
      <c r="F49" s="95">
        <v>3.1669999999999998</v>
      </c>
      <c r="G49" s="95">
        <v>13.359</v>
      </c>
      <c r="H49" s="95">
        <v>0</v>
      </c>
      <c r="I49" s="95" t="s">
        <v>87</v>
      </c>
      <c r="J49" s="95" t="s">
        <v>87</v>
      </c>
      <c r="O49" s="95"/>
      <c r="P49" s="95"/>
    </row>
    <row r="50" spans="1:18" ht="15" x14ac:dyDescent="0.25">
      <c r="A50" s="95" t="s">
        <v>54</v>
      </c>
      <c r="B50" s="95" t="s">
        <v>84</v>
      </c>
      <c r="C50" s="95">
        <v>0.14000000000000001</v>
      </c>
      <c r="D50" s="95">
        <v>0.25</v>
      </c>
      <c r="E50" s="95">
        <v>0.81499999999999995</v>
      </c>
      <c r="F50" s="95">
        <v>8.8999999999999996E-2</v>
      </c>
      <c r="G50" s="95">
        <v>0.35899999999999999</v>
      </c>
      <c r="H50" s="95">
        <v>475</v>
      </c>
      <c r="I50" s="95" t="s">
        <v>87</v>
      </c>
      <c r="J50" s="95" t="s">
        <v>87</v>
      </c>
      <c r="O50" s="95"/>
      <c r="P50" s="95"/>
    </row>
    <row r="51" spans="1:18" ht="15" x14ac:dyDescent="0.25">
      <c r="A51" s="95" t="s">
        <v>55</v>
      </c>
      <c r="B51" s="95" t="s">
        <v>84</v>
      </c>
      <c r="C51" s="95">
        <v>0.151</v>
      </c>
      <c r="D51" s="118">
        <v>0.36499999999999999</v>
      </c>
      <c r="E51" s="118">
        <v>1.4419999999999999</v>
      </c>
      <c r="F51" s="118">
        <v>0.184</v>
      </c>
      <c r="G51" s="118">
        <v>0.55400000000000005</v>
      </c>
      <c r="H51" s="95">
        <v>122</v>
      </c>
      <c r="I51" s="95" t="s">
        <v>87</v>
      </c>
      <c r="J51" s="95" t="s">
        <v>87</v>
      </c>
      <c r="O51" s="95"/>
      <c r="P51" s="95"/>
      <c r="Q51" s="95"/>
      <c r="R51" s="95"/>
    </row>
    <row r="52" spans="1:18" ht="15" x14ac:dyDescent="0.25">
      <c r="A52" s="95" t="s">
        <v>48</v>
      </c>
      <c r="B52" s="95" t="s">
        <v>84</v>
      </c>
      <c r="C52" s="95">
        <v>9.5000000000000001E-2</v>
      </c>
      <c r="D52" s="118">
        <v>0.26800000000000002</v>
      </c>
      <c r="E52" s="118">
        <v>3.3969999999999998</v>
      </c>
      <c r="F52" s="118">
        <v>0.25600000000000001</v>
      </c>
      <c r="G52" s="118">
        <v>0.41699999999999998</v>
      </c>
      <c r="H52" s="95">
        <v>544</v>
      </c>
      <c r="I52" s="95" t="s">
        <v>87</v>
      </c>
      <c r="J52" s="95" t="s">
        <v>87</v>
      </c>
      <c r="O52" s="95"/>
      <c r="P52" s="95"/>
      <c r="Q52" s="95"/>
      <c r="R52" s="95"/>
    </row>
    <row r="53" spans="1:18" ht="15" x14ac:dyDescent="0.25">
      <c r="A53" s="95" t="s">
        <v>56</v>
      </c>
      <c r="B53" s="95" t="s">
        <v>84</v>
      </c>
      <c r="C53" s="95">
        <v>0.13700000000000001</v>
      </c>
      <c r="D53" s="118">
        <v>0.23599999999999999</v>
      </c>
      <c r="E53" s="118">
        <v>0.7</v>
      </c>
      <c r="F53" s="118">
        <v>8.1000000000000003E-2</v>
      </c>
      <c r="G53" s="118">
        <v>0.32800000000000001</v>
      </c>
      <c r="H53" s="95">
        <v>329</v>
      </c>
      <c r="I53" s="95" t="s">
        <v>87</v>
      </c>
      <c r="J53" s="95" t="s">
        <v>87</v>
      </c>
      <c r="O53" s="95"/>
      <c r="P53" s="95"/>
      <c r="Q53" s="95"/>
      <c r="R53" s="95"/>
    </row>
    <row r="54" spans="1:18" ht="15" x14ac:dyDescent="0.25">
      <c r="A54" s="95" t="s">
        <v>49</v>
      </c>
      <c r="B54" s="95" t="s">
        <v>84</v>
      </c>
      <c r="C54" s="95">
        <v>0.221</v>
      </c>
      <c r="D54" s="118">
        <v>1.5780000000000001</v>
      </c>
      <c r="E54" s="118">
        <v>6.851</v>
      </c>
      <c r="F54" s="118">
        <v>1.599</v>
      </c>
      <c r="G54" s="118">
        <v>4.0730000000000004</v>
      </c>
      <c r="H54" s="95">
        <v>666</v>
      </c>
      <c r="I54" s="95" t="s">
        <v>87</v>
      </c>
      <c r="J54" s="95" t="s">
        <v>87</v>
      </c>
      <c r="O54" s="95"/>
      <c r="P54" s="95"/>
      <c r="Q54" s="95"/>
      <c r="R54" s="95"/>
    </row>
    <row r="55" spans="1:18" ht="15" x14ac:dyDescent="0.25">
      <c r="A55" s="95" t="s">
        <v>46</v>
      </c>
      <c r="B55" s="95" t="s">
        <v>84</v>
      </c>
      <c r="C55" s="95">
        <v>0.16</v>
      </c>
      <c r="D55" s="118">
        <v>1.6679999999999999</v>
      </c>
      <c r="E55" s="118">
        <v>7.9729999999999999</v>
      </c>
      <c r="F55" s="118">
        <v>1.286</v>
      </c>
      <c r="G55" s="118">
        <v>3.5289999999999999</v>
      </c>
      <c r="H55" s="95">
        <v>599</v>
      </c>
      <c r="I55" s="95" t="s">
        <v>87</v>
      </c>
      <c r="J55" s="95" t="s">
        <v>87</v>
      </c>
      <c r="O55" s="95"/>
      <c r="P55" s="95"/>
      <c r="Q55" s="95"/>
      <c r="R55" s="95"/>
    </row>
    <row r="56" spans="1:18" ht="15" x14ac:dyDescent="0.25">
      <c r="A56" s="95" t="s">
        <v>47</v>
      </c>
      <c r="B56" s="95" t="s">
        <v>84</v>
      </c>
      <c r="C56" s="95">
        <v>0.248</v>
      </c>
      <c r="D56" s="118">
        <v>1.1539999999999999</v>
      </c>
      <c r="E56" s="118">
        <v>7.891</v>
      </c>
      <c r="F56" s="118">
        <v>1.2050000000000001</v>
      </c>
      <c r="G56" s="118">
        <v>3.0419999999999998</v>
      </c>
      <c r="H56" s="95">
        <v>295</v>
      </c>
      <c r="I56" s="95" t="s">
        <v>87</v>
      </c>
      <c r="J56" s="95" t="s">
        <v>87</v>
      </c>
      <c r="O56" s="95"/>
      <c r="P56" s="95"/>
      <c r="Q56" s="95"/>
      <c r="R56" s="95"/>
    </row>
    <row r="57" spans="1:18" ht="15" x14ac:dyDescent="0.25">
      <c r="A57" s="95" t="s">
        <v>51</v>
      </c>
      <c r="B57" s="95" t="s">
        <v>85</v>
      </c>
      <c r="C57" s="95">
        <v>0.25900000000000001</v>
      </c>
      <c r="D57" s="118">
        <v>2.7050000000000001</v>
      </c>
      <c r="E57" s="118">
        <v>9.2270000000000003</v>
      </c>
      <c r="F57" s="118">
        <v>1.627</v>
      </c>
      <c r="G57" s="118">
        <v>5.0229999999999997</v>
      </c>
      <c r="H57" s="95">
        <v>802</v>
      </c>
      <c r="I57" s="95" t="s">
        <v>87</v>
      </c>
      <c r="J57" s="95" t="s">
        <v>87</v>
      </c>
      <c r="O57" s="95"/>
      <c r="P57" s="95"/>
      <c r="Q57" s="95"/>
      <c r="R57" s="95"/>
    </row>
    <row r="58" spans="1:18" ht="15" x14ac:dyDescent="0.25">
      <c r="A58" s="95" t="s">
        <v>50</v>
      </c>
      <c r="B58" s="95" t="s">
        <v>84</v>
      </c>
      <c r="C58" s="95">
        <v>0.29599999999999999</v>
      </c>
      <c r="D58" s="118">
        <v>2.3460000000000001</v>
      </c>
      <c r="E58" s="118">
        <v>9.5030000000000001</v>
      </c>
      <c r="F58" s="118">
        <v>1.294</v>
      </c>
      <c r="G58" s="118">
        <v>3.9820000000000002</v>
      </c>
      <c r="H58" s="95">
        <v>803</v>
      </c>
      <c r="I58" s="95" t="s">
        <v>87</v>
      </c>
      <c r="J58" s="95" t="s">
        <v>87</v>
      </c>
      <c r="O58" s="95"/>
      <c r="P58" s="95"/>
      <c r="Q58" s="95"/>
      <c r="R58" s="95"/>
    </row>
    <row r="59" spans="1:18" ht="15" x14ac:dyDescent="0.25">
      <c r="A59" s="95" t="s">
        <v>45</v>
      </c>
      <c r="B59" s="95" t="s">
        <v>84</v>
      </c>
      <c r="C59" s="95">
        <v>0.157</v>
      </c>
      <c r="D59" s="118">
        <v>0.76200000000000001</v>
      </c>
      <c r="E59" s="118">
        <v>7.1390000000000002</v>
      </c>
      <c r="F59" s="118">
        <v>1.0409999999999999</v>
      </c>
      <c r="G59" s="118">
        <v>2.2229999999999999</v>
      </c>
      <c r="H59" s="95">
        <v>610</v>
      </c>
      <c r="I59" s="95" t="s">
        <v>87</v>
      </c>
      <c r="J59" s="95" t="s">
        <v>87</v>
      </c>
      <c r="O59" s="95"/>
      <c r="P59" s="95"/>
      <c r="Q59" s="95"/>
      <c r="R59" s="95"/>
    </row>
    <row r="60" spans="1:18" ht="15" x14ac:dyDescent="0.25">
      <c r="A60" s="95"/>
      <c r="B60" s="95"/>
      <c r="C60" s="117">
        <f>AVERAGE(C58:C59,C51:C56)</f>
        <v>0.18312499999999998</v>
      </c>
      <c r="D60" s="117">
        <f>AVERAGE(D58:D59,D51:D56)</f>
        <v>1.0471249999999999</v>
      </c>
      <c r="E60" s="117">
        <f>AVERAGE(E58:E59,E51:E56)</f>
        <v>5.6119999999999992</v>
      </c>
      <c r="F60" s="117">
        <f>AVERAGE(F58:F59,F51:F56)</f>
        <v>0.86824999999999997</v>
      </c>
      <c r="G60" s="117">
        <f>AVERAGE(G58:G59,G51:G56)</f>
        <v>2.2685000000000004</v>
      </c>
      <c r="H60" s="95"/>
      <c r="I60" s="95"/>
      <c r="J60" s="95"/>
      <c r="O60" s="95"/>
      <c r="P60" s="95"/>
    </row>
    <row r="61" spans="1:18" ht="15" x14ac:dyDescent="0.25">
      <c r="A61" s="95"/>
      <c r="B61" s="95"/>
      <c r="C61" s="95"/>
      <c r="D61" s="117"/>
      <c r="E61" s="117"/>
      <c r="F61" s="117"/>
      <c r="G61" s="117"/>
      <c r="H61" s="95"/>
      <c r="I61" s="95"/>
      <c r="J61" s="95"/>
      <c r="O61" s="95"/>
      <c r="P61" s="95"/>
    </row>
    <row r="62" spans="1:18" ht="15" x14ac:dyDescent="0.25">
      <c r="A62" s="95"/>
      <c r="B62" s="148" t="s">
        <v>193</v>
      </c>
      <c r="C62" s="148"/>
      <c r="D62" s="148"/>
      <c r="E62" s="148"/>
      <c r="F62" s="148"/>
      <c r="G62" s="148"/>
      <c r="H62" s="148"/>
      <c r="I62" s="148"/>
      <c r="J62" s="148"/>
      <c r="K62" s="148"/>
      <c r="L62" s="148"/>
      <c r="M62" s="148"/>
      <c r="N62" s="148"/>
      <c r="O62" s="148"/>
      <c r="P62" s="148"/>
    </row>
    <row r="63" spans="1:18" ht="15" x14ac:dyDescent="0.25">
      <c r="A63" s="95" t="s">
        <v>77</v>
      </c>
      <c r="B63" s="95" t="s">
        <v>78</v>
      </c>
      <c r="C63" s="95" t="s">
        <v>79</v>
      </c>
      <c r="D63" s="95" t="s">
        <v>80</v>
      </c>
      <c r="E63" s="95" t="s">
        <v>81</v>
      </c>
      <c r="F63" s="95" t="s">
        <v>82</v>
      </c>
      <c r="G63" s="95" t="s">
        <v>83</v>
      </c>
      <c r="H63" s="95" t="s">
        <v>84</v>
      </c>
      <c r="I63" s="95" t="s">
        <v>85</v>
      </c>
      <c r="J63" s="95" t="s">
        <v>86</v>
      </c>
      <c r="O63" s="95"/>
      <c r="P63" s="95"/>
    </row>
    <row r="64" spans="1:18" ht="15" x14ac:dyDescent="0.25">
      <c r="A64" s="95" t="s">
        <v>40</v>
      </c>
      <c r="B64" s="95" t="s">
        <v>85</v>
      </c>
      <c r="C64" s="95">
        <v>24.78</v>
      </c>
      <c r="D64" s="95">
        <v>54.506999999999998</v>
      </c>
      <c r="E64" s="95">
        <v>87.882999999999996</v>
      </c>
      <c r="F64" s="95">
        <v>15.776999999999999</v>
      </c>
      <c r="G64" s="95">
        <v>75.171000000000006</v>
      </c>
      <c r="H64" s="95">
        <v>137</v>
      </c>
      <c r="I64" s="95" t="s">
        <v>87</v>
      </c>
      <c r="J64" s="95" t="s">
        <v>87</v>
      </c>
      <c r="O64" s="95">
        <f>SUM(H64:H69)</f>
        <v>704</v>
      </c>
      <c r="P64" s="95">
        <f>O64*3</f>
        <v>2112</v>
      </c>
    </row>
    <row r="65" spans="1:19" ht="15" x14ac:dyDescent="0.25">
      <c r="A65" s="95" t="s">
        <v>41</v>
      </c>
      <c r="B65" s="95" t="s">
        <v>85</v>
      </c>
      <c r="C65" s="95">
        <v>36.993000000000002</v>
      </c>
      <c r="D65" s="95">
        <v>50.661999999999999</v>
      </c>
      <c r="E65" s="95">
        <v>71.816000000000003</v>
      </c>
      <c r="F65" s="95">
        <v>6.2859999999999996</v>
      </c>
      <c r="G65" s="95">
        <v>57.823999999999998</v>
      </c>
      <c r="H65" s="95">
        <v>222</v>
      </c>
      <c r="I65" s="95" t="s">
        <v>87</v>
      </c>
      <c r="J65" s="95" t="s">
        <v>87</v>
      </c>
      <c r="O65" s="95">
        <f>SUM(H71:H80)</f>
        <v>4422</v>
      </c>
      <c r="P65" s="95">
        <f>O65*3</f>
        <v>13266</v>
      </c>
    </row>
    <row r="66" spans="1:19" ht="15" x14ac:dyDescent="0.25">
      <c r="A66" s="95" t="s">
        <v>88</v>
      </c>
      <c r="B66" s="95" t="s">
        <v>85</v>
      </c>
      <c r="C66" s="95">
        <v>31.247</v>
      </c>
      <c r="D66" s="95">
        <v>55.552999999999997</v>
      </c>
      <c r="E66" s="95">
        <v>83.932000000000002</v>
      </c>
      <c r="F66" s="95">
        <v>11.507</v>
      </c>
      <c r="G66" s="95">
        <v>70.677999999999997</v>
      </c>
      <c r="H66" s="95">
        <v>114</v>
      </c>
      <c r="I66" s="95" t="s">
        <v>87</v>
      </c>
      <c r="J66" s="95" t="s">
        <v>87</v>
      </c>
      <c r="O66" s="95"/>
      <c r="P66" s="95"/>
    </row>
    <row r="67" spans="1:19" ht="15" x14ac:dyDescent="0.25">
      <c r="A67" s="95" t="s">
        <v>89</v>
      </c>
      <c r="B67" s="95" t="s">
        <v>84</v>
      </c>
      <c r="C67" s="95">
        <v>40.838999999999999</v>
      </c>
      <c r="D67" s="95">
        <v>53.445</v>
      </c>
      <c r="E67" s="95">
        <v>66.31</v>
      </c>
      <c r="F67" s="95">
        <v>6.7039999999999997</v>
      </c>
      <c r="G67" s="95">
        <v>62.133000000000003</v>
      </c>
      <c r="H67" s="95">
        <v>57</v>
      </c>
      <c r="I67" s="95" t="s">
        <v>87</v>
      </c>
      <c r="J67" s="95" t="s">
        <v>87</v>
      </c>
      <c r="O67" s="95"/>
      <c r="P67" s="95"/>
    </row>
    <row r="68" spans="1:19" ht="15" x14ac:dyDescent="0.25">
      <c r="A68" s="95" t="s">
        <v>44</v>
      </c>
      <c r="B68" s="95" t="s">
        <v>85</v>
      </c>
      <c r="C68" s="95">
        <v>23.815999999999999</v>
      </c>
      <c r="D68" s="95">
        <v>38.905999999999999</v>
      </c>
      <c r="E68" s="95">
        <v>54.527000000000001</v>
      </c>
      <c r="F68" s="95">
        <v>7.0910000000000002</v>
      </c>
      <c r="G68" s="95">
        <v>48.718000000000004</v>
      </c>
      <c r="H68" s="95">
        <v>75</v>
      </c>
      <c r="I68" s="95" t="s">
        <v>87</v>
      </c>
      <c r="J68" s="95" t="s">
        <v>87</v>
      </c>
      <c r="O68" s="95"/>
      <c r="P68" s="95"/>
    </row>
    <row r="69" spans="1:19" ht="15" x14ac:dyDescent="0.25">
      <c r="A69" s="95" t="s">
        <v>90</v>
      </c>
      <c r="B69" s="95" t="s">
        <v>85</v>
      </c>
      <c r="C69" s="95">
        <v>23.724</v>
      </c>
      <c r="D69" s="95">
        <v>33.665999999999997</v>
      </c>
      <c r="E69" s="95">
        <v>49.561999999999998</v>
      </c>
      <c r="F69" s="95">
        <v>6.6289999999999996</v>
      </c>
      <c r="G69" s="95">
        <v>40.965000000000003</v>
      </c>
      <c r="H69" s="95">
        <v>99</v>
      </c>
      <c r="I69" s="95" t="s">
        <v>87</v>
      </c>
      <c r="J69" s="95" t="s">
        <v>87</v>
      </c>
      <c r="O69" s="95"/>
      <c r="P69" s="95"/>
    </row>
    <row r="70" spans="1:19" ht="15" x14ac:dyDescent="0.25">
      <c r="A70" s="95" t="s">
        <v>91</v>
      </c>
      <c r="B70" s="95" t="s">
        <v>92</v>
      </c>
      <c r="C70" s="95">
        <v>23.725000000000001</v>
      </c>
      <c r="D70" s="95">
        <v>48.784999999999997</v>
      </c>
      <c r="E70" s="95">
        <v>87.882999999999996</v>
      </c>
      <c r="F70" s="95">
        <v>12.518000000000001</v>
      </c>
      <c r="G70" s="95">
        <v>65.802000000000007</v>
      </c>
      <c r="H70" s="95">
        <v>0</v>
      </c>
      <c r="I70" s="95" t="s">
        <v>87</v>
      </c>
      <c r="J70" s="95" t="s">
        <v>87</v>
      </c>
      <c r="O70" s="95"/>
      <c r="P70" s="95"/>
    </row>
    <row r="71" spans="1:19" ht="15" x14ac:dyDescent="0.25">
      <c r="A71" s="95" t="s">
        <v>54</v>
      </c>
      <c r="B71" s="95" t="s">
        <v>84</v>
      </c>
      <c r="C71" s="95">
        <v>0.14599999999999999</v>
      </c>
      <c r="D71" s="95">
        <v>0.247</v>
      </c>
      <c r="E71" s="95">
        <v>0.56299999999999994</v>
      </c>
      <c r="F71" s="95">
        <v>7.0000000000000007E-2</v>
      </c>
      <c r="G71" s="95">
        <v>0.34300000000000003</v>
      </c>
      <c r="H71" s="95">
        <v>365</v>
      </c>
      <c r="I71" s="95" t="s">
        <v>87</v>
      </c>
      <c r="J71" s="95" t="s">
        <v>87</v>
      </c>
      <c r="O71" s="95"/>
      <c r="P71" s="95"/>
      <c r="Q71" s="95"/>
      <c r="R71" s="95"/>
      <c r="S71" s="95"/>
    </row>
    <row r="72" spans="1:19" ht="15" x14ac:dyDescent="0.25">
      <c r="A72" s="95" t="s">
        <v>55</v>
      </c>
      <c r="B72" s="95" t="s">
        <v>85</v>
      </c>
      <c r="C72" s="95">
        <v>0.156</v>
      </c>
      <c r="D72" s="95">
        <v>1.137</v>
      </c>
      <c r="E72" s="95">
        <v>7.8760000000000003</v>
      </c>
      <c r="F72" s="95">
        <v>2.177</v>
      </c>
      <c r="G72" s="95">
        <v>6.1269999999999998</v>
      </c>
      <c r="H72" s="95">
        <v>117</v>
      </c>
      <c r="I72" s="95" t="s">
        <v>87</v>
      </c>
      <c r="J72" s="95" t="s">
        <v>87</v>
      </c>
      <c r="O72" s="95"/>
      <c r="P72" s="95"/>
      <c r="Q72" s="95"/>
      <c r="R72" s="95"/>
      <c r="S72" s="95"/>
    </row>
    <row r="73" spans="1:19" ht="15" x14ac:dyDescent="0.25">
      <c r="A73" s="95" t="s">
        <v>48</v>
      </c>
      <c r="B73" s="95" t="s">
        <v>84</v>
      </c>
      <c r="C73" s="95">
        <v>0.109</v>
      </c>
      <c r="D73" s="95">
        <v>0.31</v>
      </c>
      <c r="E73" s="95">
        <v>8.9190000000000005</v>
      </c>
      <c r="F73" s="95">
        <v>0.76100000000000001</v>
      </c>
      <c r="G73" s="95">
        <v>0.33500000000000002</v>
      </c>
      <c r="H73" s="95">
        <v>440</v>
      </c>
      <c r="I73" s="95" t="s">
        <v>87</v>
      </c>
      <c r="J73" s="95" t="s">
        <v>87</v>
      </c>
      <c r="O73" s="95"/>
      <c r="P73" s="95"/>
      <c r="Q73" s="95"/>
      <c r="R73" s="95"/>
      <c r="S73" s="95"/>
    </row>
    <row r="74" spans="1:19" ht="15" x14ac:dyDescent="0.25">
      <c r="A74" s="95" t="s">
        <v>56</v>
      </c>
      <c r="B74" s="95" t="s">
        <v>85</v>
      </c>
      <c r="C74" s="95">
        <v>0.14000000000000001</v>
      </c>
      <c r="D74" s="95">
        <v>2.2450000000000001</v>
      </c>
      <c r="E74" s="95">
        <v>8.2669999999999995</v>
      </c>
      <c r="F74" s="95">
        <v>2.9740000000000002</v>
      </c>
      <c r="G74" s="95">
        <v>7.01</v>
      </c>
      <c r="H74" s="95">
        <v>226</v>
      </c>
      <c r="I74" s="95" t="s">
        <v>87</v>
      </c>
      <c r="J74" s="95" t="s">
        <v>87</v>
      </c>
      <c r="O74" s="95"/>
      <c r="P74" s="95"/>
      <c r="Q74" s="95"/>
      <c r="R74" s="95"/>
      <c r="S74" s="95"/>
    </row>
    <row r="75" spans="1:19" ht="15" x14ac:dyDescent="0.25">
      <c r="A75" s="95" t="s">
        <v>49</v>
      </c>
      <c r="B75" s="95" t="s">
        <v>85</v>
      </c>
      <c r="C75" s="95">
        <v>0.219</v>
      </c>
      <c r="D75" s="95">
        <v>5.7960000000000003</v>
      </c>
      <c r="E75" s="95">
        <v>22.352</v>
      </c>
      <c r="F75" s="95">
        <v>5.7789999999999999</v>
      </c>
      <c r="G75" s="95">
        <v>16.131</v>
      </c>
      <c r="H75" s="95">
        <v>557</v>
      </c>
      <c r="I75" s="95" t="s">
        <v>87</v>
      </c>
      <c r="J75" s="95" t="s">
        <v>87</v>
      </c>
      <c r="O75" s="95"/>
      <c r="P75" s="95"/>
      <c r="Q75" s="95"/>
      <c r="R75" s="95"/>
      <c r="S75" s="95"/>
    </row>
    <row r="76" spans="1:19" ht="15" x14ac:dyDescent="0.25">
      <c r="A76" s="95" t="s">
        <v>46</v>
      </c>
      <c r="B76" s="95" t="s">
        <v>85</v>
      </c>
      <c r="C76" s="95">
        <v>0.157</v>
      </c>
      <c r="D76" s="95">
        <v>8.5730000000000004</v>
      </c>
      <c r="E76" s="95">
        <v>17.137</v>
      </c>
      <c r="F76" s="95">
        <v>4.5999999999999996</v>
      </c>
      <c r="G76" s="95">
        <v>13.824999999999999</v>
      </c>
      <c r="H76" s="95">
        <v>475</v>
      </c>
      <c r="I76" s="95" t="s">
        <v>87</v>
      </c>
      <c r="J76" s="95" t="s">
        <v>87</v>
      </c>
      <c r="O76" s="95"/>
      <c r="P76" s="95"/>
      <c r="Q76" s="95"/>
      <c r="R76" s="95"/>
      <c r="S76" s="95"/>
    </row>
    <row r="77" spans="1:19" ht="15" x14ac:dyDescent="0.25">
      <c r="A77" s="95" t="s">
        <v>47</v>
      </c>
      <c r="B77" s="95" t="s">
        <v>85</v>
      </c>
      <c r="C77" s="95">
        <v>0.29499999999999998</v>
      </c>
      <c r="D77" s="95">
        <v>8.6980000000000004</v>
      </c>
      <c r="E77" s="95">
        <v>21.861000000000001</v>
      </c>
      <c r="F77" s="95">
        <v>6.0940000000000003</v>
      </c>
      <c r="G77" s="95">
        <v>14.755000000000001</v>
      </c>
      <c r="H77" s="95">
        <v>312</v>
      </c>
      <c r="I77" s="95" t="s">
        <v>87</v>
      </c>
      <c r="J77" s="95" t="s">
        <v>87</v>
      </c>
      <c r="O77" s="95"/>
      <c r="P77" s="95"/>
      <c r="Q77" s="95"/>
      <c r="R77" s="95"/>
      <c r="S77" s="95"/>
    </row>
    <row r="78" spans="1:19" ht="15" x14ac:dyDescent="0.25">
      <c r="A78" s="95" t="s">
        <v>51</v>
      </c>
      <c r="B78" s="95" t="s">
        <v>85</v>
      </c>
      <c r="C78" s="95">
        <v>13.54</v>
      </c>
      <c r="D78" s="95">
        <v>18.556000000000001</v>
      </c>
      <c r="E78" s="95">
        <v>23.59</v>
      </c>
      <c r="F78" s="95">
        <v>1.7729999999999999</v>
      </c>
      <c r="G78" s="95">
        <v>21</v>
      </c>
      <c r="H78" s="95">
        <v>708</v>
      </c>
      <c r="I78" s="95" t="s">
        <v>87</v>
      </c>
      <c r="J78" s="95" t="s">
        <v>87</v>
      </c>
      <c r="O78" s="95"/>
      <c r="P78" s="95"/>
      <c r="Q78" s="95"/>
      <c r="R78" s="95"/>
      <c r="S78" s="95"/>
    </row>
    <row r="79" spans="1:19" ht="15" x14ac:dyDescent="0.25">
      <c r="A79" s="95" t="s">
        <v>50</v>
      </c>
      <c r="B79" s="95" t="s">
        <v>85</v>
      </c>
      <c r="C79" s="95">
        <v>4.2279999999999998</v>
      </c>
      <c r="D79" s="95">
        <v>12.855</v>
      </c>
      <c r="E79" s="95">
        <v>23.332999999999998</v>
      </c>
      <c r="F79" s="95">
        <v>6.0350000000000001</v>
      </c>
      <c r="G79" s="95">
        <v>20.321999999999999</v>
      </c>
      <c r="H79" s="95">
        <v>708</v>
      </c>
      <c r="I79" s="95" t="s">
        <v>87</v>
      </c>
      <c r="J79" s="95" t="s">
        <v>87</v>
      </c>
      <c r="O79" s="95"/>
      <c r="P79" s="95"/>
      <c r="Q79" s="95"/>
      <c r="R79" s="95"/>
      <c r="S79" s="95"/>
    </row>
    <row r="80" spans="1:19" ht="15" x14ac:dyDescent="0.25">
      <c r="A80" s="95" t="s">
        <v>45</v>
      </c>
      <c r="B80" s="95" t="s">
        <v>85</v>
      </c>
      <c r="C80" s="95">
        <v>0.187</v>
      </c>
      <c r="D80" s="95">
        <v>3.0720000000000001</v>
      </c>
      <c r="E80" s="95">
        <v>16.207999999999998</v>
      </c>
      <c r="F80" s="95">
        <v>4.6950000000000003</v>
      </c>
      <c r="G80" s="95">
        <v>12.425000000000001</v>
      </c>
      <c r="H80" s="95">
        <v>514</v>
      </c>
      <c r="I80" s="95" t="s">
        <v>87</v>
      </c>
      <c r="J80" s="95" t="s">
        <v>87</v>
      </c>
      <c r="O80" s="95"/>
      <c r="P80" s="95"/>
      <c r="Q80" s="95"/>
      <c r="R80" s="95"/>
      <c r="S80" s="95"/>
    </row>
    <row r="81" spans="1:16" ht="15" x14ac:dyDescent="0.25">
      <c r="A81" s="95"/>
      <c r="B81" s="95"/>
      <c r="C81" s="95"/>
      <c r="D81" s="95"/>
      <c r="E81" s="95"/>
      <c r="F81" s="95"/>
      <c r="G81" s="95"/>
      <c r="H81" s="95"/>
      <c r="I81" s="95"/>
      <c r="J81" s="95"/>
      <c r="O81" s="95"/>
      <c r="P81" s="95"/>
    </row>
    <row r="82" spans="1:16" x14ac:dyDescent="0.25">
      <c r="A82" s="149" t="s">
        <v>190</v>
      </c>
      <c r="B82" s="149"/>
      <c r="C82" s="149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</row>
    <row r="83" spans="1:16" ht="25.5" x14ac:dyDescent="0.25">
      <c r="A83" s="114" t="s">
        <v>106</v>
      </c>
      <c r="B83" s="114" t="s">
        <v>78</v>
      </c>
      <c r="C83" s="114" t="s">
        <v>107</v>
      </c>
      <c r="D83" s="114" t="s">
        <v>108</v>
      </c>
      <c r="E83" s="114" t="s">
        <v>109</v>
      </c>
      <c r="F83" s="114" t="s">
        <v>110</v>
      </c>
      <c r="G83" s="114" t="s">
        <v>111</v>
      </c>
      <c r="H83" s="114" t="s">
        <v>112</v>
      </c>
      <c r="I83" s="114" t="s">
        <v>113</v>
      </c>
      <c r="J83" s="114" t="s">
        <v>114</v>
      </c>
      <c r="O83" s="21" t="s">
        <v>192</v>
      </c>
      <c r="P83" s="17" t="s">
        <v>59</v>
      </c>
    </row>
    <row r="84" spans="1:16" ht="15" x14ac:dyDescent="0.25">
      <c r="A84" t="s">
        <v>40</v>
      </c>
      <c r="B84"/>
      <c r="C84">
        <v>1.948</v>
      </c>
      <c r="D84">
        <v>3.6379999999999999</v>
      </c>
      <c r="E84">
        <v>8.3529999999999998</v>
      </c>
      <c r="F84">
        <v>1.3939999999999999</v>
      </c>
      <c r="G84">
        <v>5.6390000000000002</v>
      </c>
      <c r="H84">
        <v>110</v>
      </c>
      <c r="I84">
        <v>0</v>
      </c>
      <c r="J84">
        <v>0</v>
      </c>
      <c r="O84" s="113">
        <v>21.003</v>
      </c>
      <c r="P84" s="17">
        <f>VLOOKUP(A84,'Расчетная таблица'!$C$5:$F$10,4,0)</f>
        <v>15.43</v>
      </c>
    </row>
    <row r="85" spans="1:16" ht="15" x14ac:dyDescent="0.25">
      <c r="A85" t="s">
        <v>41</v>
      </c>
      <c r="B85"/>
      <c r="C85">
        <v>1.5469999999999999</v>
      </c>
      <c r="D85">
        <v>3.4630000000000001</v>
      </c>
      <c r="E85">
        <v>7.7549999999999999</v>
      </c>
      <c r="F85">
        <v>1.1180000000000001</v>
      </c>
      <c r="G85">
        <v>5.0570000000000004</v>
      </c>
      <c r="H85">
        <v>359</v>
      </c>
      <c r="I85">
        <v>0</v>
      </c>
      <c r="J85">
        <v>0</v>
      </c>
      <c r="O85" s="113">
        <v>20.395</v>
      </c>
      <c r="P85" s="17">
        <f>VLOOKUP(A85,'Расчетная таблица'!$C$5:$F$10,4,0)</f>
        <v>15.4</v>
      </c>
    </row>
    <row r="86" spans="1:16" ht="15" x14ac:dyDescent="0.25">
      <c r="A86" t="s">
        <v>88</v>
      </c>
      <c r="B86"/>
      <c r="C86">
        <v>1.5429999999999999</v>
      </c>
      <c r="D86">
        <v>3.3730000000000002</v>
      </c>
      <c r="E86">
        <v>6.7590000000000003</v>
      </c>
      <c r="F86">
        <v>1.2769999999999999</v>
      </c>
      <c r="G86">
        <v>5.2060000000000004</v>
      </c>
      <c r="H86">
        <v>103</v>
      </c>
      <c r="I86">
        <v>1</v>
      </c>
      <c r="J86">
        <v>0</v>
      </c>
      <c r="O86" s="113">
        <v>36.25</v>
      </c>
      <c r="P86" s="17">
        <f>VLOOKUP(A86,'Расчетная таблица'!$C$5:$F$10,4,0)</f>
        <v>17.23</v>
      </c>
    </row>
    <row r="87" spans="1:16" ht="15" x14ac:dyDescent="0.25">
      <c r="A87" t="s">
        <v>89</v>
      </c>
      <c r="B87"/>
      <c r="C87">
        <v>1.2330000000000001</v>
      </c>
      <c r="D87">
        <v>2.8530000000000002</v>
      </c>
      <c r="E87">
        <v>8.0220000000000002</v>
      </c>
      <c r="F87">
        <v>1.411</v>
      </c>
      <c r="G87">
        <v>4.8520000000000003</v>
      </c>
      <c r="H87">
        <v>29</v>
      </c>
      <c r="I87">
        <v>0</v>
      </c>
      <c r="J87">
        <v>0</v>
      </c>
      <c r="O87" s="113">
        <v>25.966000000000001</v>
      </c>
      <c r="P87" s="17">
        <f>VLOOKUP(A87,'Расчетная таблица'!$C$5:$F$10,4,0)</f>
        <v>14.55</v>
      </c>
    </row>
    <row r="88" spans="1:16" ht="15" x14ac:dyDescent="0.25">
      <c r="A88" t="s">
        <v>44</v>
      </c>
      <c r="B88"/>
      <c r="C88">
        <v>0.94899999999999995</v>
      </c>
      <c r="D88">
        <v>2.4249999999999998</v>
      </c>
      <c r="E88">
        <v>5.9359999999999999</v>
      </c>
      <c r="F88">
        <v>1.2270000000000001</v>
      </c>
      <c r="G88">
        <v>3.8359999999999999</v>
      </c>
      <c r="H88">
        <v>75</v>
      </c>
      <c r="I88">
        <v>0</v>
      </c>
      <c r="J88">
        <v>0</v>
      </c>
      <c r="O88" s="113">
        <v>29.9</v>
      </c>
      <c r="P88" s="17">
        <f>VLOOKUP(A88,'Расчетная таблица'!$C$5:$F$10,4,0)</f>
        <v>11.6</v>
      </c>
    </row>
    <row r="89" spans="1:16" ht="15" x14ac:dyDescent="0.25">
      <c r="A89" t="s">
        <v>90</v>
      </c>
      <c r="B89"/>
      <c r="C89">
        <v>0.64600000000000002</v>
      </c>
      <c r="D89">
        <v>2.2330000000000001</v>
      </c>
      <c r="E89">
        <v>6.3780000000000001</v>
      </c>
      <c r="F89">
        <v>1.2190000000000001</v>
      </c>
      <c r="G89">
        <v>3.7959999999999998</v>
      </c>
      <c r="H89">
        <v>120</v>
      </c>
      <c r="I89">
        <v>0</v>
      </c>
      <c r="J89">
        <v>0</v>
      </c>
      <c r="O89" s="113">
        <v>19.638999999999999</v>
      </c>
      <c r="P89" s="17">
        <f>VLOOKUP(A89,'Расчетная таблица'!$C$5:$F$10,4,0)</f>
        <v>111.9</v>
      </c>
    </row>
    <row r="90" spans="1:16" ht="15" x14ac:dyDescent="0.25">
      <c r="A90" t="s">
        <v>54</v>
      </c>
      <c r="B90"/>
      <c r="C90">
        <v>0.113</v>
      </c>
      <c r="D90">
        <v>0.22500000000000001</v>
      </c>
      <c r="E90">
        <v>0.51800000000000002</v>
      </c>
      <c r="F90">
        <v>7.1999999999999995E-2</v>
      </c>
      <c r="G90">
        <v>0.33100000000000002</v>
      </c>
      <c r="H90">
        <v>468</v>
      </c>
      <c r="I90">
        <v>0</v>
      </c>
      <c r="J90">
        <v>0</v>
      </c>
    </row>
    <row r="91" spans="1:16" ht="15" x14ac:dyDescent="0.25">
      <c r="A91" t="s">
        <v>55</v>
      </c>
      <c r="B91"/>
      <c r="C91">
        <v>0.115</v>
      </c>
      <c r="D91">
        <v>0.254</v>
      </c>
      <c r="E91">
        <v>0.92</v>
      </c>
      <c r="F91">
        <v>0.124</v>
      </c>
      <c r="G91">
        <v>0.39200000000000002</v>
      </c>
      <c r="H91">
        <v>104</v>
      </c>
      <c r="I91">
        <v>1</v>
      </c>
      <c r="J91">
        <v>0</v>
      </c>
    </row>
    <row r="92" spans="1:16" ht="15" x14ac:dyDescent="0.25">
      <c r="A92" t="s">
        <v>48</v>
      </c>
      <c r="B92"/>
      <c r="C92">
        <v>9.0999999999999998E-2</v>
      </c>
      <c r="D92">
        <v>0.188</v>
      </c>
      <c r="E92">
        <v>0.69099999999999995</v>
      </c>
      <c r="F92">
        <v>7.6999999999999999E-2</v>
      </c>
      <c r="G92">
        <v>0.28000000000000003</v>
      </c>
      <c r="H92">
        <v>543</v>
      </c>
      <c r="I92">
        <v>0</v>
      </c>
      <c r="J92">
        <v>0</v>
      </c>
    </row>
    <row r="93" spans="1:16" ht="15" x14ac:dyDescent="0.25">
      <c r="A93" t="s">
        <v>56</v>
      </c>
      <c r="B93"/>
      <c r="C93">
        <v>0.13700000000000001</v>
      </c>
      <c r="D93">
        <v>0.215</v>
      </c>
      <c r="E93">
        <v>0.873</v>
      </c>
      <c r="F93">
        <v>7.4999999999999997E-2</v>
      </c>
      <c r="G93">
        <v>0.29599999999999999</v>
      </c>
      <c r="H93">
        <v>358</v>
      </c>
      <c r="I93">
        <v>0</v>
      </c>
      <c r="J93">
        <v>0</v>
      </c>
    </row>
    <row r="94" spans="1:16" ht="15" x14ac:dyDescent="0.25">
      <c r="A94" t="s">
        <v>49</v>
      </c>
      <c r="B94"/>
      <c r="C94">
        <v>0.18099999999999999</v>
      </c>
      <c r="D94">
        <v>0.45500000000000002</v>
      </c>
      <c r="E94">
        <v>3.226</v>
      </c>
      <c r="F94">
        <v>0.31900000000000001</v>
      </c>
      <c r="G94">
        <v>0.72</v>
      </c>
      <c r="H94">
        <v>650</v>
      </c>
      <c r="I94">
        <v>0</v>
      </c>
      <c r="J94">
        <v>0</v>
      </c>
    </row>
    <row r="95" spans="1:16" ht="15" x14ac:dyDescent="0.25">
      <c r="A95" t="s">
        <v>46</v>
      </c>
      <c r="B95"/>
      <c r="C95">
        <v>0.157</v>
      </c>
      <c r="D95">
        <v>0.67300000000000004</v>
      </c>
      <c r="E95">
        <v>3.899</v>
      </c>
      <c r="F95">
        <v>0.69799999999999995</v>
      </c>
      <c r="G95">
        <v>1.643</v>
      </c>
      <c r="H95">
        <v>573</v>
      </c>
      <c r="I95">
        <v>0</v>
      </c>
      <c r="J95">
        <v>0</v>
      </c>
    </row>
    <row r="96" spans="1:16" ht="15" x14ac:dyDescent="0.25">
      <c r="A96" t="s">
        <v>47</v>
      </c>
      <c r="B96"/>
      <c r="C96">
        <v>0.183</v>
      </c>
      <c r="D96">
        <v>0.44900000000000001</v>
      </c>
      <c r="E96">
        <v>2.6139999999999999</v>
      </c>
      <c r="F96">
        <v>0.30199999999999999</v>
      </c>
      <c r="G96">
        <v>0.67300000000000004</v>
      </c>
      <c r="H96">
        <v>244</v>
      </c>
      <c r="I96">
        <v>0</v>
      </c>
      <c r="J96">
        <v>0</v>
      </c>
    </row>
    <row r="97" spans="1:22" ht="15" x14ac:dyDescent="0.25">
      <c r="A97" t="s">
        <v>51</v>
      </c>
      <c r="B97"/>
      <c r="C97">
        <v>0.14000000000000001</v>
      </c>
      <c r="D97">
        <v>0.78100000000000003</v>
      </c>
      <c r="E97">
        <v>5.3029999999999999</v>
      </c>
      <c r="F97">
        <v>0.88400000000000001</v>
      </c>
      <c r="G97">
        <v>2.133</v>
      </c>
      <c r="H97">
        <v>795</v>
      </c>
      <c r="I97">
        <v>0</v>
      </c>
      <c r="J97">
        <v>0</v>
      </c>
    </row>
    <row r="98" spans="1:22" ht="15" x14ac:dyDescent="0.25">
      <c r="A98" t="s">
        <v>50</v>
      </c>
      <c r="B98"/>
      <c r="C98">
        <v>0.17199999999999999</v>
      </c>
      <c r="D98">
        <v>0.746</v>
      </c>
      <c r="E98">
        <v>4.1790000000000003</v>
      </c>
      <c r="F98">
        <v>0.63</v>
      </c>
      <c r="G98">
        <v>1.6539999999999999</v>
      </c>
      <c r="H98">
        <v>794</v>
      </c>
      <c r="I98">
        <v>0</v>
      </c>
      <c r="J98">
        <v>0</v>
      </c>
    </row>
    <row r="99" spans="1:22" ht="15" x14ac:dyDescent="0.25">
      <c r="A99" t="s">
        <v>45</v>
      </c>
      <c r="B99"/>
      <c r="C99">
        <v>0.13700000000000001</v>
      </c>
      <c r="D99">
        <v>0.33700000000000002</v>
      </c>
      <c r="E99">
        <v>3.0779999999999998</v>
      </c>
      <c r="F99">
        <v>0.23899999999999999</v>
      </c>
      <c r="G99">
        <v>0.47899999999999998</v>
      </c>
      <c r="H99">
        <v>618</v>
      </c>
      <c r="I99">
        <v>0</v>
      </c>
      <c r="J99">
        <v>0</v>
      </c>
    </row>
    <row r="100" spans="1:22" ht="15" x14ac:dyDescent="0.25">
      <c r="A100"/>
      <c r="B100"/>
      <c r="C100"/>
      <c r="D100"/>
      <c r="E100"/>
      <c r="F100"/>
      <c r="G100"/>
      <c r="H100">
        <f>SUM(H90:H99)*3</f>
        <v>15441</v>
      </c>
      <c r="I100"/>
      <c r="J100"/>
    </row>
    <row r="101" spans="1:22" x14ac:dyDescent="0.25">
      <c r="A101" s="149" t="s">
        <v>191</v>
      </c>
      <c r="B101" s="149"/>
      <c r="C101" s="149"/>
      <c r="D101" s="149"/>
      <c r="E101" s="149"/>
      <c r="F101" s="149"/>
      <c r="G101" s="149"/>
      <c r="H101" s="149"/>
      <c r="I101" s="149"/>
      <c r="J101" s="149"/>
    </row>
    <row r="102" spans="1:22" ht="15" x14ac:dyDescent="0.25">
      <c r="A102" s="95" t="s">
        <v>77</v>
      </c>
      <c r="B102" s="95" t="s">
        <v>78</v>
      </c>
      <c r="C102" s="95" t="s">
        <v>79</v>
      </c>
      <c r="D102" s="95" t="s">
        <v>80</v>
      </c>
      <c r="E102" s="95" t="s">
        <v>81</v>
      </c>
      <c r="F102" s="95" t="s">
        <v>82</v>
      </c>
      <c r="G102" s="95" t="s">
        <v>83</v>
      </c>
      <c r="H102" s="95" t="s">
        <v>84</v>
      </c>
      <c r="I102" s="95" t="s">
        <v>85</v>
      </c>
      <c r="J102" s="95" t="s">
        <v>86</v>
      </c>
    </row>
    <row r="103" spans="1:22" ht="15" x14ac:dyDescent="0.25">
      <c r="A103" s="95" t="s">
        <v>40</v>
      </c>
      <c r="B103" s="95" t="s">
        <v>84</v>
      </c>
      <c r="C103" s="95">
        <v>1.6839999999999999</v>
      </c>
      <c r="D103" s="95">
        <v>3.9220000000000002</v>
      </c>
      <c r="E103" s="95">
        <v>8.8179999999999996</v>
      </c>
      <c r="F103" s="95">
        <v>1.4530000000000001</v>
      </c>
      <c r="G103" s="95">
        <v>5.9720000000000004</v>
      </c>
      <c r="H103" s="112">
        <v>327</v>
      </c>
      <c r="I103" s="95">
        <v>0</v>
      </c>
      <c r="J103" s="95" t="s">
        <v>87</v>
      </c>
      <c r="O103" s="95">
        <f>SUM(H103:H108)</f>
        <v>2380</v>
      </c>
      <c r="P103" s="95">
        <f>1*C103</f>
        <v>1.6839999999999999</v>
      </c>
      <c r="Q103" s="95">
        <f t="shared" ref="Q103:V118" si="20">1*D103</f>
        <v>3.9220000000000002</v>
      </c>
      <c r="R103" s="95">
        <f t="shared" si="20"/>
        <v>8.8179999999999996</v>
      </c>
      <c r="S103" s="95">
        <f t="shared" si="20"/>
        <v>1.4530000000000001</v>
      </c>
      <c r="T103" s="95">
        <f t="shared" si="20"/>
        <v>5.9720000000000004</v>
      </c>
      <c r="U103" s="95">
        <f t="shared" si="20"/>
        <v>327</v>
      </c>
      <c r="V103" s="95">
        <f t="shared" si="20"/>
        <v>0</v>
      </c>
    </row>
    <row r="104" spans="1:22" ht="15" x14ac:dyDescent="0.25">
      <c r="A104" s="95" t="s">
        <v>41</v>
      </c>
      <c r="B104" s="95" t="s">
        <v>84</v>
      </c>
      <c r="C104" s="95">
        <v>1.4530000000000001</v>
      </c>
      <c r="D104" s="95">
        <v>3.657</v>
      </c>
      <c r="E104" s="95">
        <v>8.9640000000000004</v>
      </c>
      <c r="F104" s="95">
        <v>1.2190000000000001</v>
      </c>
      <c r="G104" s="95">
        <v>5.3209999999999997</v>
      </c>
      <c r="H104" s="112">
        <v>1073</v>
      </c>
      <c r="I104" s="95">
        <v>0</v>
      </c>
      <c r="J104" s="95" t="s">
        <v>87</v>
      </c>
      <c r="O104" s="95">
        <f>SUM(H110:H119)</f>
        <v>13976</v>
      </c>
      <c r="P104" s="95">
        <f t="shared" ref="P104:P118" si="21">1*C104</f>
        <v>1.4530000000000001</v>
      </c>
      <c r="Q104" s="95">
        <f t="shared" si="20"/>
        <v>3.657</v>
      </c>
      <c r="R104" s="95">
        <f t="shared" si="20"/>
        <v>8.9640000000000004</v>
      </c>
      <c r="S104" s="95">
        <f t="shared" si="20"/>
        <v>1.2190000000000001</v>
      </c>
      <c r="T104" s="95">
        <f t="shared" si="20"/>
        <v>5.3209999999999997</v>
      </c>
      <c r="U104" s="95">
        <f t="shared" si="20"/>
        <v>1073</v>
      </c>
      <c r="V104" s="95">
        <f t="shared" si="20"/>
        <v>0</v>
      </c>
    </row>
    <row r="105" spans="1:22" ht="15" x14ac:dyDescent="0.25">
      <c r="A105" s="95" t="s">
        <v>88</v>
      </c>
      <c r="B105" s="95" t="s">
        <v>84</v>
      </c>
      <c r="C105" s="95">
        <v>1.484</v>
      </c>
      <c r="D105" s="95">
        <v>3.7160000000000002</v>
      </c>
      <c r="E105" s="95">
        <v>10.449</v>
      </c>
      <c r="F105" s="95">
        <v>1.621</v>
      </c>
      <c r="G105" s="95">
        <v>5.9409999999999998</v>
      </c>
      <c r="H105" s="112">
        <v>311</v>
      </c>
      <c r="I105" s="95">
        <v>1</v>
      </c>
      <c r="J105" s="95" t="s">
        <v>87</v>
      </c>
      <c r="P105" s="95">
        <f t="shared" si="21"/>
        <v>1.484</v>
      </c>
      <c r="Q105" s="95">
        <f t="shared" si="20"/>
        <v>3.7160000000000002</v>
      </c>
      <c r="R105" s="95">
        <f t="shared" si="20"/>
        <v>10.449</v>
      </c>
      <c r="S105" s="95">
        <f t="shared" si="20"/>
        <v>1.621</v>
      </c>
      <c r="T105" s="95">
        <f t="shared" si="20"/>
        <v>5.9409999999999998</v>
      </c>
      <c r="U105" s="95">
        <f t="shared" si="20"/>
        <v>311</v>
      </c>
      <c r="V105" s="95">
        <f t="shared" si="20"/>
        <v>1</v>
      </c>
    </row>
    <row r="106" spans="1:22" ht="15" x14ac:dyDescent="0.25">
      <c r="A106" s="95" t="s">
        <v>89</v>
      </c>
      <c r="B106" s="95" t="s">
        <v>84</v>
      </c>
      <c r="C106" s="95">
        <v>1.143</v>
      </c>
      <c r="D106" s="95">
        <v>3.2650000000000001</v>
      </c>
      <c r="E106" s="95">
        <v>8.4459999999999997</v>
      </c>
      <c r="F106" s="95">
        <v>1.6890000000000001</v>
      </c>
      <c r="G106" s="95">
        <v>5.8090000000000002</v>
      </c>
      <c r="H106" s="112">
        <v>85</v>
      </c>
      <c r="I106" s="95">
        <v>0</v>
      </c>
      <c r="J106" s="95" t="s">
        <v>87</v>
      </c>
      <c r="P106" s="95">
        <f t="shared" si="21"/>
        <v>1.143</v>
      </c>
      <c r="Q106" s="95">
        <f t="shared" si="20"/>
        <v>3.2650000000000001</v>
      </c>
      <c r="R106" s="95">
        <f t="shared" si="20"/>
        <v>8.4459999999999997</v>
      </c>
      <c r="S106" s="95">
        <f t="shared" si="20"/>
        <v>1.6890000000000001</v>
      </c>
      <c r="T106" s="95">
        <f t="shared" si="20"/>
        <v>5.8090000000000002</v>
      </c>
      <c r="U106" s="95">
        <f t="shared" si="20"/>
        <v>85</v>
      </c>
      <c r="V106" s="95">
        <f t="shared" si="20"/>
        <v>0</v>
      </c>
    </row>
    <row r="107" spans="1:22" ht="15" x14ac:dyDescent="0.25">
      <c r="A107" s="95" t="s">
        <v>44</v>
      </c>
      <c r="B107" s="95" t="s">
        <v>84</v>
      </c>
      <c r="C107" s="95">
        <v>0.90800000000000003</v>
      </c>
      <c r="D107" s="95">
        <v>2.6819999999999999</v>
      </c>
      <c r="E107" s="95">
        <v>9.0389999999999997</v>
      </c>
      <c r="F107" s="95">
        <v>1.454</v>
      </c>
      <c r="G107" s="95">
        <v>4.8230000000000004</v>
      </c>
      <c r="H107" s="112">
        <v>226</v>
      </c>
      <c r="I107" s="95">
        <v>0</v>
      </c>
      <c r="J107" s="95" t="s">
        <v>87</v>
      </c>
      <c r="P107" s="95">
        <f t="shared" si="21"/>
        <v>0.90800000000000003</v>
      </c>
      <c r="Q107" s="95">
        <f t="shared" si="20"/>
        <v>2.6819999999999999</v>
      </c>
      <c r="R107" s="95">
        <f t="shared" si="20"/>
        <v>9.0389999999999997</v>
      </c>
      <c r="S107" s="95">
        <f t="shared" si="20"/>
        <v>1.454</v>
      </c>
      <c r="T107" s="95">
        <f t="shared" si="20"/>
        <v>4.8230000000000004</v>
      </c>
      <c r="U107" s="95">
        <f t="shared" si="20"/>
        <v>226</v>
      </c>
      <c r="V107" s="95">
        <f t="shared" si="20"/>
        <v>0</v>
      </c>
    </row>
    <row r="108" spans="1:22" ht="15" x14ac:dyDescent="0.25">
      <c r="A108" s="95" t="s">
        <v>90</v>
      </c>
      <c r="B108" s="95" t="s">
        <v>84</v>
      </c>
      <c r="C108" s="95">
        <v>0.64600000000000002</v>
      </c>
      <c r="D108" s="95">
        <v>2.516</v>
      </c>
      <c r="E108" s="95">
        <v>8.2070000000000007</v>
      </c>
      <c r="F108" s="95">
        <v>1.4530000000000001</v>
      </c>
      <c r="G108" s="95">
        <v>4.556</v>
      </c>
      <c r="H108" s="112">
        <v>358</v>
      </c>
      <c r="I108" s="95">
        <v>0</v>
      </c>
      <c r="J108" s="95" t="s">
        <v>87</v>
      </c>
      <c r="P108" s="95">
        <f t="shared" si="21"/>
        <v>0.64600000000000002</v>
      </c>
      <c r="Q108" s="95">
        <f t="shared" si="20"/>
        <v>2.516</v>
      </c>
      <c r="R108" s="95">
        <f t="shared" si="20"/>
        <v>8.2070000000000007</v>
      </c>
      <c r="S108" s="95">
        <f t="shared" si="20"/>
        <v>1.4530000000000001</v>
      </c>
      <c r="T108" s="95">
        <f t="shared" si="20"/>
        <v>4.556</v>
      </c>
      <c r="U108" s="95">
        <f t="shared" si="20"/>
        <v>358</v>
      </c>
      <c r="V108" s="95">
        <f t="shared" si="20"/>
        <v>0</v>
      </c>
    </row>
    <row r="109" spans="1:22" ht="15" x14ac:dyDescent="0.25">
      <c r="A109" s="95" t="s">
        <v>54</v>
      </c>
      <c r="B109" s="95" t="s">
        <v>84</v>
      </c>
      <c r="C109" s="95">
        <v>0.113</v>
      </c>
      <c r="D109" s="95">
        <v>0.23</v>
      </c>
      <c r="E109" s="95">
        <v>0.72699999999999998</v>
      </c>
      <c r="F109" s="95">
        <v>7.9000000000000001E-2</v>
      </c>
      <c r="G109" s="95">
        <v>0.33400000000000002</v>
      </c>
      <c r="H109" s="112">
        <v>1398</v>
      </c>
      <c r="I109" s="95">
        <v>0</v>
      </c>
      <c r="J109" s="95" t="s">
        <v>87</v>
      </c>
      <c r="P109" s="95">
        <f t="shared" si="21"/>
        <v>0.113</v>
      </c>
      <c r="Q109" s="95">
        <f t="shared" si="20"/>
        <v>0.23</v>
      </c>
      <c r="R109" s="95">
        <f t="shared" si="20"/>
        <v>0.72699999999999998</v>
      </c>
      <c r="S109" s="95">
        <f t="shared" si="20"/>
        <v>7.9000000000000001E-2</v>
      </c>
      <c r="T109" s="95">
        <f t="shared" si="20"/>
        <v>0.33400000000000002</v>
      </c>
      <c r="U109" s="95">
        <f t="shared" si="20"/>
        <v>1398</v>
      </c>
      <c r="V109" s="95">
        <f t="shared" si="20"/>
        <v>0</v>
      </c>
    </row>
    <row r="110" spans="1:22" ht="15" x14ac:dyDescent="0.25">
      <c r="A110" s="95" t="s">
        <v>55</v>
      </c>
      <c r="B110" s="95" t="s">
        <v>84</v>
      </c>
      <c r="C110" s="95">
        <v>9.9000000000000005E-2</v>
      </c>
      <c r="D110" s="95">
        <v>0.26400000000000001</v>
      </c>
      <c r="E110" s="95">
        <v>1.212</v>
      </c>
      <c r="F110" s="95">
        <v>0.14399999999999999</v>
      </c>
      <c r="G110" s="95">
        <v>0.41799999999999998</v>
      </c>
      <c r="H110" s="112">
        <v>310</v>
      </c>
      <c r="I110" s="95">
        <v>1</v>
      </c>
      <c r="J110" s="95" t="s">
        <v>87</v>
      </c>
      <c r="P110" s="95">
        <f t="shared" si="21"/>
        <v>9.9000000000000005E-2</v>
      </c>
      <c r="Q110" s="95">
        <f t="shared" si="20"/>
        <v>0.26400000000000001</v>
      </c>
      <c r="R110" s="95">
        <f t="shared" si="20"/>
        <v>1.212</v>
      </c>
      <c r="S110" s="95">
        <f t="shared" si="20"/>
        <v>0.14399999999999999</v>
      </c>
      <c r="T110" s="95">
        <f t="shared" si="20"/>
        <v>0.41799999999999998</v>
      </c>
      <c r="U110" s="95">
        <f t="shared" si="20"/>
        <v>310</v>
      </c>
      <c r="V110" s="95">
        <f t="shared" si="20"/>
        <v>1</v>
      </c>
    </row>
    <row r="111" spans="1:22" ht="15" x14ac:dyDescent="0.25">
      <c r="A111" s="95" t="s">
        <v>48</v>
      </c>
      <c r="B111" s="95" t="s">
        <v>84</v>
      </c>
      <c r="C111" s="95">
        <v>8.8999999999999996E-2</v>
      </c>
      <c r="D111" s="95">
        <v>0.19900000000000001</v>
      </c>
      <c r="E111" s="95">
        <v>1.462</v>
      </c>
      <c r="F111" s="95">
        <v>9.7000000000000003E-2</v>
      </c>
      <c r="G111" s="95">
        <v>0.311</v>
      </c>
      <c r="H111" s="112">
        <v>1622</v>
      </c>
      <c r="I111" s="95">
        <v>0</v>
      </c>
      <c r="J111" s="95" t="s">
        <v>87</v>
      </c>
      <c r="P111" s="95">
        <f t="shared" si="21"/>
        <v>8.8999999999999996E-2</v>
      </c>
      <c r="Q111" s="95">
        <f t="shared" si="20"/>
        <v>0.19900000000000001</v>
      </c>
      <c r="R111" s="95">
        <f t="shared" si="20"/>
        <v>1.462</v>
      </c>
      <c r="S111" s="95">
        <f t="shared" si="20"/>
        <v>9.7000000000000003E-2</v>
      </c>
      <c r="T111" s="95">
        <f t="shared" si="20"/>
        <v>0.311</v>
      </c>
      <c r="U111" s="95">
        <f t="shared" si="20"/>
        <v>1622</v>
      </c>
      <c r="V111" s="95">
        <f t="shared" si="20"/>
        <v>0</v>
      </c>
    </row>
    <row r="112" spans="1:22" ht="15" x14ac:dyDescent="0.25">
      <c r="A112" s="95" t="s">
        <v>56</v>
      </c>
      <c r="B112" s="95" t="s">
        <v>84</v>
      </c>
      <c r="C112" s="95">
        <v>0.11</v>
      </c>
      <c r="D112" s="95">
        <v>0.216</v>
      </c>
      <c r="E112" s="95">
        <v>1.0880000000000001</v>
      </c>
      <c r="F112" s="95">
        <v>7.6999999999999999E-2</v>
      </c>
      <c r="G112" s="95">
        <v>0.29899999999999999</v>
      </c>
      <c r="H112" s="112">
        <v>1071</v>
      </c>
      <c r="I112" s="95">
        <v>0</v>
      </c>
      <c r="J112" s="95" t="s">
        <v>87</v>
      </c>
      <c r="P112" s="95">
        <f t="shared" si="21"/>
        <v>0.11</v>
      </c>
      <c r="Q112" s="95">
        <f t="shared" si="20"/>
        <v>0.216</v>
      </c>
      <c r="R112" s="95">
        <f t="shared" si="20"/>
        <v>1.0880000000000001</v>
      </c>
      <c r="S112" s="95">
        <f t="shared" si="20"/>
        <v>7.6999999999999999E-2</v>
      </c>
      <c r="T112" s="95">
        <f t="shared" si="20"/>
        <v>0.29899999999999999</v>
      </c>
      <c r="U112" s="95">
        <f t="shared" si="20"/>
        <v>1071</v>
      </c>
      <c r="V112" s="95">
        <f t="shared" si="20"/>
        <v>0</v>
      </c>
    </row>
    <row r="113" spans="1:22" ht="15" x14ac:dyDescent="0.25">
      <c r="A113" s="95" t="s">
        <v>49</v>
      </c>
      <c r="B113" s="95" t="s">
        <v>84</v>
      </c>
      <c r="C113" s="95">
        <v>0.16400000000000001</v>
      </c>
      <c r="D113" s="95">
        <v>0.48099999999999998</v>
      </c>
      <c r="E113" s="95">
        <v>5.6859999999999999</v>
      </c>
      <c r="F113" s="95">
        <v>0.378</v>
      </c>
      <c r="G113" s="95">
        <v>0.74399999999999999</v>
      </c>
      <c r="H113" s="112">
        <v>1935</v>
      </c>
      <c r="I113" s="95">
        <v>0</v>
      </c>
      <c r="J113" s="95" t="s">
        <v>87</v>
      </c>
      <c r="P113" s="95">
        <f t="shared" si="21"/>
        <v>0.16400000000000001</v>
      </c>
      <c r="Q113" s="95">
        <f t="shared" si="20"/>
        <v>0.48099999999999998</v>
      </c>
      <c r="R113" s="95">
        <f t="shared" si="20"/>
        <v>5.6859999999999999</v>
      </c>
      <c r="S113" s="95">
        <f t="shared" si="20"/>
        <v>0.378</v>
      </c>
      <c r="T113" s="95">
        <f t="shared" si="20"/>
        <v>0.74399999999999999</v>
      </c>
      <c r="U113" s="95">
        <f t="shared" si="20"/>
        <v>1935</v>
      </c>
      <c r="V113" s="95">
        <f t="shared" si="20"/>
        <v>0</v>
      </c>
    </row>
    <row r="114" spans="1:22" ht="15" x14ac:dyDescent="0.25">
      <c r="A114" s="95" t="s">
        <v>46</v>
      </c>
      <c r="B114" s="95" t="s">
        <v>84</v>
      </c>
      <c r="C114" s="95">
        <v>0.153</v>
      </c>
      <c r="D114" s="95">
        <v>0.68899999999999995</v>
      </c>
      <c r="E114" s="95">
        <v>4.26</v>
      </c>
      <c r="F114" s="95">
        <v>0.70899999999999996</v>
      </c>
      <c r="G114" s="95">
        <v>1.6379999999999999</v>
      </c>
      <c r="H114" s="112">
        <v>1711</v>
      </c>
      <c r="I114" s="95">
        <v>0</v>
      </c>
      <c r="J114" s="95" t="s">
        <v>87</v>
      </c>
      <c r="P114" s="95">
        <f t="shared" si="21"/>
        <v>0.153</v>
      </c>
      <c r="Q114" s="95">
        <f t="shared" si="20"/>
        <v>0.68899999999999995</v>
      </c>
      <c r="R114" s="95">
        <f t="shared" si="20"/>
        <v>4.26</v>
      </c>
      <c r="S114" s="95">
        <f t="shared" si="20"/>
        <v>0.70899999999999996</v>
      </c>
      <c r="T114" s="95">
        <f t="shared" si="20"/>
        <v>1.6379999999999999</v>
      </c>
      <c r="U114" s="95">
        <f t="shared" si="20"/>
        <v>1711</v>
      </c>
      <c r="V114" s="95">
        <f t="shared" si="20"/>
        <v>0</v>
      </c>
    </row>
    <row r="115" spans="1:22" ht="15" x14ac:dyDescent="0.25">
      <c r="A115" s="95" t="s">
        <v>47</v>
      </c>
      <c r="B115" s="95" t="s">
        <v>84</v>
      </c>
      <c r="C115" s="95">
        <v>0.183</v>
      </c>
      <c r="D115" s="95">
        <v>0.53700000000000003</v>
      </c>
      <c r="E115" s="95">
        <v>5.5640000000000001</v>
      </c>
      <c r="F115" s="95">
        <v>0.50600000000000001</v>
      </c>
      <c r="G115" s="95">
        <v>0.81399999999999995</v>
      </c>
      <c r="H115" s="112">
        <v>725</v>
      </c>
      <c r="I115" s="95">
        <v>0</v>
      </c>
      <c r="J115" s="95" t="s">
        <v>87</v>
      </c>
      <c r="P115" s="95">
        <f t="shared" si="21"/>
        <v>0.183</v>
      </c>
      <c r="Q115" s="95">
        <f t="shared" si="20"/>
        <v>0.53700000000000003</v>
      </c>
      <c r="R115" s="95">
        <f t="shared" si="20"/>
        <v>5.5640000000000001</v>
      </c>
      <c r="S115" s="95">
        <f t="shared" si="20"/>
        <v>0.50600000000000001</v>
      </c>
      <c r="T115" s="95">
        <f t="shared" si="20"/>
        <v>0.81399999999999995</v>
      </c>
      <c r="U115" s="95">
        <f t="shared" si="20"/>
        <v>725</v>
      </c>
      <c r="V115" s="95">
        <f t="shared" si="20"/>
        <v>0</v>
      </c>
    </row>
    <row r="116" spans="1:22" ht="15" x14ac:dyDescent="0.25">
      <c r="A116" s="95" t="s">
        <v>51</v>
      </c>
      <c r="B116" s="95" t="s">
        <v>84</v>
      </c>
      <c r="C116" s="95">
        <v>0.14000000000000001</v>
      </c>
      <c r="D116" s="95">
        <v>0.85599999999999998</v>
      </c>
      <c r="E116" s="95">
        <v>7.0590000000000002</v>
      </c>
      <c r="F116" s="95">
        <v>0.98299999999999998</v>
      </c>
      <c r="G116" s="95">
        <v>2.2429999999999999</v>
      </c>
      <c r="H116" s="112">
        <v>2378</v>
      </c>
      <c r="I116" s="95">
        <v>0</v>
      </c>
      <c r="J116" s="95" t="s">
        <v>87</v>
      </c>
      <c r="P116" s="95">
        <f t="shared" si="21"/>
        <v>0.14000000000000001</v>
      </c>
      <c r="Q116" s="95">
        <f t="shared" si="20"/>
        <v>0.85599999999999998</v>
      </c>
      <c r="R116" s="95">
        <f t="shared" si="20"/>
        <v>7.0590000000000002</v>
      </c>
      <c r="S116" s="95">
        <f t="shared" si="20"/>
        <v>0.98299999999999998</v>
      </c>
      <c r="T116" s="95">
        <f t="shared" si="20"/>
        <v>2.2429999999999999</v>
      </c>
      <c r="U116" s="95">
        <f t="shared" si="20"/>
        <v>2378</v>
      </c>
      <c r="V116" s="95">
        <f t="shared" si="20"/>
        <v>0</v>
      </c>
    </row>
    <row r="117" spans="1:22" ht="15" x14ac:dyDescent="0.25">
      <c r="A117" s="95" t="s">
        <v>50</v>
      </c>
      <c r="B117" s="95" t="s">
        <v>84</v>
      </c>
      <c r="C117" s="95">
        <v>0.16200000000000001</v>
      </c>
      <c r="D117" s="95">
        <v>0.83399999999999996</v>
      </c>
      <c r="E117" s="95">
        <v>5.7889999999999997</v>
      </c>
      <c r="F117" s="95">
        <v>0.71599999999999997</v>
      </c>
      <c r="G117" s="95">
        <v>1.8540000000000001</v>
      </c>
      <c r="H117" s="112">
        <v>2381</v>
      </c>
      <c r="I117" s="95">
        <v>0</v>
      </c>
      <c r="J117" s="95" t="s">
        <v>87</v>
      </c>
      <c r="P117" s="95">
        <f t="shared" si="21"/>
        <v>0.16200000000000001</v>
      </c>
      <c r="Q117" s="95">
        <f t="shared" si="20"/>
        <v>0.83399999999999996</v>
      </c>
      <c r="R117" s="95">
        <f t="shared" si="20"/>
        <v>5.7889999999999997</v>
      </c>
      <c r="S117" s="95">
        <f t="shared" si="20"/>
        <v>0.71599999999999997</v>
      </c>
      <c r="T117" s="95">
        <f t="shared" si="20"/>
        <v>1.8540000000000001</v>
      </c>
      <c r="U117" s="95">
        <f t="shared" si="20"/>
        <v>2381</v>
      </c>
      <c r="V117" s="95">
        <f t="shared" si="20"/>
        <v>0</v>
      </c>
    </row>
    <row r="118" spans="1:22" ht="15" x14ac:dyDescent="0.25">
      <c r="A118" s="95" t="s">
        <v>45</v>
      </c>
      <c r="B118" s="95" t="s">
        <v>84</v>
      </c>
      <c r="C118" s="95">
        <v>0.13700000000000001</v>
      </c>
      <c r="D118" s="95">
        <v>0.35</v>
      </c>
      <c r="E118" s="95">
        <v>3.0779999999999998</v>
      </c>
      <c r="F118" s="95">
        <v>0.22700000000000001</v>
      </c>
      <c r="G118" s="95">
        <v>0.53100000000000003</v>
      </c>
      <c r="H118" s="112">
        <v>1843</v>
      </c>
      <c r="I118" s="95">
        <v>0</v>
      </c>
      <c r="J118" s="95" t="s">
        <v>87</v>
      </c>
      <c r="P118" s="95">
        <f t="shared" si="21"/>
        <v>0.13700000000000001</v>
      </c>
      <c r="Q118" s="95">
        <f t="shared" si="20"/>
        <v>0.35</v>
      </c>
      <c r="R118" s="95">
        <f t="shared" si="20"/>
        <v>3.0779999999999998</v>
      </c>
      <c r="S118" s="95">
        <f t="shared" si="20"/>
        <v>0.22700000000000001</v>
      </c>
      <c r="T118" s="95">
        <f t="shared" si="20"/>
        <v>0.53100000000000003</v>
      </c>
      <c r="U118" s="95">
        <f t="shared" si="20"/>
        <v>1843</v>
      </c>
      <c r="V118" s="95">
        <f t="shared" si="20"/>
        <v>0</v>
      </c>
    </row>
    <row r="119" spans="1:22" x14ac:dyDescent="0.25">
      <c r="C119" s="119">
        <f>AVERAGE(C103:C108)</f>
        <v>1.2196666666666667</v>
      </c>
      <c r="D119" s="119">
        <f t="shared" ref="D119:G119" si="22">AVERAGE(D103:D108)</f>
        <v>3.2930000000000006</v>
      </c>
      <c r="E119" s="119">
        <f t="shared" si="22"/>
        <v>8.987166666666667</v>
      </c>
      <c r="F119" s="119">
        <f t="shared" si="22"/>
        <v>1.4814999999999998</v>
      </c>
      <c r="G119" s="119">
        <f t="shared" si="22"/>
        <v>5.4036666666666662</v>
      </c>
    </row>
    <row r="120" spans="1:22" x14ac:dyDescent="0.25">
      <c r="C120" s="120">
        <f>AVERAGE(C109:C118)</f>
        <v>0.13500000000000001</v>
      </c>
      <c r="D120" s="120">
        <f>AVERAGE(D109:D118)</f>
        <v>0.46559999999999996</v>
      </c>
      <c r="E120" s="120">
        <f>AVERAGE(E109:E118)</f>
        <v>3.5925000000000002</v>
      </c>
      <c r="F120" s="120">
        <f>AVERAGE(F109:F118)</f>
        <v>0.3916</v>
      </c>
      <c r="G120" s="120">
        <f>AVERAGE(G109:G118)</f>
        <v>0.91860000000000019</v>
      </c>
    </row>
  </sheetData>
  <mergeCells count="47">
    <mergeCell ref="B62:P62"/>
    <mergeCell ref="A41:P41"/>
    <mergeCell ref="A101:J101"/>
    <mergeCell ref="A82:P82"/>
    <mergeCell ref="P4:P5"/>
    <mergeCell ref="A24:D24"/>
    <mergeCell ref="O15:P15"/>
    <mergeCell ref="A16:A17"/>
    <mergeCell ref="B16:B17"/>
    <mergeCell ref="C16:C17"/>
    <mergeCell ref="D16:D17"/>
    <mergeCell ref="E16:E17"/>
    <mergeCell ref="F16:F17"/>
    <mergeCell ref="G16:G17"/>
    <mergeCell ref="H16:H17"/>
    <mergeCell ref="I16:I17"/>
    <mergeCell ref="O3:P3"/>
    <mergeCell ref="A3:J3"/>
    <mergeCell ref="E27:F27"/>
    <mergeCell ref="H27:I27"/>
    <mergeCell ref="O4:O5"/>
    <mergeCell ref="K27:K28"/>
    <mergeCell ref="L27:L28"/>
    <mergeCell ref="J4:J5"/>
    <mergeCell ref="K4:K5"/>
    <mergeCell ref="L4:N4"/>
    <mergeCell ref="A12:D12"/>
    <mergeCell ref="A25:G25"/>
    <mergeCell ref="A27:A28"/>
    <mergeCell ref="B27:B28"/>
    <mergeCell ref="C27:C28"/>
    <mergeCell ref="A15:J15"/>
    <mergeCell ref="A1:N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16:J17"/>
    <mergeCell ref="K16:K17"/>
    <mergeCell ref="L16:N16"/>
    <mergeCell ref="O16:O17"/>
    <mergeCell ref="P16:P17"/>
  </mergeCells>
  <hyperlinks>
    <hyperlink ref="A84" r:id="rId1" display="../Результаты/Confirm_Max/ResponseTime0000(01_Search_Itinerary)0000"/>
    <hyperlink ref="A85" r:id="rId2" display="../Результаты/Confirm_Max/ResponseTime0000(02_Search_BuyTicket)0000"/>
    <hyperlink ref="A86" r:id="rId3" display="../Результаты/Confirm_Max/ResponseTime0000(03_Search_itinerary_delete)0000"/>
    <hyperlink ref="A87" r:id="rId4" display="../Результаты/Confirm_Max/ResponseTime0000(04_itinerary)0000"/>
    <hyperlink ref="A88" r:id="rId5" display="../Результаты/Confirm_Max/ResponseTime0000(05_Search)0000"/>
    <hyperlink ref="A89" r:id="rId6" display="../Результаты/Confirm_Max/ResponseTime0000(06_login_Logout)0000"/>
    <hyperlink ref="A90" r:id="rId7" display="../Результаты/Confirm_Max/ResponseTime0000(choise_ticket)0000"/>
    <hyperlink ref="A91" r:id="rId8" display="../Результаты/Confirm_Max/ResponseTime0000(Delete_first)0000"/>
    <hyperlink ref="A92" r:id="rId9" display="../Результаты/Confirm_Max/ResponseTime0000(Entry_Data_Flight)0000"/>
    <hyperlink ref="A93" r:id="rId10" display="../Результаты/Confirm_Max/ResponseTime0000(Entry_Data_Ticket)0000"/>
    <hyperlink ref="A94" r:id="rId11" display="../Результаты/Confirm_Max/ResponseTime0000(goto_Flight)0000"/>
    <hyperlink ref="A95" r:id="rId12" display="../Результаты/Confirm_Max/ResponseTime0000(goto_home)0000"/>
    <hyperlink ref="A96" r:id="rId13" display="../Результаты/Confirm_Max/ResponseTime0000(goto_Itinerary)0000"/>
    <hyperlink ref="A97" r:id="rId14" display="../Результаты/Confirm_Max/ResponseTime0000(Load_start_Page)0000"/>
    <hyperlink ref="A98" r:id="rId15" display="../Результаты/Confirm_Max/ResponseTime0000(login_user)0000"/>
    <hyperlink ref="A99" r:id="rId16" display="../Результаты/Confirm_Max/ResponseTime0000(Logout)0000"/>
  </hyperlinks>
  <pageMargins left="0.7" right="0.7" top="0.75" bottom="0.75" header="0.3" footer="0.3"/>
  <pageSetup paperSize="9" scale="63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Расчетная таблица</vt:lpstr>
      <vt:lpstr>Транзакции в профилях</vt:lpstr>
      <vt:lpstr>Итоги расчета</vt:lpstr>
      <vt:lpstr>import Summary Report</vt:lpstr>
      <vt:lpstr>Проверка ступени масимум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SusPecT</dc:creator>
  <cp:lastModifiedBy>SusPecT</cp:lastModifiedBy>
  <cp:lastPrinted>2020-07-24T13:31:43Z</cp:lastPrinted>
  <dcterms:created xsi:type="dcterms:W3CDTF">2020-07-12T11:01:20Z</dcterms:created>
  <dcterms:modified xsi:type="dcterms:W3CDTF">2020-08-01T13:21:44Z</dcterms:modified>
</cp:coreProperties>
</file>