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sPecT\Documents\Appline_Study\Документация\"/>
    </mc:Choice>
  </mc:AlternateContent>
  <bookViews>
    <workbookView xWindow="0" yWindow="0" windowWidth="6885" windowHeight="6330"/>
  </bookViews>
  <sheets>
    <sheet name="Расчетная таблица" sheetId="1" r:id="rId1"/>
    <sheet name="Транзакции в профилях" sheetId="2" r:id="rId2"/>
    <sheet name="итоги расчета" sheetId="3" r:id="rId3"/>
  </sheets>
  <definedNames>
    <definedName name="_xlnm._FilterDatabase" localSheetId="1" hidden="1">'Транзакции в профилях'!$A$1:$H$34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6" i="2"/>
  <c r="D6" i="2"/>
  <c r="D3" i="3"/>
  <c r="I3" i="3" s="1"/>
  <c r="E3" i="3"/>
  <c r="D4" i="3"/>
  <c r="I4" i="3" s="1"/>
  <c r="E4" i="3"/>
  <c r="D5" i="3"/>
  <c r="I5" i="3" s="1"/>
  <c r="E5" i="3"/>
  <c r="D6" i="3"/>
  <c r="I6" i="3" s="1"/>
  <c r="E6" i="3"/>
  <c r="D7" i="3"/>
  <c r="I7" i="3" s="1"/>
  <c r="E7" i="3"/>
  <c r="D8" i="3"/>
  <c r="I8" i="3" s="1"/>
  <c r="E8" i="3"/>
  <c r="D9" i="3"/>
  <c r="I9" i="3" s="1"/>
  <c r="E9" i="3"/>
  <c r="E10" i="3"/>
  <c r="H10" i="3"/>
  <c r="C18" i="3"/>
  <c r="B18" i="3"/>
  <c r="C17" i="3"/>
  <c r="B17" i="3"/>
  <c r="C16" i="3"/>
  <c r="B16" i="3"/>
  <c r="C15" i="3"/>
  <c r="B15" i="3"/>
  <c r="C14" i="3"/>
  <c r="B14" i="3"/>
  <c r="I10" i="3" l="1"/>
  <c r="D31" i="1"/>
  <c r="D10" i="3" s="1"/>
  <c r="G15" i="2"/>
  <c r="D15" i="2"/>
  <c r="D3" i="2" l="1"/>
  <c r="D4" i="2"/>
  <c r="D5" i="2"/>
  <c r="D7" i="2"/>
  <c r="D8" i="2"/>
  <c r="D9" i="2"/>
  <c r="D10" i="2"/>
  <c r="D11" i="2"/>
  <c r="D12" i="2"/>
  <c r="D13" i="2"/>
  <c r="D14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G3" i="2"/>
  <c r="G4" i="2"/>
  <c r="G5" i="2"/>
  <c r="G7" i="2"/>
  <c r="G8" i="2"/>
  <c r="G9" i="2"/>
  <c r="G10" i="2"/>
  <c r="G11" i="2"/>
  <c r="G12" i="2"/>
  <c r="G13" i="2"/>
  <c r="G14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2" i="2"/>
  <c r="M9" i="1" l="1"/>
  <c r="N9" i="1"/>
  <c r="L9" i="1"/>
  <c r="F4" i="1" l="1"/>
  <c r="D5" i="1"/>
  <c r="D6" i="1"/>
  <c r="D3" i="1"/>
  <c r="F3" i="1" s="1"/>
  <c r="E6" i="2" s="1"/>
  <c r="F7" i="1" l="1"/>
  <c r="E31" i="2" s="1"/>
  <c r="F6" i="1"/>
  <c r="E26" i="2" s="1"/>
  <c r="F5" i="1"/>
  <c r="E21" i="2" s="1"/>
  <c r="E22" i="2"/>
  <c r="E3" i="2"/>
  <c r="E8" i="2"/>
  <c r="E4" i="2"/>
  <c r="E9" i="2"/>
  <c r="E5" i="2"/>
  <c r="E2" i="2"/>
  <c r="E7" i="2"/>
  <c r="H3" i="1"/>
  <c r="E15" i="2"/>
  <c r="E12" i="2"/>
  <c r="E17" i="2"/>
  <c r="E13" i="2"/>
  <c r="E10" i="2"/>
  <c r="E14" i="2"/>
  <c r="E11" i="2"/>
  <c r="E16" i="2"/>
  <c r="H4" i="1"/>
  <c r="K4" i="1"/>
  <c r="K3" i="1"/>
  <c r="C14" i="1"/>
  <c r="K5" i="1"/>
  <c r="C15" i="1"/>
  <c r="K6" i="1"/>
  <c r="C16" i="1"/>
  <c r="K7" i="1"/>
  <c r="C13" i="1"/>
  <c r="C12" i="1"/>
  <c r="E24" i="2" l="1"/>
  <c r="E27" i="2"/>
  <c r="E29" i="2"/>
  <c r="H6" i="1"/>
  <c r="F29" i="2" s="1"/>
  <c r="E28" i="2"/>
  <c r="E34" i="2"/>
  <c r="E20" i="2"/>
  <c r="E18" i="2"/>
  <c r="H7" i="1"/>
  <c r="F30" i="2" s="1"/>
  <c r="E30" i="2"/>
  <c r="E23" i="2"/>
  <c r="E25" i="2"/>
  <c r="E32" i="2"/>
  <c r="E33" i="2"/>
  <c r="H5" i="1"/>
  <c r="J5" i="1" s="1"/>
  <c r="E19" i="2"/>
  <c r="F6" i="2"/>
  <c r="J3" i="1"/>
  <c r="H6" i="2" s="1"/>
  <c r="F14" i="2"/>
  <c r="F12" i="2"/>
  <c r="F11" i="2"/>
  <c r="F16" i="2"/>
  <c r="F15" i="2"/>
  <c r="F13" i="2"/>
  <c r="F10" i="2"/>
  <c r="J4" i="1"/>
  <c r="F17" i="2"/>
  <c r="F3" i="2"/>
  <c r="F9" i="2"/>
  <c r="F8" i="2"/>
  <c r="F5" i="2"/>
  <c r="F7" i="2"/>
  <c r="F4" i="2"/>
  <c r="F2" i="2"/>
  <c r="F19" i="2"/>
  <c r="K9" i="1"/>
  <c r="F24" i="2" l="1"/>
  <c r="F18" i="2"/>
  <c r="F27" i="2"/>
  <c r="J6" i="1"/>
  <c r="H27" i="2" s="1"/>
  <c r="F26" i="2"/>
  <c r="F28" i="2"/>
  <c r="F31" i="2"/>
  <c r="F34" i="2"/>
  <c r="J7" i="1"/>
  <c r="H34" i="2" s="1"/>
  <c r="F33" i="2"/>
  <c r="F32" i="2"/>
  <c r="F22" i="2"/>
  <c r="F21" i="2"/>
  <c r="F25" i="2"/>
  <c r="F23" i="2"/>
  <c r="F20" i="2"/>
  <c r="D15" i="3"/>
  <c r="F15" i="3" s="1"/>
  <c r="H10" i="2"/>
  <c r="H14" i="2"/>
  <c r="H11" i="2"/>
  <c r="H15" i="2"/>
  <c r="H12" i="2"/>
  <c r="H16" i="2"/>
  <c r="H13" i="2"/>
  <c r="H17" i="2"/>
  <c r="D16" i="3"/>
  <c r="F16" i="3" s="1"/>
  <c r="H18" i="2"/>
  <c r="H22" i="2"/>
  <c r="H19" i="2"/>
  <c r="H23" i="2"/>
  <c r="H20" i="2"/>
  <c r="H24" i="2"/>
  <c r="H21" i="2"/>
  <c r="H25" i="2"/>
  <c r="H3" i="2"/>
  <c r="H8" i="2"/>
  <c r="H4" i="2"/>
  <c r="H9" i="2"/>
  <c r="H5" i="2"/>
  <c r="H7" i="2"/>
  <c r="H2" i="2"/>
  <c r="D14" i="3"/>
  <c r="F14" i="3" s="1"/>
  <c r="H26" i="2" l="1"/>
  <c r="D17" i="3"/>
  <c r="F17" i="3" s="1"/>
  <c r="H29" i="2"/>
  <c r="F30" i="1" s="1"/>
  <c r="H28" i="2"/>
  <c r="F27" i="1" s="1"/>
  <c r="H33" i="2"/>
  <c r="F24" i="1" s="1"/>
  <c r="H30" i="2"/>
  <c r="H32" i="2"/>
  <c r="D18" i="3"/>
  <c r="F18" i="3" s="1"/>
  <c r="H31" i="2"/>
  <c r="F22" i="1" s="1"/>
  <c r="J9" i="1"/>
  <c r="D13" i="1" s="1"/>
  <c r="F25" i="1"/>
  <c r="F28" i="1"/>
  <c r="F26" i="1"/>
  <c r="G30" i="1" l="1"/>
  <c r="G9" i="3" s="1"/>
  <c r="F6" i="3"/>
  <c r="G24" i="1"/>
  <c r="G4" i="3" s="1"/>
  <c r="F8" i="3"/>
  <c r="F7" i="3"/>
  <c r="G22" i="1"/>
  <c r="D16" i="1"/>
  <c r="D12" i="1"/>
  <c r="D15" i="1"/>
  <c r="D14" i="1"/>
  <c r="G26" i="1"/>
  <c r="G6" i="3" s="1"/>
  <c r="G28" i="1"/>
  <c r="G8" i="3" s="1"/>
  <c r="F9" i="3"/>
  <c r="F3" i="3"/>
  <c r="F31" i="1"/>
  <c r="F4" i="3"/>
  <c r="G27" i="1"/>
  <c r="G7" i="3" s="1"/>
  <c r="G3" i="3"/>
  <c r="G25" i="1"/>
  <c r="G5" i="3" s="1"/>
  <c r="F5" i="3"/>
  <c r="F10" i="3" l="1"/>
  <c r="H23" i="1"/>
  <c r="H29" i="1"/>
  <c r="H22" i="1"/>
  <c r="H28" i="1"/>
  <c r="H26" i="1"/>
  <c r="H25" i="1"/>
  <c r="H27" i="1"/>
  <c r="H24" i="1"/>
  <c r="H30" i="1"/>
  <c r="D17" i="1"/>
  <c r="G31" i="1"/>
  <c r="G10" i="3" s="1"/>
  <c r="H31" i="1" l="1"/>
</calcChain>
</file>

<file path=xl/sharedStrings.xml><?xml version="1.0" encoding="utf-8"?>
<sst xmlns="http://schemas.openxmlformats.org/spreadsheetml/2006/main" count="165" uniqueCount="66">
  <si>
    <t>Операции</t>
  </si>
  <si>
    <t>№ пп</t>
  </si>
  <si>
    <t>max. время выполнения одного скрипта (сек)</t>
  </si>
  <si>
    <t>Pacing (sec)</t>
  </si>
  <si>
    <t>Think Time (sec)</t>
  </si>
  <si>
    <t>Количество VU</t>
  </si>
  <si>
    <t>% повышения нагрузки</t>
  </si>
  <si>
    <t>Интенсивность</t>
  </si>
  <si>
    <t>Количестов запросов одним пользователем в минуту</t>
  </si>
  <si>
    <t>Интенсивность (операций)</t>
  </si>
  <si>
    <t>% распределения</t>
  </si>
  <si>
    <t>Scripts duration</t>
  </si>
  <si>
    <t>1 прогон</t>
  </si>
  <si>
    <t>2 прогон</t>
  </si>
  <si>
    <t>3 прогон</t>
  </si>
  <si>
    <t>Длительность ступени (мин)</t>
  </si>
  <si>
    <t>по профилю</t>
  </si>
  <si>
    <t>% отклонения</t>
  </si>
  <si>
    <t>Операция</t>
  </si>
  <si>
    <t>Кол-во/час пиковой нагрузки</t>
  </si>
  <si>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</si>
  <si>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</si>
  <si>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</si>
  <si>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</si>
  <si>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</si>
  <si>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</si>
  <si>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</si>
  <si>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</si>
  <si>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Script name</t>
  </si>
  <si>
    <t>VU</t>
  </si>
  <si>
    <t>Длительность ступени</t>
  </si>
  <si>
    <t>Расчетные  параметры</t>
  </si>
  <si>
    <t>Заданные параметры</t>
  </si>
  <si>
    <t>Отклонение в %</t>
  </si>
  <si>
    <t>% в профиле</t>
  </si>
  <si>
    <t>кол-во одним пользователем в минуту</t>
  </si>
  <si>
    <t>Поиск авиабилета, просмотр истории продаж авиабилетов</t>
  </si>
  <si>
    <t xml:space="preserve">Поиск и покупка авиабилета </t>
  </si>
  <si>
    <t>Поиск авиабилета, просмотр истории продаж авиабилетов, удаление авиабилета</t>
  </si>
  <si>
    <t>Просмотр истории продаж авиабилетов</t>
  </si>
  <si>
    <t>Поиск авиабилета</t>
  </si>
  <si>
    <t>01_Search_Itinerary</t>
  </si>
  <si>
    <t>02_Search_BuyTicket</t>
  </si>
  <si>
    <t>03_SearcH_Itinerary_Delete</t>
  </si>
  <si>
    <t>04_Itinerary</t>
  </si>
  <si>
    <t>05_Search</t>
  </si>
  <si>
    <t>Logout</t>
  </si>
  <si>
    <t>goto_home</t>
  </si>
  <si>
    <t>goto_Itinerary</t>
  </si>
  <si>
    <t>Entry_Data_Flight</t>
  </si>
  <si>
    <t>goto_Flight</t>
  </si>
  <si>
    <t>login_user</t>
  </si>
  <si>
    <t>Load_start_Page</t>
  </si>
  <si>
    <t>Scripts Name (RUS)</t>
  </si>
  <si>
    <t>Scripts Name (Eng)</t>
  </si>
  <si>
    <t>choise_ticket</t>
  </si>
  <si>
    <t>Delete_first</t>
  </si>
  <si>
    <t>Entry_Data_Ticket</t>
  </si>
  <si>
    <t>Transaction rq</t>
  </si>
  <si>
    <t>Count</t>
  </si>
  <si>
    <t>Pacing</t>
  </si>
  <si>
    <t>коэффициент общий</t>
  </si>
  <si>
    <t>Итоги теста Analysis</t>
  </si>
  <si>
    <t>по факту Analysis</t>
  </si>
  <si>
    <t>Коэффициент по операциям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</si>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</sst>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р_._-;\-* #,##0.00_р_._-;_-* &quot;-&quot;??_р_._-;_-@_-"/>
    <numFmt numFmtId="164" formatCode="0.000"/>
    <numFmt numFmtId="165" formatCode="_-* #,##0_р_._-;\-* #,##0_р_._-;_-* &quot;-&quot;??_р_._-;_-@_-"/>
    <numFmt numFmtId="166" formatCode="0.0000000000"/>
    <numFmt numFmtId="167" formatCode="0.000000000000"/>
  </numFmts>
  <fonts count="2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b/>
      <sz val="10"/>
      <name val="Times New Roman"/>
      <family val="1"/>
      <charset val="204"/>
    </font>
  </fonts>
  <fills count="4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8" borderId="7" applyNumberFormat="0" applyAlignment="0" applyProtection="0"/>
    <xf numFmtId="0" fontId="14" fillId="9" borderId="8" applyNumberFormat="0" applyAlignment="0" applyProtection="0"/>
    <xf numFmtId="0" fontId="15" fillId="9" borderId="7" applyNumberFormat="0" applyAlignment="0" applyProtection="0"/>
    <xf numFmtId="0" fontId="16" fillId="0" borderId="9" applyNumberFormat="0" applyFill="0" applyAlignment="0" applyProtection="0"/>
    <xf numFmtId="0" fontId="17" fillId="10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20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0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0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0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0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0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1" fillId="0" borderId="0"/>
    <xf numFmtId="0" fontId="22" fillId="7" borderId="0" applyNumberFormat="0" applyBorder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11" borderId="11" applyNumberFormat="0" applyFont="0" applyAlignment="0" applyProtection="0"/>
    <xf numFmtId="9" fontId="21" fillId="0" borderId="0" applyFont="0" applyFill="0" applyBorder="0" applyAlignment="0" applyProtection="0"/>
  </cellStyleXfs>
  <cellXfs count="100">
    <xf numFmtId="0" fontId="0" fillId="0" borderId="0" xfId="0"/>
    <xf numFmtId="1" fontId="1" fillId="4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36" applyFont="1" applyBorder="1" applyAlignment="1">
      <alignment vertical="center"/>
    </xf>
    <xf numFmtId="0" fontId="4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6" fillId="2" borderId="1" xfId="36" applyFont="1" applyFill="1" applyBorder="1" applyAlignment="1">
      <alignment horizontal="center" vertical="center" wrapText="1"/>
    </xf>
    <xf numFmtId="0" fontId="4" fillId="0" borderId="1" xfId="36" applyFont="1" applyBorder="1"/>
    <xf numFmtId="0" fontId="4" fillId="0" borderId="1" xfId="36" applyFont="1" applyBorder="1" applyAlignment="1">
      <alignment horizontal="center" vertical="center"/>
    </xf>
    <xf numFmtId="2" fontId="4" fillId="0" borderId="1" xfId="36" applyNumberFormat="1" applyFont="1" applyBorder="1" applyAlignment="1">
      <alignment horizontal="center" vertical="center"/>
    </xf>
    <xf numFmtId="1" fontId="4" fillId="0" borderId="1" xfId="36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37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9" fontId="4" fillId="0" borderId="1" xfId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1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4" fillId="0" borderId="1" xfId="0" applyFont="1" applyBorder="1" applyAlignment="1">
      <alignment vertical="center"/>
    </xf>
    <xf numFmtId="0" fontId="4" fillId="37" borderId="1" xfId="0" applyFont="1" applyFill="1" applyBorder="1" applyAlignment="1">
      <alignment horizontal="center" vertical="center"/>
    </xf>
    <xf numFmtId="9" fontId="4" fillId="37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9" fontId="6" fillId="0" borderId="1" xfId="0" applyNumberFormat="1" applyFont="1" applyBorder="1" applyAlignment="1">
      <alignment horizontal="center" vertical="center"/>
    </xf>
    <xf numFmtId="0" fontId="4" fillId="38" borderId="1" xfId="0" applyFont="1" applyFill="1" applyBorder="1" applyAlignment="1">
      <alignment horizontal="center" vertical="center"/>
    </xf>
    <xf numFmtId="1" fontId="23" fillId="3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6" fillId="36" borderId="1" xfId="0" applyFont="1" applyFill="1" applyBorder="1" applyAlignment="1">
      <alignment horizontal="center" vertical="center" wrapText="1"/>
    </xf>
    <xf numFmtId="0" fontId="6" fillId="37" borderId="1" xfId="0" applyFont="1" applyFill="1" applyBorder="1" applyAlignment="1">
      <alignment horizontal="center" vertical="center" wrapText="1"/>
    </xf>
    <xf numFmtId="0" fontId="6" fillId="39" borderId="1" xfId="0" applyFont="1" applyFill="1" applyBorder="1" applyAlignment="1">
      <alignment horizontal="center" vertical="center" wrapText="1"/>
    </xf>
    <xf numFmtId="1" fontId="4" fillId="39" borderId="1" xfId="0" applyNumberFormat="1" applyFont="1" applyFill="1" applyBorder="1" applyAlignment="1">
      <alignment horizontal="center"/>
    </xf>
    <xf numFmtId="9" fontId="4" fillId="39" borderId="1" xfId="0" applyNumberFormat="1" applyFont="1" applyFill="1" applyBorder="1" applyAlignment="1">
      <alignment horizontal="center"/>
    </xf>
    <xf numFmtId="1" fontId="6" fillId="39" borderId="1" xfId="0" applyNumberFormat="1" applyFont="1" applyFill="1" applyBorder="1" applyAlignment="1">
      <alignment horizontal="center"/>
    </xf>
    <xf numFmtId="9" fontId="6" fillId="39" borderId="1" xfId="0" applyNumberFormat="1" applyFont="1" applyFill="1" applyBorder="1" applyAlignment="1">
      <alignment horizontal="center"/>
    </xf>
    <xf numFmtId="9" fontId="4" fillId="37" borderId="1" xfId="1" applyFont="1" applyFill="1" applyBorder="1" applyAlignment="1">
      <alignment horizontal="center"/>
    </xf>
    <xf numFmtId="9" fontId="4" fillId="36" borderId="1" xfId="1" applyFont="1" applyFill="1" applyBorder="1" applyAlignment="1">
      <alignment horizontal="center" vertical="center" wrapText="1"/>
    </xf>
    <xf numFmtId="1" fontId="4" fillId="36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4" fillId="4" borderId="1" xfId="36" applyFont="1" applyFill="1" applyBorder="1"/>
    <xf numFmtId="49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165" fontId="4" fillId="0" borderId="0" xfId="2" applyNumberFormat="1" applyFont="1" applyAlignment="1">
      <alignment vertical="center"/>
    </xf>
    <xf numFmtId="167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36" applyFont="1" applyBorder="1" applyAlignment="1">
      <alignment vertical="center"/>
    </xf>
    <xf numFmtId="0" fontId="4" fillId="0" borderId="0" xfId="36" applyFont="1" applyBorder="1" applyAlignment="1">
      <alignment horizontal="center" vertical="center"/>
    </xf>
    <xf numFmtId="2" fontId="4" fillId="0" borderId="0" xfId="36" applyNumberFormat="1" applyFont="1" applyBorder="1" applyAlignment="1">
      <alignment horizontal="center" vertical="center"/>
    </xf>
    <xf numFmtId="1" fontId="4" fillId="0" borderId="0" xfId="36" applyNumberFormat="1" applyFont="1" applyBorder="1" applyAlignment="1">
      <alignment horizontal="center" vertical="center"/>
    </xf>
    <xf numFmtId="0" fontId="6" fillId="3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9" fontId="4" fillId="41" borderId="1" xfId="1" applyFont="1" applyFill="1" applyBorder="1" applyAlignment="1">
      <alignment horizontal="center" vertical="center"/>
    </xf>
    <xf numFmtId="1" fontId="4" fillId="4" borderId="1" xfId="2" applyNumberFormat="1" applyFont="1" applyFill="1" applyBorder="1" applyAlignment="1">
      <alignment horizontal="center" vertical="center"/>
    </xf>
    <xf numFmtId="9" fontId="6" fillId="37" borderId="1" xfId="1" applyFont="1" applyFill="1" applyBorder="1" applyAlignment="1">
      <alignment horizontal="center"/>
    </xf>
    <xf numFmtId="1" fontId="6" fillId="36" borderId="1" xfId="0" applyNumberFormat="1" applyFont="1" applyFill="1" applyBorder="1" applyAlignment="1">
      <alignment horizontal="center" vertical="center" wrapText="1"/>
    </xf>
    <xf numFmtId="9" fontId="6" fillId="36" borderId="1" xfId="1" applyFont="1" applyFill="1" applyBorder="1" applyAlignment="1">
      <alignment horizontal="center" vertical="center" wrapText="1"/>
    </xf>
    <xf numFmtId="1" fontId="4" fillId="4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4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4" borderId="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4" fillId="40" borderId="1" xfId="0" applyFont="1" applyFill="1" applyBorder="1" applyAlignment="1">
      <alignment horizontal="center" vertical="center"/>
    </xf>
    <xf numFmtId="9" fontId="4" fillId="40" borderId="1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9" borderId="1" xfId="0" applyFont="1" applyFill="1" applyBorder="1" applyAlignment="1">
      <alignment horizontal="center" vertical="center"/>
    </xf>
    <xf numFmtId="0" fontId="6" fillId="37" borderId="1" xfId="0" applyFont="1" applyFill="1" applyBorder="1" applyAlignment="1">
      <alignment horizontal="center" vertical="center"/>
    </xf>
    <xf numFmtId="0" fontId="6" fillId="36" borderId="1" xfId="0" applyFont="1" applyFill="1" applyBorder="1" applyAlignment="1">
      <alignment horizontal="center" vertical="center"/>
    </xf>
    <xf numFmtId="0" fontId="6" fillId="42" borderId="1" xfId="0" applyFont="1" applyFill="1" applyBorder="1" applyAlignment="1">
      <alignment horizontal="center" vertical="center" wrapText="1"/>
    </xf>
  </cellXfs>
  <cellStyles count="48">
    <cellStyle name="20% — акцент1" xfId="19" builtinId="30" customBuiltin="1"/>
    <cellStyle name="20% — акцент2" xfId="22" builtinId="34" customBuiltin="1"/>
    <cellStyle name="20% — акцент3" xfId="25" builtinId="38" customBuiltin="1"/>
    <cellStyle name="20% — акцент4" xfId="28" builtinId="42" customBuiltin="1"/>
    <cellStyle name="20% — акцент5" xfId="31" builtinId="46" customBuiltin="1"/>
    <cellStyle name="20% — акцент6" xfId="34" builtinId="50" customBuiltin="1"/>
    <cellStyle name="40% — акцент1" xfId="20" builtinId="31" customBuiltin="1"/>
    <cellStyle name="40% — акцент2" xfId="23" builtinId="35" customBuiltin="1"/>
    <cellStyle name="40% — акцент3" xfId="26" builtinId="39" customBuiltin="1"/>
    <cellStyle name="40% — акцент4" xfId="29" builtinId="43" customBuiltin="1"/>
    <cellStyle name="40% — акцент5" xfId="32" builtinId="47" customBuiltin="1"/>
    <cellStyle name="40% — акцент6" xfId="35" builtinId="51" customBuiltin="1"/>
    <cellStyle name="60% — акцент1 2" xfId="39"/>
    <cellStyle name="60% — акцент2 2" xfId="40"/>
    <cellStyle name="60% — акцент3 2" xfId="41"/>
    <cellStyle name="60% — акцент4 2" xfId="42"/>
    <cellStyle name="60% — акцент5 2" xfId="43"/>
    <cellStyle name="60% — акцент6 2" xfId="44"/>
    <cellStyle name="Акцент1" xfId="18" builtinId="29" customBuiltin="1"/>
    <cellStyle name="Акцент2" xfId="21" builtinId="33" customBuiltin="1"/>
    <cellStyle name="Акцент3" xfId="24" builtinId="37" customBuiltin="1"/>
    <cellStyle name="Акцент4" xfId="27" builtinId="41" customBuiltin="1"/>
    <cellStyle name="Акцент5" xfId="30" builtinId="45" customBuiltin="1"/>
    <cellStyle name="Акцент6" xfId="33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7" builtinId="25" customBuiltin="1"/>
    <cellStyle name="Контрольная ячейка" xfId="14" builtinId="23" customBuiltin="1"/>
    <cellStyle name="Название" xfId="3" builtinId="15" customBuiltin="1"/>
    <cellStyle name="Нейтральный 2" xfId="37"/>
    <cellStyle name="Обычный" xfId="0" builtinId="0"/>
    <cellStyle name="Обычный 2" xfId="38"/>
    <cellStyle name="Обычный 3" xfId="45"/>
    <cellStyle name="Обычный 4" xfId="36"/>
    <cellStyle name="Плохой" xfId="9" builtinId="27" customBuiltin="1"/>
    <cellStyle name="Пояснение" xfId="16" builtinId="53" customBuiltin="1"/>
    <cellStyle name="Примечание 2" xfId="46"/>
    <cellStyle name="Процентный" xfId="1" builtinId="5"/>
    <cellStyle name="Процентный 2" xfId="47"/>
    <cellStyle name="Связанная ячейка" xfId="13" builtinId="24" customBuiltin="1"/>
    <cellStyle name="Текст предупреждения" xfId="15" builtinId="11" customBuiltin="1"/>
    <cellStyle name="Финансовый" xfId="2" builtinId="3"/>
    <cellStyle name="Хороший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topLeftCell="A9" workbookViewId="0">
      <selection activeCell="G14" sqref="G14"/>
    </sheetView>
  </sheetViews>
  <sheetFormatPr defaultRowHeight="12.75" x14ac:dyDescent="0.25"/>
  <cols>
    <col min="1" max="1" width="6" style="14" bestFit="1" customWidth="1"/>
    <col min="2" max="2" width="35.5703125" style="35" bestFit="1" customWidth="1"/>
    <col min="3" max="3" width="22.85546875" style="35" bestFit="1" customWidth="1"/>
    <col min="4" max="4" width="14.42578125" style="27" customWidth="1"/>
    <col min="5" max="5" width="12.7109375" style="27" customWidth="1"/>
    <col min="6" max="7" width="13.140625" style="27" customWidth="1"/>
    <col min="8" max="8" width="15.85546875" style="27" customWidth="1"/>
    <col min="9" max="9" width="13.42578125" style="14" customWidth="1"/>
    <col min="10" max="11" width="13.42578125" style="27" customWidth="1"/>
    <col min="12" max="14" width="10.7109375" style="27" customWidth="1"/>
    <col min="15" max="15" width="11.85546875" style="27" bestFit="1" customWidth="1"/>
    <col min="16" max="16384" width="9.140625" style="27"/>
  </cols>
  <sheetData>
    <row r="1" spans="1:22" s="7" customFormat="1" ht="27.75" customHeight="1" x14ac:dyDescent="0.25">
      <c r="A1" s="89" t="s">
        <v>1</v>
      </c>
      <c r="B1" s="89" t="s">
        <v>0</v>
      </c>
      <c r="C1" s="89" t="s">
        <v>28</v>
      </c>
      <c r="D1" s="89" t="s">
        <v>2</v>
      </c>
      <c r="E1" s="89" t="s">
        <v>4</v>
      </c>
      <c r="F1" s="89" t="s">
        <v>3</v>
      </c>
      <c r="G1" s="89" t="s">
        <v>5</v>
      </c>
      <c r="H1" s="89" t="s">
        <v>8</v>
      </c>
      <c r="I1" s="89" t="s">
        <v>15</v>
      </c>
      <c r="J1" s="89" t="s">
        <v>9</v>
      </c>
      <c r="K1" s="89" t="s">
        <v>10</v>
      </c>
      <c r="L1" s="95" t="s">
        <v>11</v>
      </c>
      <c r="M1" s="95"/>
      <c r="N1" s="95"/>
    </row>
    <row r="2" spans="1:22" s="7" customFormat="1" ht="28.5" customHeight="1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8" t="s">
        <v>12</v>
      </c>
      <c r="M2" s="8" t="s">
        <v>13</v>
      </c>
      <c r="N2" s="8" t="s">
        <v>14</v>
      </c>
    </row>
    <row r="3" spans="1:22" ht="24" customHeight="1" x14ac:dyDescent="0.25">
      <c r="A3" s="9">
        <v>1</v>
      </c>
      <c r="B3" s="6" t="s">
        <v>36</v>
      </c>
      <c r="C3" s="10" t="s">
        <v>41</v>
      </c>
      <c r="D3" s="2">
        <f>MAX(L3:N3)</f>
        <v>8.1069999999999993</v>
      </c>
      <c r="E3" s="5">
        <v>55.009</v>
      </c>
      <c r="F3" s="36">
        <f>ROUND($F$12*(D3+E3)*G12,0)</f>
        <v>126</v>
      </c>
      <c r="G3" s="1">
        <v>2</v>
      </c>
      <c r="H3" s="2">
        <f>60/(F3)</f>
        <v>0.47619047619047616</v>
      </c>
      <c r="I3" s="4">
        <v>60</v>
      </c>
      <c r="J3" s="49">
        <f>ROUND(G3*H3*I3,0)</f>
        <v>57</v>
      </c>
      <c r="K3" s="26">
        <f>G3/$G$9</f>
        <v>0.2</v>
      </c>
      <c r="L3" s="50">
        <v>5.6020000000000003</v>
      </c>
      <c r="M3" s="50">
        <v>6.0730000000000004</v>
      </c>
      <c r="N3" s="50">
        <v>8.1069999999999993</v>
      </c>
    </row>
    <row r="4" spans="1:22" ht="24" customHeight="1" x14ac:dyDescent="0.25">
      <c r="A4" s="9">
        <v>2</v>
      </c>
      <c r="B4" s="6" t="s">
        <v>37</v>
      </c>
      <c r="C4" s="10" t="s">
        <v>42</v>
      </c>
      <c r="D4" s="2">
        <v>8</v>
      </c>
      <c r="E4" s="5">
        <v>100.01600000000001</v>
      </c>
      <c r="F4" s="36">
        <f>ROUND($F$12*(D4+E4)*G13,0)</f>
        <v>61</v>
      </c>
      <c r="G4" s="1">
        <v>3</v>
      </c>
      <c r="H4" s="2">
        <f t="shared" ref="H4:H7" si="0">60/(F4)</f>
        <v>0.98360655737704916</v>
      </c>
      <c r="I4" s="4">
        <v>60</v>
      </c>
      <c r="J4" s="49">
        <f t="shared" ref="J4:J7" si="1">ROUND(G4*H4*I4,0)</f>
        <v>177</v>
      </c>
      <c r="K4" s="26">
        <f>G4/$G$9</f>
        <v>0.3</v>
      </c>
      <c r="L4" s="50">
        <v>2.6549999999999998</v>
      </c>
      <c r="M4" s="50">
        <v>3.1379999999999999</v>
      </c>
      <c r="N4" s="50">
        <v>3.7749999999999999</v>
      </c>
    </row>
    <row r="5" spans="1:22" ht="24" customHeight="1" x14ac:dyDescent="0.25">
      <c r="A5" s="9">
        <v>3</v>
      </c>
      <c r="B5" s="6" t="s">
        <v>38</v>
      </c>
      <c r="C5" s="10" t="s">
        <v>43</v>
      </c>
      <c r="D5" s="2">
        <f t="shared" ref="D4:D7" si="2">MAX(L5:N5)</f>
        <v>5.423</v>
      </c>
      <c r="E5" s="5">
        <v>65.034999999999997</v>
      </c>
      <c r="F5" s="36">
        <f>ROUND($F$12*(D5+E5)*G14,0)</f>
        <v>93</v>
      </c>
      <c r="G5" s="1">
        <v>2</v>
      </c>
      <c r="H5" s="2">
        <f t="shared" si="0"/>
        <v>0.64516129032258063</v>
      </c>
      <c r="I5" s="4">
        <v>60</v>
      </c>
      <c r="J5" s="49">
        <f t="shared" si="1"/>
        <v>77</v>
      </c>
      <c r="K5" s="26">
        <f>G5/$G$9</f>
        <v>0.2</v>
      </c>
      <c r="L5" s="50">
        <v>3.3889999999999998</v>
      </c>
      <c r="M5" s="50">
        <v>4.5350000000000001</v>
      </c>
      <c r="N5" s="50">
        <v>5.423</v>
      </c>
    </row>
    <row r="6" spans="1:22" ht="24" customHeight="1" x14ac:dyDescent="0.25">
      <c r="A6" s="9">
        <v>4</v>
      </c>
      <c r="B6" s="6" t="s">
        <v>39</v>
      </c>
      <c r="C6" s="10" t="s">
        <v>44</v>
      </c>
      <c r="D6" s="2">
        <f t="shared" si="2"/>
        <v>9.343</v>
      </c>
      <c r="E6" s="5">
        <v>20</v>
      </c>
      <c r="F6" s="36">
        <f>ROUND($F$12*(D6+E6)*G15,0)</f>
        <v>112</v>
      </c>
      <c r="G6" s="1">
        <v>1</v>
      </c>
      <c r="H6" s="2">
        <f t="shared" si="0"/>
        <v>0.5357142857142857</v>
      </c>
      <c r="I6" s="4">
        <v>60</v>
      </c>
      <c r="J6" s="49">
        <f t="shared" si="1"/>
        <v>32</v>
      </c>
      <c r="K6" s="26">
        <f>G6/$G$9</f>
        <v>0.1</v>
      </c>
      <c r="L6" s="50">
        <v>8.1709999999999994</v>
      </c>
      <c r="M6" s="50">
        <v>7.306</v>
      </c>
      <c r="N6" s="50">
        <v>9.343</v>
      </c>
    </row>
    <row r="7" spans="1:22" ht="24" customHeight="1" x14ac:dyDescent="0.25">
      <c r="A7" s="9">
        <v>5</v>
      </c>
      <c r="B7" s="6" t="s">
        <v>40</v>
      </c>
      <c r="C7" s="10" t="s">
        <v>45</v>
      </c>
      <c r="D7" s="2">
        <v>4</v>
      </c>
      <c r="E7" s="5">
        <v>45.000999999999998</v>
      </c>
      <c r="F7" s="36">
        <f>ROUND($F$12*(D7+E7)*G16,0)</f>
        <v>108</v>
      </c>
      <c r="G7" s="1">
        <v>2</v>
      </c>
      <c r="H7" s="2">
        <f t="shared" si="0"/>
        <v>0.55555555555555558</v>
      </c>
      <c r="I7" s="4">
        <v>60</v>
      </c>
      <c r="J7" s="49">
        <f t="shared" si="1"/>
        <v>67</v>
      </c>
      <c r="K7" s="26">
        <f>G7/$G$9</f>
        <v>0.2</v>
      </c>
      <c r="L7" s="50">
        <v>8.6980000000000004</v>
      </c>
      <c r="M7" s="50">
        <v>9.6080000000000005</v>
      </c>
      <c r="N7" s="50">
        <v>9.9209999999999994</v>
      </c>
    </row>
    <row r="8" spans="1:22" ht="13.5" hidden="1" x14ac:dyDescent="0.2">
      <c r="A8" s="9"/>
      <c r="B8" s="6"/>
      <c r="C8" s="11"/>
      <c r="D8" s="2"/>
      <c r="E8" s="5"/>
      <c r="F8" s="36"/>
      <c r="G8" s="1"/>
      <c r="H8" s="2"/>
      <c r="I8" s="4"/>
      <c r="J8" s="49"/>
      <c r="K8" s="26"/>
      <c r="L8" s="50"/>
      <c r="M8" s="50"/>
      <c r="N8" s="50"/>
    </row>
    <row r="9" spans="1:22" x14ac:dyDescent="0.25">
      <c r="A9" s="12"/>
      <c r="B9" s="28"/>
      <c r="C9" s="28"/>
      <c r="D9" s="3"/>
      <c r="E9" s="3"/>
      <c r="F9" s="3"/>
      <c r="G9" s="29">
        <f>SUM(G3:G8)</f>
        <v>10</v>
      </c>
      <c r="H9" s="3"/>
      <c r="I9" s="3"/>
      <c r="J9" s="29">
        <f>SUM(J3:J7)</f>
        <v>410</v>
      </c>
      <c r="K9" s="30">
        <f>SUM(K3:K7)</f>
        <v>1</v>
      </c>
      <c r="L9" s="31">
        <f>SUM(L3:L7)</f>
        <v>28.515000000000001</v>
      </c>
      <c r="M9" s="31">
        <f t="shared" ref="M9:N9" si="3">SUM(M3:M7)</f>
        <v>30.66</v>
      </c>
      <c r="N9" s="31">
        <f t="shared" si="3"/>
        <v>36.569000000000003</v>
      </c>
    </row>
    <row r="11" spans="1:22" s="7" customFormat="1" ht="29.25" customHeight="1" x14ac:dyDescent="0.25">
      <c r="A11" s="8" t="s">
        <v>1</v>
      </c>
      <c r="B11" s="8" t="s">
        <v>5</v>
      </c>
      <c r="C11" s="8" t="s">
        <v>6</v>
      </c>
      <c r="D11" s="8" t="s">
        <v>7</v>
      </c>
      <c r="F11" s="84" t="s">
        <v>61</v>
      </c>
      <c r="G11" s="73" t="s">
        <v>64</v>
      </c>
      <c r="H11" s="27"/>
      <c r="J11" s="27"/>
      <c r="K11" s="27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ht="15" x14ac:dyDescent="0.25">
      <c r="A12" s="9">
        <v>1</v>
      </c>
      <c r="B12" s="32">
        <v>10</v>
      </c>
      <c r="C12" s="26">
        <f>B12/$G$9</f>
        <v>1</v>
      </c>
      <c r="D12" s="33">
        <f>$J$9</f>
        <v>410</v>
      </c>
      <c r="F12" s="85">
        <v>2</v>
      </c>
      <c r="G12" s="83">
        <v>1</v>
      </c>
      <c r="I12" s="64"/>
      <c r="J12" s="63"/>
      <c r="M12" s="61"/>
      <c r="N12" s="40"/>
      <c r="O12" s="61"/>
      <c r="P12" s="40"/>
      <c r="Q12" s="61"/>
      <c r="R12" s="61"/>
      <c r="S12" s="61"/>
      <c r="T12" s="61"/>
      <c r="U12" s="61"/>
      <c r="V12" s="61"/>
    </row>
    <row r="13" spans="1:22" ht="15" x14ac:dyDescent="0.25">
      <c r="A13" s="9">
        <v>2</v>
      </c>
      <c r="B13" s="32">
        <v>20</v>
      </c>
      <c r="C13" s="26">
        <f>B13/$G$9</f>
        <v>2</v>
      </c>
      <c r="D13" s="33">
        <f>$J$9*C13</f>
        <v>820</v>
      </c>
      <c r="F13" s="14"/>
      <c r="G13" s="83">
        <v>0.28100000000000003</v>
      </c>
      <c r="I13" s="64"/>
      <c r="J13" s="63"/>
      <c r="M13" s="61"/>
      <c r="N13" s="40"/>
      <c r="O13" s="61"/>
      <c r="P13" s="61"/>
      <c r="Q13" s="61"/>
      <c r="R13" s="61"/>
      <c r="S13" s="40"/>
      <c r="T13" s="61"/>
      <c r="U13" s="61"/>
      <c r="V13" s="61"/>
    </row>
    <row r="14" spans="1:22" ht="15" x14ac:dyDescent="0.25">
      <c r="A14" s="9">
        <v>3</v>
      </c>
      <c r="B14" s="32">
        <v>30</v>
      </c>
      <c r="C14" s="26">
        <f>B14/$G$9</f>
        <v>3</v>
      </c>
      <c r="D14" s="33">
        <f t="shared" ref="D14:D16" si="4">$J$9*C14</f>
        <v>1230</v>
      </c>
      <c r="G14" s="83">
        <v>0.66</v>
      </c>
      <c r="I14" s="64"/>
      <c r="J14" s="63"/>
      <c r="M14" s="40"/>
      <c r="N14" s="61"/>
      <c r="O14" s="40"/>
      <c r="P14" s="40"/>
      <c r="Q14" s="61"/>
      <c r="R14" s="61"/>
      <c r="S14" s="61"/>
      <c r="T14" s="61"/>
      <c r="U14" s="61"/>
      <c r="V14" s="40"/>
    </row>
    <row r="15" spans="1:22" ht="15" x14ac:dyDescent="0.25">
      <c r="A15" s="9">
        <v>4</v>
      </c>
      <c r="B15" s="32">
        <v>40</v>
      </c>
      <c r="C15" s="26">
        <f>B15/$G$9</f>
        <v>4</v>
      </c>
      <c r="D15" s="33">
        <f t="shared" si="4"/>
        <v>1640</v>
      </c>
      <c r="G15" s="83">
        <v>1.9</v>
      </c>
      <c r="I15" s="64"/>
      <c r="J15" s="63"/>
      <c r="M15" s="40"/>
      <c r="N15" s="40"/>
      <c r="O15" s="40"/>
      <c r="P15" s="40"/>
      <c r="Q15" s="40"/>
      <c r="R15" s="40"/>
      <c r="S15" s="61"/>
      <c r="T15" s="61"/>
      <c r="U15" s="61"/>
      <c r="V15" s="61"/>
    </row>
    <row r="16" spans="1:22" ht="15" x14ac:dyDescent="0.25">
      <c r="A16" s="9">
        <v>5</v>
      </c>
      <c r="B16" s="32">
        <v>50</v>
      </c>
      <c r="C16" s="26">
        <f>B16/$G$9</f>
        <v>5</v>
      </c>
      <c r="D16" s="33">
        <f t="shared" si="4"/>
        <v>2050</v>
      </c>
      <c r="G16" s="83">
        <v>1.1000000000000001</v>
      </c>
      <c r="I16" s="64"/>
      <c r="J16" s="63"/>
      <c r="M16" s="40"/>
      <c r="N16" s="40"/>
      <c r="O16" s="61"/>
      <c r="P16" s="40"/>
      <c r="Q16" s="61"/>
      <c r="R16" s="40"/>
      <c r="S16" s="40"/>
      <c r="T16" s="61"/>
      <c r="U16" s="61"/>
      <c r="V16" s="61"/>
    </row>
    <row r="17" spans="1:22" x14ac:dyDescent="0.25">
      <c r="A17" s="12"/>
      <c r="B17" s="13"/>
      <c r="C17" s="12"/>
      <c r="D17" s="48">
        <f>SUM(D12:D16)</f>
        <v>6150</v>
      </c>
      <c r="H17" s="66"/>
      <c r="I17" s="67"/>
      <c r="M17" s="65"/>
      <c r="N17" s="65"/>
      <c r="O17" s="65"/>
      <c r="P17" s="65"/>
      <c r="Q17" s="65"/>
      <c r="R17" s="65"/>
      <c r="S17" s="65"/>
      <c r="T17" s="65"/>
      <c r="U17" s="65"/>
      <c r="V17" s="65"/>
    </row>
    <row r="19" spans="1:22" s="16" customFormat="1" ht="21" customHeight="1" x14ac:dyDescent="0.25">
      <c r="A19" s="89" t="s">
        <v>1</v>
      </c>
      <c r="B19" s="89" t="s">
        <v>18</v>
      </c>
      <c r="C19" s="89" t="s">
        <v>58</v>
      </c>
      <c r="D19" s="91" t="s">
        <v>32</v>
      </c>
      <c r="E19" s="92"/>
      <c r="F19" s="94" t="s">
        <v>31</v>
      </c>
      <c r="G19" s="94"/>
      <c r="H19" s="94"/>
    </row>
    <row r="20" spans="1:22" ht="37.5" customHeight="1" x14ac:dyDescent="0.25">
      <c r="A20" s="90"/>
      <c r="B20" s="90"/>
      <c r="C20" s="93"/>
      <c r="D20" s="8" t="s">
        <v>19</v>
      </c>
      <c r="E20" s="8" t="s">
        <v>34</v>
      </c>
      <c r="F20" s="8" t="s">
        <v>19</v>
      </c>
      <c r="G20" s="8" t="s">
        <v>33</v>
      </c>
      <c r="H20" s="80" t="s">
        <v>34</v>
      </c>
      <c r="I20" s="88" t="s">
        <v>65</v>
      </c>
      <c r="J20"/>
      <c r="K20"/>
      <c r="L20"/>
      <c r="M20"/>
      <c r="N20"/>
      <c r="O20"/>
    </row>
    <row r="21" spans="1:22" ht="15" hidden="1" customHeight="1" x14ac:dyDescent="0.25">
      <c r="A21" s="9"/>
      <c r="B21" s="41"/>
      <c r="C21" s="90"/>
      <c r="D21" s="47"/>
      <c r="E21" s="43"/>
      <c r="F21" s="9"/>
      <c r="G21" s="44"/>
      <c r="H21" s="44"/>
      <c r="I21" s="38"/>
      <c r="J21" s="39"/>
      <c r="K21"/>
      <c r="L21"/>
      <c r="M21"/>
      <c r="N21"/>
      <c r="O21"/>
    </row>
    <row r="22" spans="1:22" ht="15" x14ac:dyDescent="0.25">
      <c r="A22" s="9">
        <v>1</v>
      </c>
      <c r="B22" s="41" t="s">
        <v>20</v>
      </c>
      <c r="C22" s="10" t="s">
        <v>51</v>
      </c>
      <c r="D22" s="42">
        <v>422</v>
      </c>
      <c r="E22" s="43">
        <v>0.25</v>
      </c>
      <c r="F22" s="86">
        <f ca="1">SUMIF('Транзакции в профилях'!$B$2:$H$34,C22,'Транзакции в профилях'!$H$2:$H$34)</f>
        <v>410</v>
      </c>
      <c r="G22" s="87">
        <f ca="1">1-D22/F22</f>
        <v>-2.9268292682926855E-2</v>
      </c>
      <c r="H22" s="87">
        <f ca="1">F22/$F$31</f>
        <v>0.2414605418138987</v>
      </c>
      <c r="I22" s="38"/>
      <c r="J22" s="63"/>
      <c r="K22"/>
      <c r="L22"/>
      <c r="M22"/>
      <c r="N22"/>
      <c r="O22"/>
    </row>
    <row r="23" spans="1:22" ht="15" hidden="1" x14ac:dyDescent="0.25">
      <c r="A23" s="9"/>
      <c r="B23" s="41"/>
      <c r="C23" s="10" t="s">
        <v>50</v>
      </c>
      <c r="D23" s="47"/>
      <c r="E23" s="43"/>
      <c r="F23" s="86"/>
      <c r="G23" s="87"/>
      <c r="H23" s="87">
        <f t="shared" ref="H23:H30" ca="1" si="5">F23/$F$31</f>
        <v>0</v>
      </c>
      <c r="I23" s="38"/>
      <c r="J23" s="63"/>
      <c r="K23"/>
      <c r="L23"/>
      <c r="M23"/>
      <c r="N23"/>
      <c r="O23"/>
    </row>
    <row r="24" spans="1:22" ht="15" x14ac:dyDescent="0.25">
      <c r="A24" s="9">
        <v>2</v>
      </c>
      <c r="B24" s="41" t="s">
        <v>21</v>
      </c>
      <c r="C24" s="10" t="s">
        <v>49</v>
      </c>
      <c r="D24" s="42">
        <v>282</v>
      </c>
      <c r="E24" s="43">
        <v>0.17</v>
      </c>
      <c r="F24" s="86">
        <f ca="1">SUMIF('Транзакции в профилях'!$B$2:$H$34,C24,'Транзакции в профилях'!$H$2:$H$34)</f>
        <v>301</v>
      </c>
      <c r="G24" s="87">
        <f ca="1">1-D24/F24</f>
        <v>6.3122923588039836E-2</v>
      </c>
      <c r="H24" s="87">
        <f t="shared" ca="1" si="5"/>
        <v>0.1772673733804476</v>
      </c>
      <c r="I24" s="38"/>
      <c r="J24" s="39"/>
      <c r="K24"/>
      <c r="L24"/>
      <c r="M24"/>
      <c r="N24"/>
      <c r="O24"/>
    </row>
    <row r="25" spans="1:22" ht="15" x14ac:dyDescent="0.25">
      <c r="A25" s="9">
        <v>3</v>
      </c>
      <c r="B25" s="41" t="s">
        <v>22</v>
      </c>
      <c r="C25" s="10" t="s">
        <v>55</v>
      </c>
      <c r="D25" s="42">
        <v>251</v>
      </c>
      <c r="E25" s="43">
        <v>0.15</v>
      </c>
      <c r="F25" s="86">
        <f ca="1">SUMIF('Транзакции в профилях'!$B$2:$H$34,C25,'Транзакции в профилях'!$H$2:$H$34)</f>
        <v>234</v>
      </c>
      <c r="G25" s="87">
        <f ca="1">1-D25/F25</f>
        <v>-7.2649572649572614E-2</v>
      </c>
      <c r="H25" s="87">
        <f t="shared" ca="1" si="5"/>
        <v>0.13780918727915195</v>
      </c>
      <c r="I25" s="38"/>
      <c r="J25" s="39"/>
      <c r="K25"/>
      <c r="L25"/>
      <c r="M25"/>
      <c r="N25"/>
      <c r="O25"/>
    </row>
    <row r="26" spans="1:22" ht="15" x14ac:dyDescent="0.25">
      <c r="A26" s="9">
        <v>4</v>
      </c>
      <c r="B26" s="41" t="s">
        <v>23</v>
      </c>
      <c r="C26" s="10" t="s">
        <v>57</v>
      </c>
      <c r="D26" s="42">
        <v>175</v>
      </c>
      <c r="E26" s="43">
        <v>0.1</v>
      </c>
      <c r="F26" s="86">
        <f ca="1">SUMIF('Транзакции в профилях'!$B$2:$H$34,C26,'Транзакции в профилях'!$H$2:$H$34)</f>
        <v>177</v>
      </c>
      <c r="G26" s="87">
        <f ca="1">1-D26/F26</f>
        <v>1.1299435028248594E-2</v>
      </c>
      <c r="H26" s="87">
        <f t="shared" ca="1" si="5"/>
        <v>0.10424028268551237</v>
      </c>
      <c r="I26" s="38"/>
      <c r="J26" s="39"/>
      <c r="K26"/>
      <c r="L26"/>
      <c r="M26"/>
      <c r="N26"/>
      <c r="O26"/>
    </row>
    <row r="27" spans="1:22" ht="15" x14ac:dyDescent="0.25">
      <c r="A27" s="9">
        <v>5</v>
      </c>
      <c r="B27" s="41" t="s">
        <v>24</v>
      </c>
      <c r="C27" s="10" t="s">
        <v>48</v>
      </c>
      <c r="D27" s="42">
        <v>159</v>
      </c>
      <c r="E27" s="43">
        <v>0.09</v>
      </c>
      <c r="F27" s="86">
        <f ca="1">SUMIF('Транзакции в профилях'!$B$2:$H$34,C27,'Транзакции в профилях'!$H$2:$H$34)</f>
        <v>166</v>
      </c>
      <c r="G27" s="87">
        <f ca="1">1-D27/F27</f>
        <v>4.216867469879515E-2</v>
      </c>
      <c r="H27" s="87">
        <f t="shared" ca="1" si="5"/>
        <v>9.7762073027090696E-2</v>
      </c>
      <c r="I27" s="38"/>
      <c r="J27" s="39"/>
      <c r="K27"/>
      <c r="L27"/>
      <c r="M27"/>
      <c r="N27"/>
      <c r="O27"/>
    </row>
    <row r="28" spans="1:22" ht="15" x14ac:dyDescent="0.25">
      <c r="A28" s="9">
        <v>6</v>
      </c>
      <c r="B28" s="41" t="s">
        <v>25</v>
      </c>
      <c r="C28" s="10" t="s">
        <v>56</v>
      </c>
      <c r="D28" s="42">
        <v>73</v>
      </c>
      <c r="E28" s="43">
        <v>0.04</v>
      </c>
      <c r="F28" s="86">
        <f ca="1">SUMIF('Транзакции в профилях'!$B$2:$H$34,C28,'Транзакции в профилях'!$H$2:$H$34)</f>
        <v>77</v>
      </c>
      <c r="G28" s="87">
        <f ca="1">1-D28/F28</f>
        <v>5.1948051948051965E-2</v>
      </c>
      <c r="H28" s="87">
        <f t="shared" ca="1" si="5"/>
        <v>4.5347467608951711E-2</v>
      </c>
      <c r="I28" s="38"/>
      <c r="J28" s="39"/>
      <c r="K28"/>
      <c r="L28"/>
      <c r="M28"/>
      <c r="N28"/>
      <c r="O28"/>
    </row>
    <row r="29" spans="1:22" ht="15" hidden="1" x14ac:dyDescent="0.25">
      <c r="A29" s="9"/>
      <c r="B29" s="41"/>
      <c r="C29" s="10" t="s">
        <v>47</v>
      </c>
      <c r="D29" s="47"/>
      <c r="E29" s="43"/>
      <c r="F29" s="86"/>
      <c r="G29" s="87"/>
      <c r="H29" s="87">
        <f t="shared" ca="1" si="5"/>
        <v>0</v>
      </c>
      <c r="I29" s="38"/>
      <c r="J29" s="39"/>
      <c r="K29"/>
      <c r="L29"/>
      <c r="M29"/>
      <c r="N29"/>
      <c r="O29"/>
    </row>
    <row r="30" spans="1:22" ht="15" x14ac:dyDescent="0.25">
      <c r="A30" s="9">
        <v>7</v>
      </c>
      <c r="B30" s="41" t="s">
        <v>26</v>
      </c>
      <c r="C30" s="10" t="s">
        <v>46</v>
      </c>
      <c r="D30" s="42">
        <v>326</v>
      </c>
      <c r="E30" s="43">
        <v>0.2</v>
      </c>
      <c r="F30" s="86">
        <f ca="1">SUMIF('Транзакции в профилях'!$B$2:$H$34,C30,'Транзакции в профилях'!$H$2:$H$34)</f>
        <v>333</v>
      </c>
      <c r="G30" s="87">
        <f ca="1">1-D30/F30</f>
        <v>2.1021021021020991E-2</v>
      </c>
      <c r="H30" s="87">
        <f t="shared" ca="1" si="5"/>
        <v>0.196113074204947</v>
      </c>
      <c r="I30" s="38"/>
      <c r="J30" s="39"/>
      <c r="K30"/>
      <c r="L30"/>
      <c r="M30"/>
      <c r="N30"/>
      <c r="O30"/>
    </row>
    <row r="31" spans="1:22" ht="15" x14ac:dyDescent="0.25">
      <c r="A31" s="12"/>
      <c r="B31" s="45" t="s">
        <v>27</v>
      </c>
      <c r="C31" s="45"/>
      <c r="D31" s="12">
        <f>SUM(D21:D30)</f>
        <v>1688</v>
      </c>
      <c r="E31" s="46">
        <v>1</v>
      </c>
      <c r="F31" s="29">
        <f ca="1">SUM(F21:F30)</f>
        <v>1698</v>
      </c>
      <c r="G31" s="46">
        <f ca="1">AVERAGE(G21:G30)</f>
        <v>1.2520320135951011E-2</v>
      </c>
      <c r="H31" s="46">
        <f ca="1">SUM(H22:H30)</f>
        <v>1</v>
      </c>
      <c r="I31" s="38"/>
      <c r="J31" s="39"/>
      <c r="K31"/>
      <c r="L31"/>
      <c r="M31"/>
      <c r="N31"/>
      <c r="O31"/>
    </row>
    <row r="32" spans="1:22" ht="15" x14ac:dyDescent="0.25">
      <c r="I32"/>
      <c r="J32"/>
      <c r="K32"/>
      <c r="L32"/>
      <c r="M32"/>
      <c r="N32"/>
      <c r="O32"/>
    </row>
    <row r="33" spans="9:11" ht="15" x14ac:dyDescent="0.25">
      <c r="I33"/>
      <c r="J33"/>
      <c r="K33"/>
    </row>
    <row r="34" spans="9:11" ht="15" x14ac:dyDescent="0.25">
      <c r="I34"/>
      <c r="J34"/>
      <c r="K34"/>
    </row>
    <row r="35" spans="9:11" ht="15" x14ac:dyDescent="0.25">
      <c r="I35"/>
      <c r="J35"/>
      <c r="K35"/>
    </row>
    <row r="36" spans="9:11" ht="15" x14ac:dyDescent="0.25">
      <c r="I36"/>
      <c r="J36"/>
      <c r="K36"/>
    </row>
    <row r="37" spans="9:11" ht="15" x14ac:dyDescent="0.25">
      <c r="I37"/>
      <c r="J37"/>
      <c r="K37"/>
    </row>
  </sheetData>
  <mergeCells count="17">
    <mergeCell ref="L1:N1"/>
    <mergeCell ref="A1:A2"/>
    <mergeCell ref="B1:B2"/>
    <mergeCell ref="D1:D2"/>
    <mergeCell ref="E1:E2"/>
    <mergeCell ref="F1:F2"/>
    <mergeCell ref="G1:G2"/>
    <mergeCell ref="H1:H2"/>
    <mergeCell ref="I1:I2"/>
    <mergeCell ref="J1:J2"/>
    <mergeCell ref="C1:C2"/>
    <mergeCell ref="B19:B20"/>
    <mergeCell ref="A19:A20"/>
    <mergeCell ref="D19:E19"/>
    <mergeCell ref="K1:K2"/>
    <mergeCell ref="C19:C21"/>
    <mergeCell ref="F19:H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B17" sqref="B17"/>
    </sheetView>
  </sheetViews>
  <sheetFormatPr defaultRowHeight="12.75" x14ac:dyDescent="0.2"/>
  <cols>
    <col min="1" max="1" width="22.85546875" style="11" bestFit="1" customWidth="1"/>
    <col min="2" max="2" width="21.140625" style="11" customWidth="1"/>
    <col min="3" max="3" width="9.42578125" style="14" customWidth="1"/>
    <col min="4" max="4" width="8" style="14" bestFit="1" customWidth="1"/>
    <col min="5" max="5" width="11" style="14" customWidth="1"/>
    <col min="6" max="6" width="19.28515625" style="14" bestFit="1" customWidth="1"/>
    <col min="7" max="7" width="17.140625" style="14" bestFit="1" customWidth="1"/>
    <col min="8" max="8" width="10.28515625" style="14" bestFit="1" customWidth="1"/>
    <col min="9" max="9" width="9.140625" style="11"/>
    <col min="10" max="10" width="17.28515625" style="11" customWidth="1"/>
    <col min="11" max="11" width="33.28515625" style="25" customWidth="1"/>
    <col min="12" max="16384" width="9.140625" style="11"/>
  </cols>
  <sheetData>
    <row r="1" spans="1:12" s="7" customFormat="1" ht="38.25" x14ac:dyDescent="0.2">
      <c r="A1" s="17" t="s">
        <v>28</v>
      </c>
      <c r="B1" s="17" t="s">
        <v>58</v>
      </c>
      <c r="C1" s="17" t="s">
        <v>59</v>
      </c>
      <c r="D1" s="17" t="s">
        <v>29</v>
      </c>
      <c r="E1" s="17" t="s">
        <v>60</v>
      </c>
      <c r="F1" s="17" t="s">
        <v>35</v>
      </c>
      <c r="G1" s="17" t="s">
        <v>30</v>
      </c>
      <c r="H1" s="17" t="s">
        <v>27</v>
      </c>
      <c r="L1" s="11"/>
    </row>
    <row r="2" spans="1:12" ht="15" x14ac:dyDescent="0.25">
      <c r="A2" s="18" t="s">
        <v>41</v>
      </c>
      <c r="B2" s="18" t="s">
        <v>52</v>
      </c>
      <c r="C2" s="19">
        <v>1</v>
      </c>
      <c r="D2" s="19">
        <f>VLOOKUP(A2,'Расчетная таблица'!$C$3:$G$7,5,0)</f>
        <v>2</v>
      </c>
      <c r="E2" s="19">
        <f>VLOOKUP(A2,'Расчетная таблица'!$C$3:$K$7,4,0)</f>
        <v>126</v>
      </c>
      <c r="F2" s="20">
        <f>VLOOKUP(A2,'Расчетная таблица'!$C$3:$K$7,6,0)</f>
        <v>0.47619047619047616</v>
      </c>
      <c r="G2" s="19">
        <f>VLOOKUP(A2,'Расчетная таблица'!$C$3:$K$7,7,0)</f>
        <v>60</v>
      </c>
      <c r="H2" s="21">
        <f>VLOOKUP(A2,'Расчетная таблица'!$C$3:$K$7,8,0)</f>
        <v>57</v>
      </c>
      <c r="L2"/>
    </row>
    <row r="3" spans="1:12" ht="15" x14ac:dyDescent="0.25">
      <c r="A3" s="18" t="s">
        <v>41</v>
      </c>
      <c r="B3" s="18" t="s">
        <v>51</v>
      </c>
      <c r="C3" s="19">
        <v>1</v>
      </c>
      <c r="D3" s="19">
        <f>VLOOKUP(A3,'Расчетная таблица'!$C$3:$G$7,5,0)</f>
        <v>2</v>
      </c>
      <c r="E3" s="19">
        <f>VLOOKUP(A3,'Расчетная таблица'!$C$3:$K$7,4,0)</f>
        <v>126</v>
      </c>
      <c r="F3" s="20">
        <f>VLOOKUP(A3,'Расчетная таблица'!$C$3:$K$7,6,0)</f>
        <v>0.47619047619047616</v>
      </c>
      <c r="G3" s="19">
        <f>VLOOKUP(A3,'Расчетная таблица'!$C$3:$K$7,7,0)</f>
        <v>60</v>
      </c>
      <c r="H3" s="21">
        <f>VLOOKUP(A3,'Расчетная таблица'!$C$3:$K$7,8,0)</f>
        <v>57</v>
      </c>
      <c r="L3"/>
    </row>
    <row r="4" spans="1:12" ht="15" x14ac:dyDescent="0.25">
      <c r="A4" s="18" t="s">
        <v>41</v>
      </c>
      <c r="B4" s="18" t="s">
        <v>50</v>
      </c>
      <c r="C4" s="19">
        <v>1</v>
      </c>
      <c r="D4" s="19">
        <f>VLOOKUP(A4,'Расчетная таблица'!$C$3:$G$7,5,0)</f>
        <v>2</v>
      </c>
      <c r="E4" s="19">
        <f>VLOOKUP(A4,'Расчетная таблица'!$C$3:$K$7,4,0)</f>
        <v>126</v>
      </c>
      <c r="F4" s="20">
        <f>VLOOKUP(A4,'Расчетная таблица'!$C$3:$K$7,6,0)</f>
        <v>0.47619047619047616</v>
      </c>
      <c r="G4" s="19">
        <f>VLOOKUP(A4,'Расчетная таблица'!$C$3:$K$7,7,0)</f>
        <v>60</v>
      </c>
      <c r="H4" s="21">
        <f>VLOOKUP(A4,'Расчетная таблица'!$C$3:$K$7,8,0)</f>
        <v>57</v>
      </c>
      <c r="L4"/>
    </row>
    <row r="5" spans="1:12" ht="15" x14ac:dyDescent="0.25">
      <c r="A5" s="18" t="s">
        <v>41</v>
      </c>
      <c r="B5" s="18" t="s">
        <v>49</v>
      </c>
      <c r="C5" s="19">
        <v>1</v>
      </c>
      <c r="D5" s="19">
        <f>VLOOKUP(A5,'Расчетная таблица'!$C$3:$G$7,5,0)</f>
        <v>2</v>
      </c>
      <c r="E5" s="19">
        <f>VLOOKUP(A5,'Расчетная таблица'!$C$3:$K$7,4,0)</f>
        <v>126</v>
      </c>
      <c r="F5" s="20">
        <f>VLOOKUP(A5,'Расчетная таблица'!$C$3:$K$7,6,0)</f>
        <v>0.47619047619047616</v>
      </c>
      <c r="G5" s="19">
        <f>VLOOKUP(A5,'Расчетная таблица'!$C$3:$K$7,7,0)</f>
        <v>60</v>
      </c>
      <c r="H5" s="21">
        <f>VLOOKUP(A5,'Расчетная таблица'!$C$3:$K$7,8,0)</f>
        <v>57</v>
      </c>
      <c r="L5"/>
    </row>
    <row r="6" spans="1:12" ht="15" x14ac:dyDescent="0.25">
      <c r="A6" s="18" t="s">
        <v>41</v>
      </c>
      <c r="B6" s="62" t="s">
        <v>55</v>
      </c>
      <c r="C6" s="19">
        <v>1</v>
      </c>
      <c r="D6" s="19">
        <f>VLOOKUP(A6,'Расчетная таблица'!$C$3:$G$7,5,0)</f>
        <v>2</v>
      </c>
      <c r="E6" s="19">
        <f>VLOOKUP(A6,'Расчетная таблица'!$C$3:$K$7,4,0)</f>
        <v>126</v>
      </c>
      <c r="F6" s="20">
        <f>VLOOKUP(A6,'Расчетная таблица'!$C$3:$K$7,6,0)</f>
        <v>0.47619047619047616</v>
      </c>
      <c r="G6" s="19">
        <f>VLOOKUP(A6,'Расчетная таблица'!$C$3:$K$7,7,0)</f>
        <v>60</v>
      </c>
      <c r="H6" s="21">
        <f>VLOOKUP(A6,'Расчетная таблица'!$C$3:$K$7,8,0)</f>
        <v>57</v>
      </c>
      <c r="L6"/>
    </row>
    <row r="7" spans="1:12" ht="15" x14ac:dyDescent="0.25">
      <c r="A7" s="18" t="s">
        <v>41</v>
      </c>
      <c r="B7" s="18" t="s">
        <v>48</v>
      </c>
      <c r="C7" s="19">
        <v>1</v>
      </c>
      <c r="D7" s="19">
        <f>VLOOKUP(A7,'Расчетная таблица'!$C$3:$G$7,5,0)</f>
        <v>2</v>
      </c>
      <c r="E7" s="19">
        <f>VLOOKUP(A7,'Расчетная таблица'!$C$3:$K$7,4,0)</f>
        <v>126</v>
      </c>
      <c r="F7" s="20">
        <f>VLOOKUP(A7,'Расчетная таблица'!$C$3:$K$7,6,0)</f>
        <v>0.47619047619047616</v>
      </c>
      <c r="G7" s="19">
        <f>VLOOKUP(A7,'Расчетная таблица'!$C$3:$K$7,7,0)</f>
        <v>60</v>
      </c>
      <c r="H7" s="21">
        <f>VLOOKUP(A7,'Расчетная таблица'!$C$3:$K$7,8,0)</f>
        <v>57</v>
      </c>
      <c r="L7"/>
    </row>
    <row r="8" spans="1:12" ht="15" x14ac:dyDescent="0.25">
      <c r="A8" s="18" t="s">
        <v>41</v>
      </c>
      <c r="B8" s="18" t="s">
        <v>47</v>
      </c>
      <c r="C8" s="19">
        <v>1</v>
      </c>
      <c r="D8" s="19">
        <f>VLOOKUP(A8,'Расчетная таблица'!$C$3:$G$7,5,0)</f>
        <v>2</v>
      </c>
      <c r="E8" s="19">
        <f>VLOOKUP(A8,'Расчетная таблица'!$C$3:$K$7,4,0)</f>
        <v>126</v>
      </c>
      <c r="F8" s="20">
        <f>VLOOKUP(A8,'Расчетная таблица'!$C$3:$K$7,6,0)</f>
        <v>0.47619047619047616</v>
      </c>
      <c r="G8" s="19">
        <f>VLOOKUP(A8,'Расчетная таблица'!$C$3:$K$7,7,0)</f>
        <v>60</v>
      </c>
      <c r="H8" s="21">
        <f>VLOOKUP(A8,'Расчетная таблица'!$C$3:$K$7,8,0)</f>
        <v>57</v>
      </c>
      <c r="L8"/>
    </row>
    <row r="9" spans="1:12" ht="15" x14ac:dyDescent="0.25">
      <c r="A9" s="18" t="s">
        <v>41</v>
      </c>
      <c r="B9" s="18" t="s">
        <v>46</v>
      </c>
      <c r="C9" s="19">
        <v>1</v>
      </c>
      <c r="D9" s="19">
        <f>VLOOKUP(A9,'Расчетная таблица'!$C$3:$G$7,5,0)</f>
        <v>2</v>
      </c>
      <c r="E9" s="19">
        <f>VLOOKUP(A9,'Расчетная таблица'!$C$3:$K$7,4,0)</f>
        <v>126</v>
      </c>
      <c r="F9" s="20">
        <f>VLOOKUP(A9,'Расчетная таблица'!$C$3:$K$7,6,0)</f>
        <v>0.47619047619047616</v>
      </c>
      <c r="G9" s="19">
        <f>VLOOKUP(A9,'Расчетная таблица'!$C$3:$K$7,7,0)</f>
        <v>60</v>
      </c>
      <c r="H9" s="21">
        <f>VLOOKUP(A9,'Расчетная таблица'!$C$3:$K$7,8,0)</f>
        <v>57</v>
      </c>
      <c r="L9"/>
    </row>
    <row r="10" spans="1:12" ht="15" x14ac:dyDescent="0.25">
      <c r="A10" s="18" t="s">
        <v>42</v>
      </c>
      <c r="B10" s="18" t="s">
        <v>52</v>
      </c>
      <c r="C10" s="19">
        <v>1</v>
      </c>
      <c r="D10" s="19">
        <f>VLOOKUP(A10,'Расчетная таблица'!$C$3:$G$7,5,0)</f>
        <v>3</v>
      </c>
      <c r="E10" s="19">
        <f>VLOOKUP(A10,'Расчетная таблица'!$C$3:$K$7,4,0)</f>
        <v>61</v>
      </c>
      <c r="F10" s="20">
        <f>VLOOKUP(A10,'Расчетная таблица'!$C$3:$K$7,6,0)</f>
        <v>0.98360655737704916</v>
      </c>
      <c r="G10" s="19">
        <f>VLOOKUP(A10,'Расчетная таблица'!$C$3:$K$7,7,0)</f>
        <v>60</v>
      </c>
      <c r="H10" s="21">
        <f>VLOOKUP(A10,'Расчетная таблица'!$C$3:$K$7,8,0)</f>
        <v>177</v>
      </c>
      <c r="L10"/>
    </row>
    <row r="11" spans="1:12" ht="15" x14ac:dyDescent="0.25">
      <c r="A11" s="18" t="s">
        <v>42</v>
      </c>
      <c r="B11" s="18" t="s">
        <v>51</v>
      </c>
      <c r="C11" s="19">
        <v>1</v>
      </c>
      <c r="D11" s="19">
        <f>VLOOKUP(A11,'Расчетная таблица'!$C$3:$G$7,5,0)</f>
        <v>3</v>
      </c>
      <c r="E11" s="19">
        <f>VLOOKUP(A11,'Расчетная таблица'!$C$3:$K$7,4,0)</f>
        <v>61</v>
      </c>
      <c r="F11" s="20">
        <f>VLOOKUP(A11,'Расчетная таблица'!$C$3:$K$7,6,0)</f>
        <v>0.98360655737704916</v>
      </c>
      <c r="G11" s="19">
        <f>VLOOKUP(A11,'Расчетная таблица'!$C$3:$K$7,7,0)</f>
        <v>60</v>
      </c>
      <c r="H11" s="21">
        <f>VLOOKUP(A11,'Расчетная таблица'!$C$3:$K$7,8,0)</f>
        <v>177</v>
      </c>
      <c r="L11"/>
    </row>
    <row r="12" spans="1:12" ht="15" x14ac:dyDescent="0.25">
      <c r="A12" s="18" t="s">
        <v>42</v>
      </c>
      <c r="B12" s="18" t="s">
        <v>50</v>
      </c>
      <c r="C12" s="19">
        <v>1</v>
      </c>
      <c r="D12" s="19">
        <f>VLOOKUP(A12,'Расчетная таблица'!$C$3:$G$7,5,0)</f>
        <v>3</v>
      </c>
      <c r="E12" s="19">
        <f>VLOOKUP(A12,'Расчетная таблица'!$C$3:$K$7,4,0)</f>
        <v>61</v>
      </c>
      <c r="F12" s="20">
        <f>VLOOKUP(A12,'Расчетная таблица'!$C$3:$K$7,6,0)</f>
        <v>0.98360655737704916</v>
      </c>
      <c r="G12" s="19">
        <f>VLOOKUP(A12,'Расчетная таблица'!$C$3:$K$7,7,0)</f>
        <v>60</v>
      </c>
      <c r="H12" s="21">
        <f>VLOOKUP(A12,'Расчетная таблица'!$C$3:$K$7,8,0)</f>
        <v>177</v>
      </c>
      <c r="L12"/>
    </row>
    <row r="13" spans="1:12" ht="15" x14ac:dyDescent="0.25">
      <c r="A13" s="18" t="s">
        <v>42</v>
      </c>
      <c r="B13" s="18" t="s">
        <v>49</v>
      </c>
      <c r="C13" s="19">
        <v>1</v>
      </c>
      <c r="D13" s="19">
        <f>VLOOKUP(A13,'Расчетная таблица'!$C$3:$G$7,5,0)</f>
        <v>3</v>
      </c>
      <c r="E13" s="19">
        <f>VLOOKUP(A13,'Расчетная таблица'!$C$3:$K$7,4,0)</f>
        <v>61</v>
      </c>
      <c r="F13" s="20">
        <f>VLOOKUP(A13,'Расчетная таблица'!$C$3:$K$7,6,0)</f>
        <v>0.98360655737704916</v>
      </c>
      <c r="G13" s="19">
        <f>VLOOKUP(A13,'Расчетная таблица'!$C$3:$K$7,7,0)</f>
        <v>60</v>
      </c>
      <c r="H13" s="21">
        <f>VLOOKUP(A13,'Расчетная таблица'!$C$3:$K$7,8,0)</f>
        <v>177</v>
      </c>
      <c r="L13"/>
    </row>
    <row r="14" spans="1:12" ht="15" x14ac:dyDescent="0.25">
      <c r="A14" s="18" t="s">
        <v>42</v>
      </c>
      <c r="B14" s="18" t="s">
        <v>55</v>
      </c>
      <c r="C14" s="19">
        <v>1</v>
      </c>
      <c r="D14" s="19">
        <f>VLOOKUP(A14,'Расчетная таблица'!$C$3:$G$7,5,0)</f>
        <v>3</v>
      </c>
      <c r="E14" s="19">
        <f>VLOOKUP(A14,'Расчетная таблица'!$C$3:$K$7,4,0)</f>
        <v>61</v>
      </c>
      <c r="F14" s="20">
        <f>VLOOKUP(A14,'Расчетная таблица'!$C$3:$K$7,6,0)</f>
        <v>0.98360655737704916</v>
      </c>
      <c r="G14" s="19">
        <f>VLOOKUP(A14,'Расчетная таблица'!$C$3:$K$7,7,0)</f>
        <v>60</v>
      </c>
      <c r="H14" s="21">
        <f>VLOOKUP(A14,'Расчетная таблица'!$C$3:$K$7,8,0)</f>
        <v>177</v>
      </c>
      <c r="L14"/>
    </row>
    <row r="15" spans="1:12" ht="15" x14ac:dyDescent="0.25">
      <c r="A15" s="18" t="s">
        <v>42</v>
      </c>
      <c r="B15" s="18" t="s">
        <v>57</v>
      </c>
      <c r="C15" s="19">
        <v>1</v>
      </c>
      <c r="D15" s="19">
        <f>VLOOKUP(A15,'Расчетная таблица'!$C$3:$G$7,5,0)</f>
        <v>3</v>
      </c>
      <c r="E15" s="19">
        <f>VLOOKUP(A15,'Расчетная таблица'!$C$3:$K$7,4,0)</f>
        <v>61</v>
      </c>
      <c r="F15" s="20">
        <f>VLOOKUP(A15,'Расчетная таблица'!$C$3:$K$7,6,0)</f>
        <v>0.98360655737704916</v>
      </c>
      <c r="G15" s="19">
        <f>VLOOKUP(A15,'Расчетная таблица'!$C$3:$K$7,7,0)</f>
        <v>60</v>
      </c>
      <c r="H15" s="21">
        <f>VLOOKUP(A15,'Расчетная таблица'!$C$3:$K$7,8,0)</f>
        <v>177</v>
      </c>
      <c r="J15"/>
      <c r="K15"/>
      <c r="L15"/>
    </row>
    <row r="16" spans="1:12" ht="15" x14ac:dyDescent="0.25">
      <c r="A16" s="18" t="s">
        <v>42</v>
      </c>
      <c r="B16" s="18" t="s">
        <v>47</v>
      </c>
      <c r="C16" s="19">
        <v>1</v>
      </c>
      <c r="D16" s="19">
        <f>VLOOKUP(A16,'Расчетная таблица'!$C$3:$G$7,5,0)</f>
        <v>3</v>
      </c>
      <c r="E16" s="19">
        <f>VLOOKUP(A16,'Расчетная таблица'!$C$3:$K$7,4,0)</f>
        <v>61</v>
      </c>
      <c r="F16" s="20">
        <f>VLOOKUP(A16,'Расчетная таблица'!$C$3:$K$7,6,0)</f>
        <v>0.98360655737704916</v>
      </c>
      <c r="G16" s="19">
        <f>VLOOKUP(A16,'Расчетная таблица'!$C$3:$K$7,7,0)</f>
        <v>60</v>
      </c>
      <c r="H16" s="21">
        <f>VLOOKUP(A16,'Расчетная таблица'!$C$3:$K$7,8,0)</f>
        <v>177</v>
      </c>
      <c r="J16"/>
      <c r="K16"/>
      <c r="L16"/>
    </row>
    <row r="17" spans="1:12" ht="15" x14ac:dyDescent="0.25">
      <c r="A17" s="18" t="s">
        <v>42</v>
      </c>
      <c r="B17" s="18" t="s">
        <v>46</v>
      </c>
      <c r="C17" s="19">
        <v>1</v>
      </c>
      <c r="D17" s="19">
        <f>VLOOKUP(A17,'Расчетная таблица'!$C$3:$G$7,5,0)</f>
        <v>3</v>
      </c>
      <c r="E17" s="19">
        <f>VLOOKUP(A17,'Расчетная таблица'!$C$3:$K$7,4,0)</f>
        <v>61</v>
      </c>
      <c r="F17" s="20">
        <f>VLOOKUP(A17,'Расчетная таблица'!$C$3:$K$7,6,0)</f>
        <v>0.98360655737704916</v>
      </c>
      <c r="G17" s="19">
        <f>VLOOKUP(A17,'Расчетная таблица'!$C$3:$K$7,7,0)</f>
        <v>60</v>
      </c>
      <c r="H17" s="21">
        <f>VLOOKUP(A17,'Расчетная таблица'!$C$3:$K$7,8,0)</f>
        <v>177</v>
      </c>
      <c r="J17"/>
      <c r="K17"/>
      <c r="L17"/>
    </row>
    <row r="18" spans="1:12" ht="15" x14ac:dyDescent="0.25">
      <c r="A18" s="18" t="s">
        <v>43</v>
      </c>
      <c r="B18" s="18" t="s">
        <v>52</v>
      </c>
      <c r="C18" s="19">
        <v>1</v>
      </c>
      <c r="D18" s="19">
        <f>VLOOKUP(A18,'Расчетная таблица'!$C$3:$G$7,5,0)</f>
        <v>2</v>
      </c>
      <c r="E18" s="19">
        <f>VLOOKUP(A18,'Расчетная таблица'!$C$3:$K$7,4,0)</f>
        <v>93</v>
      </c>
      <c r="F18" s="20">
        <f>VLOOKUP(A18,'Расчетная таблица'!$C$3:$K$7,6,0)</f>
        <v>0.64516129032258063</v>
      </c>
      <c r="G18" s="19">
        <f>VLOOKUP(A18,'Расчетная таблица'!$C$3:$K$7,7,0)</f>
        <v>60</v>
      </c>
      <c r="H18" s="21">
        <f>VLOOKUP(A18,'Расчетная таблица'!$C$3:$K$7,8,0)</f>
        <v>77</v>
      </c>
      <c r="J18"/>
      <c r="K18"/>
      <c r="L18"/>
    </row>
    <row r="19" spans="1:12" ht="15" x14ac:dyDescent="0.25">
      <c r="A19" s="18" t="s">
        <v>43</v>
      </c>
      <c r="B19" s="18" t="s">
        <v>51</v>
      </c>
      <c r="C19" s="19">
        <v>1</v>
      </c>
      <c r="D19" s="19">
        <f>VLOOKUP(A19,'Расчетная таблица'!$C$3:$G$7,5,0)</f>
        <v>2</v>
      </c>
      <c r="E19" s="19">
        <f>VLOOKUP(A19,'Расчетная таблица'!$C$3:$K$7,4,0)</f>
        <v>93</v>
      </c>
      <c r="F19" s="20">
        <f>VLOOKUP(A19,'Расчетная таблица'!$C$3:$K$7,6,0)</f>
        <v>0.64516129032258063</v>
      </c>
      <c r="G19" s="19">
        <f>VLOOKUP(A19,'Расчетная таблица'!$C$3:$K$7,7,0)</f>
        <v>60</v>
      </c>
      <c r="H19" s="21">
        <f>VLOOKUP(A19,'Расчетная таблица'!$C$3:$K$7,8,0)</f>
        <v>77</v>
      </c>
      <c r="J19"/>
      <c r="K19"/>
      <c r="L19"/>
    </row>
    <row r="20" spans="1:12" x14ac:dyDescent="0.2">
      <c r="A20" s="18" t="s">
        <v>43</v>
      </c>
      <c r="B20" s="18" t="s">
        <v>50</v>
      </c>
      <c r="C20" s="19">
        <v>1</v>
      </c>
      <c r="D20" s="19">
        <f>VLOOKUP(A20,'Расчетная таблица'!$C$3:$G$7,5,0)</f>
        <v>2</v>
      </c>
      <c r="E20" s="19">
        <f>VLOOKUP(A20,'Расчетная таблица'!$C$3:$K$7,4,0)</f>
        <v>93</v>
      </c>
      <c r="F20" s="20">
        <f>VLOOKUP(A20,'Расчетная таблица'!$C$3:$K$7,6,0)</f>
        <v>0.64516129032258063</v>
      </c>
      <c r="G20" s="19">
        <f>VLOOKUP(A20,'Расчетная таблица'!$C$3:$K$7,7,0)</f>
        <v>60</v>
      </c>
      <c r="H20" s="21">
        <f>VLOOKUP(A20,'Расчетная таблица'!$C$3:$K$7,8,0)</f>
        <v>77</v>
      </c>
    </row>
    <row r="21" spans="1:12" hidden="1" x14ac:dyDescent="0.2">
      <c r="A21" s="18" t="s">
        <v>43</v>
      </c>
      <c r="B21" s="62"/>
      <c r="C21" s="19">
        <v>1</v>
      </c>
      <c r="D21" s="19">
        <f>VLOOKUP(A21,'Расчетная таблица'!$C$3:$G$7,5,0)</f>
        <v>2</v>
      </c>
      <c r="E21" s="19">
        <f>VLOOKUP(A21,'Расчетная таблица'!$C$3:$K$7,4,0)</f>
        <v>93</v>
      </c>
      <c r="F21" s="20">
        <f>VLOOKUP(A21,'Расчетная таблица'!$C$3:$K$7,6,0)</f>
        <v>0.64516129032258063</v>
      </c>
      <c r="G21" s="19">
        <f>VLOOKUP(A21,'Расчетная таблица'!$C$3:$K$7,7,0)</f>
        <v>60</v>
      </c>
      <c r="H21" s="21">
        <f>VLOOKUP(A21,'Расчетная таблица'!$C$3:$K$7,8,0)</f>
        <v>77</v>
      </c>
    </row>
    <row r="22" spans="1:12" x14ac:dyDescent="0.2">
      <c r="A22" s="18" t="s">
        <v>43</v>
      </c>
      <c r="B22" s="18" t="s">
        <v>48</v>
      </c>
      <c r="C22" s="19">
        <v>1</v>
      </c>
      <c r="D22" s="19">
        <f>VLOOKUP(A22,'Расчетная таблица'!$C$3:$G$7,5,0)</f>
        <v>2</v>
      </c>
      <c r="E22" s="19">
        <f>VLOOKUP(A22,'Расчетная таблица'!$C$3:$K$7,4,0)</f>
        <v>93</v>
      </c>
      <c r="F22" s="20">
        <f>VLOOKUP(A22,'Расчетная таблица'!$C$3:$K$7,6,0)</f>
        <v>0.64516129032258063</v>
      </c>
      <c r="G22" s="19">
        <f>VLOOKUP(A22,'Расчетная таблица'!$C$3:$K$7,7,0)</f>
        <v>60</v>
      </c>
      <c r="H22" s="21">
        <f>VLOOKUP(A22,'Расчетная таблица'!$C$3:$K$7,8,0)</f>
        <v>77</v>
      </c>
    </row>
    <row r="23" spans="1:12" x14ac:dyDescent="0.2">
      <c r="A23" s="18" t="s">
        <v>43</v>
      </c>
      <c r="B23" s="18" t="s">
        <v>56</v>
      </c>
      <c r="C23" s="19">
        <v>1</v>
      </c>
      <c r="D23" s="19">
        <f>VLOOKUP(A23,'Расчетная таблица'!$C$3:$G$7,5,0)</f>
        <v>2</v>
      </c>
      <c r="E23" s="19">
        <f>VLOOKUP(A23,'Расчетная таблица'!$C$3:$K$7,4,0)</f>
        <v>93</v>
      </c>
      <c r="F23" s="20">
        <f>VLOOKUP(A23,'Расчетная таблица'!$C$3:$K$7,6,0)</f>
        <v>0.64516129032258063</v>
      </c>
      <c r="G23" s="19">
        <f>VLOOKUP(A23,'Расчетная таблица'!$C$3:$K$7,7,0)</f>
        <v>60</v>
      </c>
      <c r="H23" s="21">
        <f>VLOOKUP(A23,'Расчетная таблица'!$C$3:$K$7,8,0)</f>
        <v>77</v>
      </c>
    </row>
    <row r="24" spans="1:12" x14ac:dyDescent="0.2">
      <c r="A24" s="18" t="s">
        <v>43</v>
      </c>
      <c r="B24" s="18" t="s">
        <v>47</v>
      </c>
      <c r="C24" s="19">
        <v>1</v>
      </c>
      <c r="D24" s="19">
        <f>VLOOKUP(A24,'Расчетная таблица'!$C$3:$G$7,5,0)</f>
        <v>2</v>
      </c>
      <c r="E24" s="19">
        <f>VLOOKUP(A24,'Расчетная таблица'!$C$3:$K$7,4,0)</f>
        <v>93</v>
      </c>
      <c r="F24" s="20">
        <f>VLOOKUP(A24,'Расчетная таблица'!$C$3:$K$7,6,0)</f>
        <v>0.64516129032258063</v>
      </c>
      <c r="G24" s="19">
        <f>VLOOKUP(A24,'Расчетная таблица'!$C$3:$K$7,7,0)</f>
        <v>60</v>
      </c>
      <c r="H24" s="21">
        <f>VLOOKUP(A24,'Расчетная таблица'!$C$3:$K$7,8,0)</f>
        <v>77</v>
      </c>
    </row>
    <row r="25" spans="1:12" hidden="1" x14ac:dyDescent="0.2">
      <c r="A25" s="18" t="s">
        <v>43</v>
      </c>
      <c r="B25" s="62"/>
      <c r="C25" s="19">
        <v>1</v>
      </c>
      <c r="D25" s="19">
        <f>VLOOKUP(A25,'Расчетная таблица'!$C$3:$G$7,5,0)</f>
        <v>2</v>
      </c>
      <c r="E25" s="19">
        <f>VLOOKUP(A25,'Расчетная таблица'!$C$3:$K$7,4,0)</f>
        <v>93</v>
      </c>
      <c r="F25" s="20">
        <f>VLOOKUP(A25,'Расчетная таблица'!$C$3:$K$7,6,0)</f>
        <v>0.64516129032258063</v>
      </c>
      <c r="G25" s="19">
        <f>VLOOKUP(A25,'Расчетная таблица'!$C$3:$K$7,7,0)</f>
        <v>60</v>
      </c>
      <c r="H25" s="21">
        <f>VLOOKUP(A25,'Расчетная таблица'!$C$3:$K$7,8,0)</f>
        <v>77</v>
      </c>
    </row>
    <row r="26" spans="1:12" x14ac:dyDescent="0.2">
      <c r="A26" s="18" t="s">
        <v>44</v>
      </c>
      <c r="B26" s="18" t="s">
        <v>52</v>
      </c>
      <c r="C26" s="19">
        <v>1</v>
      </c>
      <c r="D26" s="19">
        <f>VLOOKUP(A26,'Расчетная таблица'!$C$3:$G$7,5,0)</f>
        <v>1</v>
      </c>
      <c r="E26" s="19">
        <f>VLOOKUP(A26,'Расчетная таблица'!$C$3:$K$7,4,0)</f>
        <v>112</v>
      </c>
      <c r="F26" s="20">
        <f>VLOOKUP(A26,'Расчетная таблица'!$C$3:$K$7,6,0)</f>
        <v>0.5357142857142857</v>
      </c>
      <c r="G26" s="19">
        <f>VLOOKUP(A26,'Расчетная таблица'!$C$3:$K$7,7,0)</f>
        <v>60</v>
      </c>
      <c r="H26" s="21">
        <f>VLOOKUP(A26,'Расчетная таблица'!$C$3:$K$7,8,0)</f>
        <v>32</v>
      </c>
    </row>
    <row r="27" spans="1:12" x14ac:dyDescent="0.2">
      <c r="A27" s="18" t="s">
        <v>44</v>
      </c>
      <c r="B27" s="18" t="s">
        <v>51</v>
      </c>
      <c r="C27" s="19">
        <v>1</v>
      </c>
      <c r="D27" s="19">
        <f>VLOOKUP(A27,'Расчетная таблица'!$C$3:$G$7,5,0)</f>
        <v>1</v>
      </c>
      <c r="E27" s="19">
        <f>VLOOKUP(A27,'Расчетная таблица'!$C$3:$K$7,4,0)</f>
        <v>112</v>
      </c>
      <c r="F27" s="20">
        <f>VLOOKUP(A27,'Расчетная таблица'!$C$3:$K$7,6,0)</f>
        <v>0.5357142857142857</v>
      </c>
      <c r="G27" s="19">
        <f>VLOOKUP(A27,'Расчетная таблица'!$C$3:$K$7,7,0)</f>
        <v>60</v>
      </c>
      <c r="H27" s="21">
        <f>VLOOKUP(A27,'Расчетная таблица'!$C$3:$K$7,8,0)</f>
        <v>32</v>
      </c>
    </row>
    <row r="28" spans="1:12" x14ac:dyDescent="0.2">
      <c r="A28" s="18" t="s">
        <v>44</v>
      </c>
      <c r="B28" s="18" t="s">
        <v>48</v>
      </c>
      <c r="C28" s="19">
        <v>1</v>
      </c>
      <c r="D28" s="19">
        <f>VLOOKUP(A28,'Расчетная таблица'!$C$3:$G$7,5,0)</f>
        <v>1</v>
      </c>
      <c r="E28" s="19">
        <f>VLOOKUP(A28,'Расчетная таблица'!$C$3:$K$7,4,0)</f>
        <v>112</v>
      </c>
      <c r="F28" s="20">
        <f>VLOOKUP(A28,'Расчетная таблица'!$C$3:$K$7,6,0)</f>
        <v>0.5357142857142857</v>
      </c>
      <c r="G28" s="19">
        <f>VLOOKUP(A28,'Расчетная таблица'!$C$3:$K$7,7,0)</f>
        <v>60</v>
      </c>
      <c r="H28" s="21">
        <f>VLOOKUP(A28,'Расчетная таблица'!$C$3:$K$7,8,0)</f>
        <v>32</v>
      </c>
    </row>
    <row r="29" spans="1:12" x14ac:dyDescent="0.2">
      <c r="A29" s="18" t="s">
        <v>44</v>
      </c>
      <c r="B29" s="18" t="s">
        <v>46</v>
      </c>
      <c r="C29" s="19">
        <v>1</v>
      </c>
      <c r="D29" s="19">
        <f>VLOOKUP(A29,'Расчетная таблица'!$C$3:$G$7,5,0)</f>
        <v>1</v>
      </c>
      <c r="E29" s="19">
        <f>VLOOKUP(A29,'Расчетная таблица'!$C$3:$K$7,4,0)</f>
        <v>112</v>
      </c>
      <c r="F29" s="20">
        <f>VLOOKUP(A29,'Расчетная таблица'!$C$3:$K$7,6,0)</f>
        <v>0.5357142857142857</v>
      </c>
      <c r="G29" s="19">
        <f>VLOOKUP(A29,'Расчетная таблица'!$C$3:$K$7,7,0)</f>
        <v>60</v>
      </c>
      <c r="H29" s="21">
        <f>VLOOKUP(A29,'Расчетная таблица'!$C$3:$K$7,8,0)</f>
        <v>32</v>
      </c>
    </row>
    <row r="30" spans="1:12" x14ac:dyDescent="0.2">
      <c r="A30" s="18" t="s">
        <v>45</v>
      </c>
      <c r="B30" s="18" t="s">
        <v>52</v>
      </c>
      <c r="C30" s="19">
        <v>1</v>
      </c>
      <c r="D30" s="19">
        <f>VLOOKUP(A30,'Расчетная таблица'!$C$3:$G$7,5,0)</f>
        <v>2</v>
      </c>
      <c r="E30" s="19">
        <f>VLOOKUP(A30,'Расчетная таблица'!$C$3:$K$7,4,0)</f>
        <v>108</v>
      </c>
      <c r="F30" s="20">
        <f>VLOOKUP(A30,'Расчетная таблица'!$C$3:$K$7,6,0)</f>
        <v>0.55555555555555558</v>
      </c>
      <c r="G30" s="19">
        <f>VLOOKUP(A30,'Расчетная таблица'!$C$3:$K$7,7,0)</f>
        <v>60</v>
      </c>
      <c r="H30" s="21">
        <f>VLOOKUP(A30,'Расчетная таблица'!$C$3:$K$7,8,0)</f>
        <v>67</v>
      </c>
    </row>
    <row r="31" spans="1:12" x14ac:dyDescent="0.2">
      <c r="A31" s="18" t="s">
        <v>45</v>
      </c>
      <c r="B31" s="18" t="s">
        <v>51</v>
      </c>
      <c r="C31" s="19">
        <v>1</v>
      </c>
      <c r="D31" s="19">
        <f>VLOOKUP(A31,'Расчетная таблица'!$C$3:$G$7,5,0)</f>
        <v>2</v>
      </c>
      <c r="E31" s="19">
        <f>VLOOKUP(A31,'Расчетная таблица'!$C$3:$K$7,4,0)</f>
        <v>108</v>
      </c>
      <c r="F31" s="20">
        <f>VLOOKUP(A31,'Расчетная таблица'!$C$3:$K$7,6,0)</f>
        <v>0.55555555555555558</v>
      </c>
      <c r="G31" s="19">
        <f>VLOOKUP(A31,'Расчетная таблица'!$C$3:$K$7,7,0)</f>
        <v>60</v>
      </c>
      <c r="H31" s="21">
        <f>VLOOKUP(A31,'Расчетная таблица'!$C$3:$K$7,8,0)</f>
        <v>67</v>
      </c>
    </row>
    <row r="32" spans="1:12" x14ac:dyDescent="0.2">
      <c r="A32" s="18" t="s">
        <v>45</v>
      </c>
      <c r="B32" s="18" t="s">
        <v>50</v>
      </c>
      <c r="C32" s="19">
        <v>1</v>
      </c>
      <c r="D32" s="19">
        <f>VLOOKUP(A32,'Расчетная таблица'!$C$3:$G$7,5,0)</f>
        <v>2</v>
      </c>
      <c r="E32" s="19">
        <f>VLOOKUP(A32,'Расчетная таблица'!$C$3:$K$7,4,0)</f>
        <v>108</v>
      </c>
      <c r="F32" s="20">
        <f>VLOOKUP(A32,'Расчетная таблица'!$C$3:$K$7,6,0)</f>
        <v>0.55555555555555558</v>
      </c>
      <c r="G32" s="19">
        <f>VLOOKUP(A32,'Расчетная таблица'!$C$3:$K$7,7,0)</f>
        <v>60</v>
      </c>
      <c r="H32" s="21">
        <f>VLOOKUP(A32,'Расчетная таблица'!$C$3:$K$7,8,0)</f>
        <v>67</v>
      </c>
    </row>
    <row r="33" spans="1:8" x14ac:dyDescent="0.2">
      <c r="A33" s="18" t="s">
        <v>45</v>
      </c>
      <c r="B33" s="18" t="s">
        <v>49</v>
      </c>
      <c r="C33" s="19">
        <v>1</v>
      </c>
      <c r="D33" s="19">
        <f>VLOOKUP(A33,'Расчетная таблица'!$C$3:$G$7,5,0)</f>
        <v>2</v>
      </c>
      <c r="E33" s="19">
        <f>VLOOKUP(A33,'Расчетная таблица'!$C$3:$K$7,4,0)</f>
        <v>108</v>
      </c>
      <c r="F33" s="20">
        <f>VLOOKUP(A33,'Расчетная таблица'!$C$3:$K$7,6,0)</f>
        <v>0.55555555555555558</v>
      </c>
      <c r="G33" s="19">
        <f>VLOOKUP(A33,'Расчетная таблица'!$C$3:$K$7,7,0)</f>
        <v>60</v>
      </c>
      <c r="H33" s="21">
        <f>VLOOKUP(A33,'Расчетная таблица'!$C$3:$K$7,8,0)</f>
        <v>67</v>
      </c>
    </row>
    <row r="34" spans="1:8" x14ac:dyDescent="0.2">
      <c r="A34" s="18" t="s">
        <v>45</v>
      </c>
      <c r="B34" s="18" t="s">
        <v>46</v>
      </c>
      <c r="C34" s="19">
        <v>1</v>
      </c>
      <c r="D34" s="19">
        <f>VLOOKUP(A34,'Расчетная таблица'!$C$3:$G$7,5,0)</f>
        <v>2</v>
      </c>
      <c r="E34" s="19">
        <f>VLOOKUP(A34,'Расчетная таблица'!$C$3:$K$7,4,0)</f>
        <v>108</v>
      </c>
      <c r="F34" s="20">
        <f>VLOOKUP(A34,'Расчетная таблица'!$C$3:$K$9,6,0)</f>
        <v>0.55555555555555558</v>
      </c>
      <c r="G34" s="19">
        <f>VLOOKUP(A34,'Расчетная таблица'!$C$3:$K$7,7,0)</f>
        <v>60</v>
      </c>
      <c r="H34" s="21">
        <f>VLOOKUP(A34,'Расчетная таблица'!$C$3:$K$7,8,0)</f>
        <v>67</v>
      </c>
    </row>
    <row r="35" spans="1:8" x14ac:dyDescent="0.2">
      <c r="B35" s="68"/>
      <c r="E35" s="69"/>
      <c r="F35" s="70"/>
      <c r="G35" s="69"/>
      <c r="H35" s="71"/>
    </row>
  </sheetData>
  <autoFilter ref="A1:H3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6" sqref="D6"/>
    </sheetView>
  </sheetViews>
  <sheetFormatPr defaultRowHeight="12.75" x14ac:dyDescent="0.2"/>
  <cols>
    <col min="1" max="1" width="7.140625" style="11" customWidth="1"/>
    <col min="2" max="2" width="31" style="11" bestFit="1" customWidth="1"/>
    <col min="3" max="3" width="22.85546875" style="11" bestFit="1" customWidth="1"/>
    <col min="4" max="4" width="16" style="11" customWidth="1"/>
    <col min="5" max="5" width="11.7109375" style="11" customWidth="1"/>
    <col min="6" max="6" width="16" style="11" customWidth="1"/>
    <col min="7" max="7" width="11.7109375" style="11" customWidth="1"/>
    <col min="8" max="8" width="16" style="11" customWidth="1"/>
    <col min="9" max="9" width="11.7109375" style="11" customWidth="1"/>
    <col min="10" max="16384" width="9.140625" style="11"/>
  </cols>
  <sheetData>
    <row r="1" spans="1:9" s="27" customFormat="1" ht="24.75" customHeight="1" x14ac:dyDescent="0.25">
      <c r="A1" s="99" t="s">
        <v>1</v>
      </c>
      <c r="B1" s="99" t="s">
        <v>18</v>
      </c>
      <c r="C1" s="99" t="s">
        <v>58</v>
      </c>
      <c r="D1" s="97" t="s">
        <v>32</v>
      </c>
      <c r="E1" s="97"/>
      <c r="F1" s="98" t="s">
        <v>31</v>
      </c>
      <c r="G1" s="98"/>
      <c r="H1" s="96" t="s">
        <v>62</v>
      </c>
      <c r="I1" s="96"/>
    </row>
    <row r="2" spans="1:9" s="82" customFormat="1" ht="36" customHeight="1" x14ac:dyDescent="0.2">
      <c r="A2" s="99"/>
      <c r="B2" s="99"/>
      <c r="C2" s="99"/>
      <c r="D2" s="52" t="s">
        <v>19</v>
      </c>
      <c r="E2" s="52" t="s">
        <v>34</v>
      </c>
      <c r="F2" s="51" t="s">
        <v>19</v>
      </c>
      <c r="G2" s="51" t="s">
        <v>33</v>
      </c>
      <c r="H2" s="53" t="s">
        <v>19</v>
      </c>
      <c r="I2" s="53" t="s">
        <v>33</v>
      </c>
    </row>
    <row r="3" spans="1:9" x14ac:dyDescent="0.2">
      <c r="A3" s="22">
        <v>1</v>
      </c>
      <c r="B3" s="23" t="s">
        <v>20</v>
      </c>
      <c r="C3" s="18" t="s">
        <v>51</v>
      </c>
      <c r="D3" s="24">
        <f>'Расчетная таблица'!D22</f>
        <v>422</v>
      </c>
      <c r="E3" s="58">
        <f>'Расчетная таблица'!E22</f>
        <v>0.25</v>
      </c>
      <c r="F3" s="60">
        <f ca="1">'Расчетная таблица'!F22</f>
        <v>410</v>
      </c>
      <c r="G3" s="59">
        <f ca="1">'Расчетная таблица'!G22</f>
        <v>-2.9268292682926855E-2</v>
      </c>
      <c r="H3" s="54"/>
      <c r="I3" s="55" t="e">
        <f t="shared" ref="I3:I9" si="0">1-D3/H3</f>
        <v>#DIV/0!</v>
      </c>
    </row>
    <row r="4" spans="1:9" x14ac:dyDescent="0.2">
      <c r="A4" s="22">
        <v>2</v>
      </c>
      <c r="B4" s="23" t="s">
        <v>21</v>
      </c>
      <c r="C4" s="18" t="s">
        <v>49</v>
      </c>
      <c r="D4" s="24">
        <f>'Расчетная таблица'!D24</f>
        <v>282</v>
      </c>
      <c r="E4" s="58">
        <f>'Расчетная таблица'!E24</f>
        <v>0.17</v>
      </c>
      <c r="F4" s="60">
        <f ca="1">'Расчетная таблица'!F24</f>
        <v>301</v>
      </c>
      <c r="G4" s="59">
        <f ca="1">'Расчетная таблица'!G24</f>
        <v>6.3122923588039836E-2</v>
      </c>
      <c r="H4" s="54"/>
      <c r="I4" s="55" t="e">
        <f t="shared" si="0"/>
        <v>#DIV/0!</v>
      </c>
    </row>
    <row r="5" spans="1:9" x14ac:dyDescent="0.2">
      <c r="A5" s="22">
        <v>3</v>
      </c>
      <c r="B5" s="23" t="s">
        <v>22</v>
      </c>
      <c r="C5" s="18" t="s">
        <v>55</v>
      </c>
      <c r="D5" s="24">
        <f>'Расчетная таблица'!D25</f>
        <v>251</v>
      </c>
      <c r="E5" s="58">
        <f>'Расчетная таблица'!E25</f>
        <v>0.15</v>
      </c>
      <c r="F5" s="60">
        <f ca="1">'Расчетная таблица'!F25</f>
        <v>234</v>
      </c>
      <c r="G5" s="59">
        <f ca="1">'Расчетная таблица'!G25</f>
        <v>-7.2649572649572614E-2</v>
      </c>
      <c r="H5" s="54"/>
      <c r="I5" s="55" t="e">
        <f t="shared" si="0"/>
        <v>#DIV/0!</v>
      </c>
    </row>
    <row r="6" spans="1:9" x14ac:dyDescent="0.2">
      <c r="A6" s="22">
        <v>4</v>
      </c>
      <c r="B6" s="23" t="s">
        <v>23</v>
      </c>
      <c r="C6" s="18" t="s">
        <v>57</v>
      </c>
      <c r="D6" s="24">
        <f>'Расчетная таблица'!D26</f>
        <v>175</v>
      </c>
      <c r="E6" s="58">
        <f>'Расчетная таблица'!E26</f>
        <v>0.1</v>
      </c>
      <c r="F6" s="60">
        <f ca="1">'Расчетная таблица'!F26</f>
        <v>177</v>
      </c>
      <c r="G6" s="59">
        <f ca="1">'Расчетная таблица'!G26</f>
        <v>1.1299435028248594E-2</v>
      </c>
      <c r="H6" s="54"/>
      <c r="I6" s="55" t="e">
        <f t="shared" si="0"/>
        <v>#DIV/0!</v>
      </c>
    </row>
    <row r="7" spans="1:9" x14ac:dyDescent="0.2">
      <c r="A7" s="22">
        <v>5</v>
      </c>
      <c r="B7" s="23" t="s">
        <v>24</v>
      </c>
      <c r="C7" s="18" t="s">
        <v>48</v>
      </c>
      <c r="D7" s="24">
        <f>'Расчетная таблица'!D27</f>
        <v>159</v>
      </c>
      <c r="E7" s="58">
        <f>'Расчетная таблица'!E27</f>
        <v>0.09</v>
      </c>
      <c r="F7" s="60">
        <f ca="1">'Расчетная таблица'!F27</f>
        <v>166</v>
      </c>
      <c r="G7" s="59">
        <f ca="1">'Расчетная таблица'!G27</f>
        <v>4.216867469879515E-2</v>
      </c>
      <c r="H7" s="54"/>
      <c r="I7" s="55" t="e">
        <f t="shared" si="0"/>
        <v>#DIV/0!</v>
      </c>
    </row>
    <row r="8" spans="1:9" x14ac:dyDescent="0.2">
      <c r="A8" s="22">
        <v>6</v>
      </c>
      <c r="B8" s="23" t="s">
        <v>25</v>
      </c>
      <c r="C8" s="18" t="s">
        <v>56</v>
      </c>
      <c r="D8" s="24">
        <f>'Расчетная таблица'!D28</f>
        <v>73</v>
      </c>
      <c r="E8" s="58">
        <f>'Расчетная таблица'!E28</f>
        <v>0.04</v>
      </c>
      <c r="F8" s="60">
        <f ca="1">'Расчетная таблица'!F28</f>
        <v>77</v>
      </c>
      <c r="G8" s="59">
        <f ca="1">'Расчетная таблица'!G28</f>
        <v>5.1948051948051965E-2</v>
      </c>
      <c r="H8" s="54"/>
      <c r="I8" s="55" t="e">
        <f t="shared" si="0"/>
        <v>#DIV/0!</v>
      </c>
    </row>
    <row r="9" spans="1:9" x14ac:dyDescent="0.2">
      <c r="A9" s="22">
        <v>7</v>
      </c>
      <c r="B9" s="23" t="s">
        <v>26</v>
      </c>
      <c r="C9" s="18" t="s">
        <v>46</v>
      </c>
      <c r="D9" s="24">
        <f>'Расчетная таблица'!D30</f>
        <v>326</v>
      </c>
      <c r="E9" s="58">
        <f>'Расчетная таблица'!E30</f>
        <v>0.2</v>
      </c>
      <c r="F9" s="60">
        <f ca="1">'Расчетная таблица'!F30</f>
        <v>333</v>
      </c>
      <c r="G9" s="59">
        <f ca="1">'Расчетная таблица'!G30</f>
        <v>2.1021021021020991E-2</v>
      </c>
      <c r="H9" s="54"/>
      <c r="I9" s="55" t="e">
        <f t="shared" si="0"/>
        <v>#DIV/0!</v>
      </c>
    </row>
    <row r="10" spans="1:9" x14ac:dyDescent="0.2">
      <c r="A10" s="15"/>
      <c r="B10" s="37" t="s">
        <v>27</v>
      </c>
      <c r="C10" s="37"/>
      <c r="D10" s="72">
        <f>'Расчетная таблица'!D31</f>
        <v>1688</v>
      </c>
      <c r="E10" s="76">
        <f>'Расчетная таблица'!E31</f>
        <v>1</v>
      </c>
      <c r="F10" s="77">
        <f ca="1">'Расчетная таблица'!F31</f>
        <v>1698</v>
      </c>
      <c r="G10" s="78">
        <f ca="1">'Расчетная таблица'!G31</f>
        <v>1.2520320135951011E-2</v>
      </c>
      <c r="H10" s="56">
        <f>SUM(H3:H9)</f>
        <v>0</v>
      </c>
      <c r="I10" s="57" t="e">
        <f>AVERAGE(I3:I9)</f>
        <v>#DIV/0!</v>
      </c>
    </row>
    <row r="12" spans="1:9" s="27" customFormat="1" ht="27.75" customHeight="1" x14ac:dyDescent="0.25">
      <c r="A12" s="99" t="s">
        <v>1</v>
      </c>
      <c r="B12" s="99" t="s">
        <v>53</v>
      </c>
      <c r="C12" s="99" t="s">
        <v>54</v>
      </c>
      <c r="D12" s="99" t="s">
        <v>19</v>
      </c>
      <c r="E12" s="99"/>
      <c r="F12" s="99" t="s">
        <v>17</v>
      </c>
    </row>
    <row r="13" spans="1:9" s="27" customFormat="1" ht="30" customHeight="1" x14ac:dyDescent="0.25">
      <c r="A13" s="99"/>
      <c r="B13" s="99"/>
      <c r="C13" s="99"/>
      <c r="D13" s="81" t="s">
        <v>16</v>
      </c>
      <c r="E13" s="81" t="s">
        <v>63</v>
      </c>
      <c r="F13" s="99"/>
    </row>
    <row r="14" spans="1:9" s="27" customFormat="1" ht="25.5" x14ac:dyDescent="0.25">
      <c r="A14" s="9">
        <v>1</v>
      </c>
      <c r="B14" s="34" t="str">
        <f>'Расчетная таблица'!B3</f>
        <v>Поиск авиабилета, просмотр истории продаж авиабилетов</v>
      </c>
      <c r="C14" s="34" t="str">
        <f>'Расчетная таблица'!C3</f>
        <v>01_Search_Itinerary</v>
      </c>
      <c r="D14" s="75">
        <f>'Расчетная таблица'!J3</f>
        <v>57</v>
      </c>
      <c r="E14" s="79"/>
      <c r="F14" s="74" t="e">
        <f>1-D14/E14</f>
        <v>#DIV/0!</v>
      </c>
    </row>
    <row r="15" spans="1:9" s="27" customFormat="1" x14ac:dyDescent="0.25">
      <c r="A15" s="9">
        <v>2</v>
      </c>
      <c r="B15" s="34" t="str">
        <f>'Расчетная таблица'!B4</f>
        <v xml:space="preserve">Поиск и покупка авиабилета </v>
      </c>
      <c r="C15" s="34" t="str">
        <f>'Расчетная таблица'!C4</f>
        <v>02_Search_BuyTicket</v>
      </c>
      <c r="D15" s="75">
        <f>'Расчетная таблица'!J4</f>
        <v>177</v>
      </c>
      <c r="E15" s="79"/>
      <c r="F15" s="74" t="e">
        <f>1-D15/E15</f>
        <v>#DIV/0!</v>
      </c>
    </row>
    <row r="16" spans="1:9" s="27" customFormat="1" ht="38.25" x14ac:dyDescent="0.25">
      <c r="A16" s="9">
        <v>3</v>
      </c>
      <c r="B16" s="34" t="str">
        <f>'Расчетная таблица'!B5</f>
        <v>Поиск авиабилета, просмотр истории продаж авиабилетов, удаление авиабилета</v>
      </c>
      <c r="C16" s="34" t="str">
        <f>'Расчетная таблица'!C5</f>
        <v>03_SearcH_Itinerary_Delete</v>
      </c>
      <c r="D16" s="75">
        <f>'Расчетная таблица'!J5</f>
        <v>77</v>
      </c>
      <c r="E16" s="79"/>
      <c r="F16" s="74" t="e">
        <f>1-D16/E16</f>
        <v>#DIV/0!</v>
      </c>
    </row>
    <row r="17" spans="1:6" s="27" customFormat="1" ht="25.5" x14ac:dyDescent="0.25">
      <c r="A17" s="9">
        <v>4</v>
      </c>
      <c r="B17" s="34" t="str">
        <f>'Расчетная таблица'!B6</f>
        <v>Просмотр истории продаж авиабилетов</v>
      </c>
      <c r="C17" s="34" t="str">
        <f>'Расчетная таблица'!C6</f>
        <v>04_Itinerary</v>
      </c>
      <c r="D17" s="75">
        <f>'Расчетная таблица'!J6</f>
        <v>32</v>
      </c>
      <c r="E17" s="79"/>
      <c r="F17" s="74" t="e">
        <f>1-D17/E17</f>
        <v>#DIV/0!</v>
      </c>
    </row>
    <row r="18" spans="1:6" s="27" customFormat="1" x14ac:dyDescent="0.25">
      <c r="A18" s="9">
        <v>5</v>
      </c>
      <c r="B18" s="34" t="str">
        <f>'Расчетная таблица'!B7</f>
        <v>Поиск авиабилета</v>
      </c>
      <c r="C18" s="34" t="str">
        <f>'Расчетная таблица'!C7</f>
        <v>05_Search</v>
      </c>
      <c r="D18" s="75">
        <f>'Расчетная таблица'!J7</f>
        <v>67</v>
      </c>
      <c r="E18" s="79"/>
      <c r="F18" s="74" t="e">
        <f>1-D18/E18</f>
        <v>#DIV/0!</v>
      </c>
    </row>
  </sheetData>
  <mergeCells count="11">
    <mergeCell ref="D12:E12"/>
    <mergeCell ref="A12:A13"/>
    <mergeCell ref="B12:B13"/>
    <mergeCell ref="C12:C13"/>
    <mergeCell ref="F12:F13"/>
    <mergeCell ref="H1:I1"/>
    <mergeCell ref="D1:E1"/>
    <mergeCell ref="F1:G1"/>
    <mergeCell ref="A1:A2"/>
    <mergeCell ref="B1:B2"/>
    <mergeCell ref="C1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Расчетная таблица</vt:lpstr>
      <vt:lpstr>Транзакции в профилях</vt:lpstr>
      <vt:lpstr>итоги расчета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SusPecT</dc:creator>
  <cp:lastModifiedBy>SusPecT</cp:lastModifiedBy>
  <dcterms:created xsi:type="dcterms:W3CDTF">2020-07-12T11:01:20Z</dcterms:created>
  <dcterms:modified xsi:type="dcterms:W3CDTF">2020-07-24T09:47:51Z</dcterms:modified>
</cp:coreProperties>
</file>