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hon/Documents/Temp/LR Homework/AppLineStady-master/Документация/"/>
    </mc:Choice>
  </mc:AlternateContent>
  <xr:revisionPtr revIDLastSave="0" documentId="13_ncr:1_{ED6FDCD1-F968-DF4E-9C2C-EBB7510C487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Ручной расчет" sheetId="1" r:id="rId1"/>
    <sheet name="Автоматизированный расчет" sheetId="3" r:id="rId2"/>
    <sheet name="Соответствие профилю" sheetId="2" r:id="rId3"/>
  </sheets>
  <calcPr calcId="191029"/>
  <pivotCaches>
    <pivotCache cacheId="12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U2" i="3"/>
  <c r="P2" i="3"/>
  <c r="P22" i="1"/>
  <c r="L10" i="1"/>
  <c r="L11" i="1"/>
  <c r="L12" i="1"/>
  <c r="L13" i="1"/>
  <c r="L14" i="1"/>
  <c r="L15" i="1"/>
  <c r="L9" i="1"/>
  <c r="K15" i="1"/>
  <c r="K14" i="1"/>
  <c r="K13" i="1"/>
  <c r="K12" i="1"/>
  <c r="K11" i="1"/>
  <c r="K10" i="1"/>
  <c r="K9" i="1"/>
  <c r="P3" i="3"/>
  <c r="P4" i="3"/>
  <c r="P5" i="3"/>
  <c r="P6" i="3"/>
  <c r="D15" i="3"/>
  <c r="D19" i="3"/>
  <c r="D2" i="3"/>
  <c r="W2" i="3"/>
  <c r="V2" i="3" s="1"/>
  <c r="S2" i="3"/>
  <c r="D4" i="3" s="1"/>
  <c r="S6" i="3"/>
  <c r="U6" i="3" s="1"/>
  <c r="D20" i="3" s="1"/>
  <c r="S5" i="3"/>
  <c r="U5" i="3" s="1"/>
  <c r="D16" i="3" s="1"/>
  <c r="S4" i="3"/>
  <c r="U4" i="3" s="1"/>
  <c r="D12" i="3" s="1"/>
  <c r="S3" i="3"/>
  <c r="U3" i="3" s="1"/>
  <c r="D8" i="3" s="1"/>
  <c r="C27" i="3"/>
  <c r="C31" i="3"/>
  <c r="C32" i="3"/>
  <c r="C29" i="3"/>
  <c r="C30" i="3"/>
  <c r="C28" i="3"/>
  <c r="C26" i="3"/>
  <c r="G26" i="3" l="1"/>
  <c r="I26" i="3" s="1"/>
  <c r="G28" i="3"/>
  <c r="I28" i="3" s="1"/>
  <c r="G30" i="3"/>
  <c r="I30" i="3" s="1"/>
  <c r="G29" i="3"/>
  <c r="I29" i="3" s="1"/>
  <c r="G32" i="3"/>
  <c r="I32" i="3" s="1"/>
  <c r="G31" i="3"/>
  <c r="I31" i="3" s="1"/>
  <c r="G27" i="3"/>
  <c r="I27" i="3" s="1"/>
  <c r="E22" i="3"/>
  <c r="F22" i="3" s="1"/>
  <c r="E18" i="3"/>
  <c r="F18" i="3" s="1"/>
  <c r="E14" i="3"/>
  <c r="F14" i="3" s="1"/>
  <c r="D11" i="3"/>
  <c r="D3" i="3"/>
  <c r="D22" i="3"/>
  <c r="D18" i="3"/>
  <c r="D14" i="3"/>
  <c r="D10" i="3"/>
  <c r="D6" i="3"/>
  <c r="D7" i="3"/>
  <c r="D21" i="3"/>
  <c r="D17" i="3"/>
  <c r="D13" i="3"/>
  <c r="D9" i="3"/>
  <c r="D5" i="3"/>
  <c r="E10" i="3"/>
  <c r="F10" i="3" s="1"/>
  <c r="E6" i="3"/>
  <c r="F6" i="3" s="1"/>
  <c r="E21" i="3"/>
  <c r="F21" i="3" s="1"/>
  <c r="E17" i="3"/>
  <c r="F17" i="3" s="1"/>
  <c r="E13" i="3"/>
  <c r="F13" i="3" s="1"/>
  <c r="E9" i="3"/>
  <c r="F9" i="3" s="1"/>
  <c r="E5" i="3"/>
  <c r="F5" i="3" s="1"/>
  <c r="E20" i="3"/>
  <c r="F20" i="3" s="1"/>
  <c r="H20" i="3" s="1"/>
  <c r="E16" i="3"/>
  <c r="F16" i="3" s="1"/>
  <c r="H16" i="3" s="1"/>
  <c r="E12" i="3"/>
  <c r="F12" i="3" s="1"/>
  <c r="H12" i="3" s="1"/>
  <c r="E8" i="3"/>
  <c r="F8" i="3" s="1"/>
  <c r="H8" i="3" s="1"/>
  <c r="E4" i="3"/>
  <c r="F4" i="3" s="1"/>
  <c r="H4" i="3" s="1"/>
  <c r="E2" i="3"/>
  <c r="F2" i="3" s="1"/>
  <c r="H2" i="3" s="1"/>
  <c r="E19" i="3"/>
  <c r="F19" i="3" s="1"/>
  <c r="H19" i="3" s="1"/>
  <c r="E15" i="3"/>
  <c r="F15" i="3" s="1"/>
  <c r="H15" i="3" s="1"/>
  <c r="E11" i="3"/>
  <c r="F11" i="3" s="1"/>
  <c r="E7" i="3"/>
  <c r="F7" i="3" s="1"/>
  <c r="E3" i="3"/>
  <c r="F3" i="3" s="1"/>
  <c r="H3" i="3" s="1"/>
  <c r="D29" i="3"/>
  <c r="D30" i="3"/>
  <c r="D27" i="3"/>
  <c r="D32" i="3"/>
  <c r="D28" i="3"/>
  <c r="D31" i="3"/>
  <c r="U7" i="3"/>
  <c r="V4" i="3"/>
  <c r="V3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H22" i="3" l="1"/>
  <c r="H10" i="3"/>
  <c r="H14" i="3"/>
  <c r="H18" i="3"/>
  <c r="H6" i="3"/>
  <c r="H21" i="3"/>
  <c r="H13" i="3"/>
  <c r="H9" i="3"/>
  <c r="H7" i="3"/>
  <c r="H5" i="3"/>
  <c r="H11" i="3"/>
  <c r="H17" i="3"/>
  <c r="V7" i="3"/>
  <c r="I40" i="2"/>
  <c r="I44" i="2"/>
  <c r="I41" i="2"/>
  <c r="I32" i="2"/>
  <c r="I31" i="2"/>
  <c r="I30" i="2"/>
  <c r="I29" i="2"/>
  <c r="I28" i="2"/>
  <c r="I27" i="2"/>
  <c r="I26" i="2"/>
  <c r="J28" i="1" l="1"/>
  <c r="K28" i="1"/>
  <c r="L28" i="1"/>
  <c r="M28" i="1"/>
  <c r="N28" i="1"/>
  <c r="O28" i="1"/>
  <c r="L39" i="1" l="1"/>
  <c r="L40" i="1"/>
  <c r="L41" i="1"/>
  <c r="L42" i="1"/>
  <c r="L38" i="1"/>
  <c r="P24" i="1" l="1"/>
  <c r="P23" i="1"/>
  <c r="P26" i="1" l="1"/>
  <c r="P27" i="1"/>
  <c r="P25" i="1" l="1"/>
  <c r="P28" i="1" l="1"/>
  <c r="C33" i="3" l="1"/>
  <c r="D33" i="3" s="1"/>
  <c r="D26" i="3"/>
</calcChain>
</file>

<file path=xl/sharedStrings.xml><?xml version="1.0" encoding="utf-8"?>
<sst xmlns="http://schemas.openxmlformats.org/spreadsheetml/2006/main" count="204" uniqueCount="75">
  <si>
    <t>N</t>
  </si>
  <si>
    <t>Операция</t>
  </si>
  <si>
    <t>Кол-во/час пиковой нагрузки</t>
  </si>
  <si>
    <t>Процент в профиле</t>
  </si>
  <si>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</si>
  <si>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</si>
  <si>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</si>
  <si>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</si>
  <si>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</si>
  <si>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</si>
  <si>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</si>
  <si>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</si>
  <si>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Операции и статистика</t>
  </si>
  <si>
    <t>Название сценария</t>
  </si>
  <si>
    <t>Покупка билета</t>
  </si>
  <si>
    <t xml:space="preserve">Удаление бронирования </t>
  </si>
  <si>
    <t>Покупка билета (без просмотра квитанции)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</si>
  <si>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</si>
  <si>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</si>
  <si>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</si>
  <si>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</si>
  <si>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Название операции</t>
  </si>
  <si>
    <t>Итого:</t>
  </si>
  <si>
    <t>Время между итерациями, с</t>
  </si>
  <si>
    <t>Количество ВП</t>
  </si>
  <si>
    <t>Интенсивность, оп/ч Необходимая</t>
  </si>
  <si>
    <t>Интенсивность рассчет</t>
  </si>
  <si>
    <t>Поиск билета без оплаты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</si>
  <si>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</si>
  <si>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</si>
  <si>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</si>
  <si>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</si>
  <si>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</si>
  <si>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</si>
  <si>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</si>
  <si>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</si>
  <si>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</si>
  <si>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</si>
  <si>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</si>
  <si>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</si>
  <si>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</si>
  <si>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</si>
  <si>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</si>
  <si>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</si>
  <si>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</si>
  <si>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</si>
  <si>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</si>
  <si>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</si>
  <si>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</si>
  <si>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</si>
  <si>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</si>
  <si>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</si>
  <si>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</si>
  <si>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</si>
  <si>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</si>
  <si>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</si>
  <si>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</si>
  <si>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</si>
  <si>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</si>
  <si>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</si>
  <si>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</si>
  <si>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</si>
  <si>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</si>
  <si>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</si>
  <si>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</si>
  <si>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</si>
  <si>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</si>
  <si>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</si>
  <si>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</si>
  <si>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</si>
  <si>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</si>
  <si>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</si>
  <si>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</si>
  <si>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Апрель</t>
  </si>
  <si>
    <t>Соотвествие профилю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</si>
</sst>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6" applyNumberFormat="0" applyFont="0" applyAlignment="0" applyProtection="0"/>
    <xf numFmtId="9" fontId="25" fillId="0" borderId="0" applyFont="0" applyFill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2" borderId="0" xfId="1"/>
    <xf numFmtId="0" fontId="8" fillId="4" borderId="4" xfId="3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9" fillId="0" borderId="8" xfId="4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10" fontId="10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1" fillId="0" borderId="8" xfId="42" applyBorder="1"/>
    <xf numFmtId="0" fontId="10" fillId="0" borderId="8" xfId="0" applyFont="1" applyBorder="1" applyAlignment="1">
      <alignment horizontal="left" vertical="top"/>
    </xf>
    <xf numFmtId="10" fontId="10" fillId="0" borderId="8" xfId="0" applyNumberFormat="1" applyFont="1" applyBorder="1" applyAlignment="1">
      <alignment horizontal="left" vertical="top"/>
    </xf>
    <xf numFmtId="0" fontId="9" fillId="0" borderId="8" xfId="4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" fillId="0" borderId="0" xfId="42"/>
    <xf numFmtId="0" fontId="5" fillId="0" borderId="5" xfId="0" applyFont="1" applyBorder="1" applyAlignment="1">
      <alignment horizontal="left"/>
    </xf>
    <xf numFmtId="0" fontId="0" fillId="34" borderId="0" xfId="0" applyFill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8" xfId="0" applyFill="1" applyBorder="1"/>
    <xf numFmtId="168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1" fontId="3" fillId="0" borderId="0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26" fillId="0" borderId="0" xfId="0" applyFont="1"/>
    <xf numFmtId="1" fontId="26" fillId="0" borderId="0" xfId="0" applyNumberFormat="1" applyFont="1"/>
    <xf numFmtId="9" fontId="26" fillId="0" borderId="0" xfId="0" applyNumberFormat="1" applyFont="1"/>
    <xf numFmtId="0" fontId="0" fillId="36" borderId="8" xfId="0" applyFill="1" applyBorder="1"/>
    <xf numFmtId="0" fontId="5" fillId="0" borderId="0" xfId="0" applyFont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35.079957407404" createdVersion="6" refreshedVersion="6" minRefreshableVersion="3" recordCount="21" xr:uid="{849ED774-79A0-8640-B03A-801DA7FF34DA}">
  <cacheSource type="worksheet">
    <worksheetSource ref="A1:H22" sheet="Автоматизированный расчет"/>
  </cacheSource>
  <cacheFields count="8">
    <cacheField name="Script name" numFmtId="0">
      <sharedItems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0" maxValue="150"/>
    </cacheField>
    <cacheField name="одним пользователем в минуту" numFmtId="2">
      <sharedItems containsSemiMixedTypes="0" containsString="0" containsNumber="1" minValue="0.4" maxValue="2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45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s v="Покупка билета"/>
    <x v="0"/>
    <n v="1"/>
    <n v="1"/>
    <n v="80"/>
    <n v="0.75"/>
    <n v="60"/>
    <n v="45"/>
  </r>
  <r>
    <s v="Покупка билета"/>
    <x v="1"/>
    <n v="1"/>
    <n v="1"/>
    <n v="80"/>
    <n v="0.75"/>
    <n v="60"/>
    <n v="45"/>
  </r>
  <r>
    <s v="Покупка билета"/>
    <x v="2"/>
    <n v="1"/>
    <n v="1"/>
    <n v="80"/>
    <n v="0.75"/>
    <n v="60"/>
    <n v="45"/>
  </r>
  <r>
    <s v="Покупка билета"/>
    <x v="3"/>
    <n v="1"/>
    <n v="1"/>
    <n v="80"/>
    <n v="0.75"/>
    <n v="60"/>
    <n v="45"/>
  </r>
  <r>
    <s v="Покупка билета"/>
    <x v="4"/>
    <n v="1"/>
    <n v="1"/>
    <n v="80"/>
    <n v="0.75"/>
    <n v="60"/>
    <n v="45"/>
  </r>
  <r>
    <s v="Удаление бронирования "/>
    <x v="0"/>
    <n v="1"/>
    <n v="1"/>
    <n v="46"/>
    <n v="1.3043478260869565"/>
    <n v="60"/>
    <n v="78.260869565217391"/>
  </r>
  <r>
    <s v="Удаление бронирования "/>
    <x v="4"/>
    <n v="1"/>
    <n v="1"/>
    <n v="46"/>
    <n v="1.3043478260869565"/>
    <n v="60"/>
    <n v="78.260869565217391"/>
  </r>
  <r>
    <s v="Удаление бронирования "/>
    <x v="5"/>
    <n v="1"/>
    <n v="1"/>
    <n v="46"/>
    <n v="1.3043478260869565"/>
    <n v="60"/>
    <n v="78.260869565217391"/>
  </r>
  <r>
    <s v="Удаление бронирования "/>
    <x v="6"/>
    <n v="1"/>
    <n v="1"/>
    <n v="46"/>
    <n v="1.3043478260869565"/>
    <n v="60"/>
    <n v="78.260869565217391"/>
  </r>
  <r>
    <s v="Поиск билета без оплаты"/>
    <x v="0"/>
    <n v="1"/>
    <n v="2"/>
    <n v="72"/>
    <n v="0.83333333333333337"/>
    <n v="60"/>
    <n v="100"/>
  </r>
  <r>
    <s v="Поиск билета без оплаты"/>
    <x v="1"/>
    <n v="1"/>
    <n v="2"/>
    <n v="72"/>
    <n v="0.83333333333333337"/>
    <n v="60"/>
    <n v="100"/>
  </r>
  <r>
    <s v="Поиск билета без оплаты"/>
    <x v="2"/>
    <n v="1"/>
    <n v="2"/>
    <n v="72"/>
    <n v="0.83333333333333337"/>
    <n v="60"/>
    <n v="100"/>
  </r>
  <r>
    <s v="Поиск билета без оплаты"/>
    <x v="6"/>
    <n v="1"/>
    <n v="2"/>
    <n v="72"/>
    <n v="0.83333333333333337"/>
    <n v="60"/>
    <n v="100"/>
  </r>
  <r>
    <s v="Покупка билета (без просмотра квитанции)"/>
    <x v="0"/>
    <n v="1"/>
    <n v="1"/>
    <n v="30"/>
    <n v="2"/>
    <n v="60"/>
    <n v="120"/>
  </r>
  <r>
    <s v="Покупка билета (без просмотра квитанции)"/>
    <x v="1"/>
    <n v="1"/>
    <n v="1"/>
    <n v="30"/>
    <n v="2"/>
    <n v="60"/>
    <n v="120"/>
  </r>
  <r>
    <s v="Покупка билета (без просмотра квитанции)"/>
    <x v="2"/>
    <n v="1"/>
    <n v="1"/>
    <n v="30"/>
    <n v="2"/>
    <n v="60"/>
    <n v="120"/>
  </r>
  <r>
    <s v="Покупка билета (без просмотра квитанции)"/>
    <x v="3"/>
    <n v="1"/>
    <n v="1"/>
    <n v="30"/>
    <n v="2"/>
    <n v="60"/>
    <n v="120"/>
  </r>
  <r>
    <s v="Покупка билета (без просмотра квитанции)"/>
    <x v="6"/>
    <n v="1"/>
    <n v="1"/>
    <n v="30"/>
    <n v="2"/>
    <n v="60"/>
    <n v="120"/>
  </r>
  <r>
    <s v="Ознакомление с путевым листом"/>
    <x v="0"/>
    <n v="1"/>
    <n v="2"/>
    <n v="150"/>
    <n v="0.4"/>
    <n v="60"/>
    <n v="48"/>
  </r>
  <r>
    <s v="Ознакомление с путевым листом"/>
    <x v="4"/>
    <n v="1"/>
    <n v="2"/>
    <n v="150"/>
    <n v="0.4"/>
    <n v="60"/>
    <n v="48"/>
  </r>
  <r>
    <s v="Ознакомление с путевым листом"/>
    <x v="6"/>
    <n v="1"/>
    <n v="2"/>
    <n v="150"/>
    <n v="0.4"/>
    <n v="60"/>
    <n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12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6"/>
        <item x="1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S42"/>
  <sheetViews>
    <sheetView tabSelected="1" topLeftCell="A2" zoomScale="85" zoomScaleNormal="85" workbookViewId="0">
      <selection activeCell="L22" sqref="L22"/>
    </sheetView>
  </sheetViews>
  <sheetFormatPr baseColWidth="10" defaultColWidth="8.83203125" defaultRowHeight="15" x14ac:dyDescent="0.2"/>
  <cols>
    <col min="5" max="5" width="7.33203125" customWidth="1"/>
    <col min="6" max="6" width="6.83203125" customWidth="1"/>
    <col min="7" max="7" width="3.1640625" bestFit="1" customWidth="1"/>
    <col min="8" max="8" width="30.1640625" bestFit="1" customWidth="1"/>
    <col min="9" max="9" width="18" bestFit="1" customWidth="1"/>
    <col min="10" max="10" width="19.5" customWidth="1"/>
    <col min="11" max="11" width="15.5" customWidth="1"/>
    <col min="12" max="12" width="19.5" customWidth="1"/>
    <col min="13" max="13" width="13.5" customWidth="1"/>
    <col min="14" max="15" width="12.1640625" customWidth="1"/>
    <col min="17" max="17" width="13.5" bestFit="1" customWidth="1"/>
    <col min="18" max="18" width="24.5" bestFit="1" customWidth="1"/>
    <col min="20" max="20" width="4.5" bestFit="1" customWidth="1"/>
  </cols>
  <sheetData>
    <row r="6" spans="7:12" ht="16" thickBot="1" x14ac:dyDescent="0.25">
      <c r="H6" t="s">
        <v>73</v>
      </c>
    </row>
    <row r="7" spans="7:12" ht="20" hidden="1" thickBot="1" x14ac:dyDescent="0.3">
      <c r="G7" s="38" t="s">
        <v>12</v>
      </c>
      <c r="H7" s="38"/>
      <c r="I7" s="38"/>
      <c r="J7" s="38"/>
    </row>
    <row r="8" spans="7:12" ht="58" thickBot="1" x14ac:dyDescent="0.25">
      <c r="G8" s="1" t="s">
        <v>0</v>
      </c>
      <c r="H8" s="2" t="s">
        <v>1</v>
      </c>
      <c r="I8" s="3" t="s">
        <v>2</v>
      </c>
      <c r="J8" s="3" t="s">
        <v>3</v>
      </c>
    </row>
    <row r="9" spans="7:12" ht="20" thickBot="1" x14ac:dyDescent="0.25">
      <c r="G9" s="4">
        <v>1</v>
      </c>
      <c r="H9" s="5" t="s">
        <v>4</v>
      </c>
      <c r="I9" s="6">
        <v>422</v>
      </c>
      <c r="J9" s="7">
        <v>0.25</v>
      </c>
      <c r="K9">
        <f>I28</f>
        <v>368</v>
      </c>
      <c r="L9" s="47">
        <f>1-I9/K9</f>
        <v>-0.14673913043478271</v>
      </c>
    </row>
    <row r="10" spans="7:12" ht="39" thickBot="1" x14ac:dyDescent="0.25">
      <c r="G10" s="4">
        <v>2</v>
      </c>
      <c r="H10" s="5" t="s">
        <v>5</v>
      </c>
      <c r="I10" s="6">
        <v>282</v>
      </c>
      <c r="J10" s="7">
        <v>0.17</v>
      </c>
      <c r="K10">
        <f>J28</f>
        <v>251</v>
      </c>
      <c r="L10" s="47">
        <f t="shared" ref="L10:L15" si="0">1-I10/K10</f>
        <v>-0.12350597609561742</v>
      </c>
    </row>
    <row r="11" spans="7:12" ht="20" thickBot="1" x14ac:dyDescent="0.25">
      <c r="G11" s="4">
        <v>3</v>
      </c>
      <c r="H11" s="5" t="s">
        <v>6</v>
      </c>
      <c r="I11" s="6">
        <v>251</v>
      </c>
      <c r="J11" s="7">
        <v>0.15</v>
      </c>
      <c r="K11">
        <f>K28</f>
        <v>251</v>
      </c>
      <c r="L11" s="47">
        <f t="shared" si="0"/>
        <v>0</v>
      </c>
    </row>
    <row r="12" spans="7:12" ht="20" thickBot="1" x14ac:dyDescent="0.25">
      <c r="G12" s="4">
        <v>4</v>
      </c>
      <c r="H12" s="5" t="s">
        <v>7</v>
      </c>
      <c r="I12" s="6">
        <v>175</v>
      </c>
      <c r="J12" s="7">
        <v>0.1</v>
      </c>
      <c r="K12">
        <f>L28</f>
        <v>175</v>
      </c>
      <c r="L12" s="47">
        <f t="shared" si="0"/>
        <v>0</v>
      </c>
    </row>
    <row r="13" spans="7:12" ht="20" thickBot="1" x14ac:dyDescent="0.25">
      <c r="G13" s="4">
        <v>5</v>
      </c>
      <c r="H13" s="5" t="s">
        <v>8</v>
      </c>
      <c r="I13" s="6">
        <v>159</v>
      </c>
      <c r="J13" s="7">
        <v>0.09</v>
      </c>
      <c r="K13">
        <f>M28</f>
        <v>159</v>
      </c>
      <c r="L13" s="47">
        <f t="shared" si="0"/>
        <v>0</v>
      </c>
    </row>
    <row r="14" spans="7:12" ht="39" thickBot="1" x14ac:dyDescent="0.25">
      <c r="G14" s="4">
        <v>6</v>
      </c>
      <c r="H14" s="5" t="s">
        <v>9</v>
      </c>
      <c r="I14" s="6">
        <v>73</v>
      </c>
      <c r="J14" s="7">
        <v>0.04</v>
      </c>
      <c r="K14">
        <f>N28</f>
        <v>73</v>
      </c>
      <c r="L14" s="47">
        <f t="shared" si="0"/>
        <v>0</v>
      </c>
    </row>
    <row r="15" spans="7:12" ht="20" thickBot="1" x14ac:dyDescent="0.25">
      <c r="G15" s="4">
        <v>7</v>
      </c>
      <c r="H15" s="5" t="s">
        <v>10</v>
      </c>
      <c r="I15" s="6">
        <v>326</v>
      </c>
      <c r="J15" s="7">
        <v>0.2</v>
      </c>
      <c r="K15">
        <f>O28</f>
        <v>326</v>
      </c>
      <c r="L15" s="47">
        <f t="shared" si="0"/>
        <v>0</v>
      </c>
    </row>
    <row r="16" spans="7:12" ht="20" thickBot="1" x14ac:dyDescent="0.25">
      <c r="G16" s="4"/>
      <c r="H16" s="8" t="s">
        <v>11</v>
      </c>
      <c r="I16" s="6">
        <v>1688</v>
      </c>
      <c r="J16" s="7">
        <v>1</v>
      </c>
    </row>
    <row r="20" spans="6:19" ht="16" thickBot="1" x14ac:dyDescent="0.25"/>
    <row r="21" spans="6:19" ht="58" thickBot="1" x14ac:dyDescent="0.25">
      <c r="F21" s="15"/>
      <c r="G21" s="1"/>
      <c r="H21" s="16" t="s">
        <v>21</v>
      </c>
      <c r="I21" s="3" t="s">
        <v>4</v>
      </c>
      <c r="J21" s="3" t="s">
        <v>18</v>
      </c>
      <c r="K21" s="3" t="s">
        <v>19</v>
      </c>
      <c r="L21" s="3" t="s">
        <v>7</v>
      </c>
      <c r="M21" s="3" t="s">
        <v>8</v>
      </c>
      <c r="N21" s="3" t="s">
        <v>20</v>
      </c>
      <c r="O21" s="3" t="s">
        <v>10</v>
      </c>
      <c r="P21" s="13" t="s">
        <v>11</v>
      </c>
      <c r="R21" s="18"/>
    </row>
    <row r="22" spans="6:19" ht="20" thickBot="1" x14ac:dyDescent="0.25">
      <c r="F22" s="15"/>
      <c r="G22" s="6" t="s">
        <v>0</v>
      </c>
      <c r="H22" s="14" t="s">
        <v>13</v>
      </c>
      <c r="I22" s="6"/>
      <c r="J22" s="6"/>
      <c r="K22" s="6"/>
      <c r="L22" s="6"/>
      <c r="M22" s="6"/>
      <c r="N22" s="6"/>
      <c r="O22" s="6"/>
      <c r="P22" s="20">
        <f>SUM(I22:O22)</f>
        <v>0</v>
      </c>
      <c r="R22" s="19"/>
      <c r="S22" s="19"/>
    </row>
    <row r="23" spans="6:19" ht="20" thickBot="1" x14ac:dyDescent="0.25">
      <c r="F23" s="15"/>
      <c r="G23" s="6">
        <v>1</v>
      </c>
      <c r="H23" s="6" t="s">
        <v>14</v>
      </c>
      <c r="I23" s="6">
        <v>42</v>
      </c>
      <c r="J23" s="6">
        <v>42</v>
      </c>
      <c r="K23" s="6">
        <v>42</v>
      </c>
      <c r="L23" s="6">
        <v>42</v>
      </c>
      <c r="M23" s="6">
        <v>42</v>
      </c>
      <c r="N23" s="6"/>
      <c r="O23" s="6"/>
      <c r="P23" s="20">
        <f t="shared" ref="P23:P28" si="1">SUM(I23:O23)</f>
        <v>210</v>
      </c>
      <c r="R23" s="19"/>
    </row>
    <row r="24" spans="6:19" ht="20" thickBot="1" x14ac:dyDescent="0.25">
      <c r="F24" s="15"/>
      <c r="G24" s="6">
        <v>2</v>
      </c>
      <c r="H24" s="6" t="s">
        <v>15</v>
      </c>
      <c r="I24" s="6">
        <v>73</v>
      </c>
      <c r="J24" s="6"/>
      <c r="K24" s="6"/>
      <c r="L24" s="6"/>
      <c r="M24" s="6">
        <v>73</v>
      </c>
      <c r="N24" s="6">
        <v>73</v>
      </c>
      <c r="O24" s="6">
        <v>73</v>
      </c>
      <c r="P24" s="20">
        <f t="shared" si="1"/>
        <v>292</v>
      </c>
      <c r="R24" s="19"/>
    </row>
    <row r="25" spans="6:19" ht="20" thickBot="1" x14ac:dyDescent="0.25">
      <c r="F25" s="15"/>
      <c r="G25" s="6">
        <v>3</v>
      </c>
      <c r="H25" s="6" t="s">
        <v>27</v>
      </c>
      <c r="I25" s="6">
        <v>76</v>
      </c>
      <c r="J25" s="6">
        <v>76</v>
      </c>
      <c r="K25" s="6">
        <v>76</v>
      </c>
      <c r="L25" s="6"/>
      <c r="M25" s="6"/>
      <c r="N25" s="6"/>
      <c r="O25" s="6">
        <v>76</v>
      </c>
      <c r="P25" s="20">
        <f t="shared" si="1"/>
        <v>304</v>
      </c>
      <c r="R25" s="19"/>
    </row>
    <row r="26" spans="6:19" ht="39" thickBot="1" x14ac:dyDescent="0.25">
      <c r="F26" s="15"/>
      <c r="G26" s="6">
        <v>4</v>
      </c>
      <c r="H26" s="6" t="s">
        <v>16</v>
      </c>
      <c r="I26" s="6">
        <v>133</v>
      </c>
      <c r="J26" s="6">
        <v>133</v>
      </c>
      <c r="K26" s="6">
        <v>133</v>
      </c>
      <c r="L26" s="6">
        <v>133</v>
      </c>
      <c r="M26" s="6"/>
      <c r="N26" s="6"/>
      <c r="O26" s="6">
        <v>133</v>
      </c>
      <c r="P26" s="20">
        <f t="shared" si="1"/>
        <v>665</v>
      </c>
      <c r="R26" s="19"/>
    </row>
    <row r="27" spans="6:19" ht="39" thickBot="1" x14ac:dyDescent="0.25">
      <c r="F27" s="15"/>
      <c r="G27" s="6">
        <v>5</v>
      </c>
      <c r="H27" s="6" t="s">
        <v>17</v>
      </c>
      <c r="I27" s="6">
        <v>44</v>
      </c>
      <c r="J27" s="6"/>
      <c r="K27" s="6"/>
      <c r="L27" s="6"/>
      <c r="M27" s="6">
        <v>44</v>
      </c>
      <c r="N27" s="6"/>
      <c r="O27" s="6">
        <v>44</v>
      </c>
      <c r="P27" s="20">
        <f t="shared" si="1"/>
        <v>132</v>
      </c>
      <c r="R27" s="19"/>
    </row>
    <row r="28" spans="6:19" ht="20" thickBot="1" x14ac:dyDescent="0.25">
      <c r="F28" s="15"/>
      <c r="G28" s="14"/>
      <c r="H28" s="14" t="s">
        <v>22</v>
      </c>
      <c r="I28" s="21">
        <f>SUM(I23:I27)</f>
        <v>368</v>
      </c>
      <c r="J28" s="21">
        <f t="shared" ref="J28:O28" si="2">SUM(J23:J27)</f>
        <v>251</v>
      </c>
      <c r="K28" s="21">
        <f t="shared" si="2"/>
        <v>251</v>
      </c>
      <c r="L28" s="21">
        <f t="shared" si="2"/>
        <v>175</v>
      </c>
      <c r="M28" s="21">
        <f t="shared" si="2"/>
        <v>159</v>
      </c>
      <c r="N28" s="21">
        <f t="shared" si="2"/>
        <v>73</v>
      </c>
      <c r="O28" s="21">
        <f t="shared" si="2"/>
        <v>326</v>
      </c>
      <c r="P28" s="20">
        <f t="shared" si="1"/>
        <v>1603</v>
      </c>
    </row>
    <row r="29" spans="6:19" ht="18" x14ac:dyDescent="0.2">
      <c r="G29" s="9"/>
      <c r="H29" s="10"/>
      <c r="I29" s="9"/>
      <c r="J29" s="11"/>
    </row>
    <row r="30" spans="6:19" ht="18" x14ac:dyDescent="0.2">
      <c r="G30" s="9"/>
      <c r="H30" s="12"/>
      <c r="I30" s="9"/>
      <c r="J30" s="11"/>
    </row>
    <row r="33" spans="7:13" x14ac:dyDescent="0.2">
      <c r="J33" s="17"/>
    </row>
    <row r="36" spans="7:13" ht="19" thickBot="1" x14ac:dyDescent="0.25">
      <c r="G36" s="14"/>
      <c r="H36" s="14"/>
      <c r="I36" s="14"/>
      <c r="J36" s="14"/>
      <c r="K36" s="14"/>
    </row>
    <row r="37" spans="7:13" ht="58" thickBot="1" x14ac:dyDescent="0.25">
      <c r="G37" s="14" t="s">
        <v>0</v>
      </c>
      <c r="H37" s="14" t="s">
        <v>13</v>
      </c>
      <c r="I37" s="14" t="s">
        <v>23</v>
      </c>
      <c r="J37" s="14" t="s">
        <v>25</v>
      </c>
      <c r="K37" s="14" t="s">
        <v>24</v>
      </c>
      <c r="L37" s="22" t="s">
        <v>26</v>
      </c>
      <c r="M37" s="23"/>
    </row>
    <row r="38" spans="7:13" ht="20" thickBot="1" x14ac:dyDescent="0.25">
      <c r="G38" s="14">
        <v>1</v>
      </c>
      <c r="H38" s="14" t="s">
        <v>14</v>
      </c>
      <c r="I38" s="14">
        <v>70</v>
      </c>
      <c r="J38" s="14">
        <v>42</v>
      </c>
      <c r="K38" s="14">
        <v>1</v>
      </c>
      <c r="L38" s="22">
        <f>(3600*K38)/I38</f>
        <v>51.428571428571431</v>
      </c>
      <c r="M38" s="23"/>
    </row>
    <row r="39" spans="7:13" ht="20" thickBot="1" x14ac:dyDescent="0.25">
      <c r="G39" s="14">
        <v>2</v>
      </c>
      <c r="H39" s="14" t="s">
        <v>15</v>
      </c>
      <c r="I39" s="14">
        <v>49</v>
      </c>
      <c r="J39" s="14">
        <v>73</v>
      </c>
      <c r="K39" s="14">
        <v>1</v>
      </c>
      <c r="L39" s="22">
        <f t="shared" ref="L39:L42" si="3">(3600*K39)/I39</f>
        <v>73.469387755102048</v>
      </c>
      <c r="M39" s="23"/>
    </row>
    <row r="40" spans="7:13" ht="20" thickBot="1" x14ac:dyDescent="0.25">
      <c r="G40" s="14">
        <v>3</v>
      </c>
      <c r="H40" s="14" t="s">
        <v>27</v>
      </c>
      <c r="I40" s="14">
        <v>47</v>
      </c>
      <c r="J40" s="14">
        <v>76</v>
      </c>
      <c r="K40" s="14">
        <v>1</v>
      </c>
      <c r="L40" s="22">
        <f t="shared" si="3"/>
        <v>76.59574468085107</v>
      </c>
      <c r="M40" s="23"/>
    </row>
    <row r="41" spans="7:13" ht="39" thickBot="1" x14ac:dyDescent="0.25">
      <c r="G41" s="14">
        <v>4</v>
      </c>
      <c r="H41" s="14" t="s">
        <v>16</v>
      </c>
      <c r="I41" s="14">
        <v>27</v>
      </c>
      <c r="J41" s="14">
        <v>133</v>
      </c>
      <c r="K41" s="14">
        <v>1</v>
      </c>
      <c r="L41" s="22">
        <f t="shared" si="3"/>
        <v>133.33333333333334</v>
      </c>
      <c r="M41" s="23"/>
    </row>
    <row r="42" spans="7:13" ht="39" thickBot="1" x14ac:dyDescent="0.25">
      <c r="G42" s="14">
        <v>5</v>
      </c>
      <c r="H42" s="14" t="s">
        <v>17</v>
      </c>
      <c r="I42" s="14">
        <v>82</v>
      </c>
      <c r="J42" s="14">
        <v>44</v>
      </c>
      <c r="K42" s="14">
        <v>1</v>
      </c>
      <c r="L42" s="22">
        <f t="shared" si="3"/>
        <v>43.902439024390247</v>
      </c>
      <c r="M42" s="23"/>
    </row>
  </sheetData>
  <mergeCells count="1">
    <mergeCell ref="G7:J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X33"/>
  <sheetViews>
    <sheetView zoomScale="85" workbookViewId="0">
      <selection activeCell="H27" sqref="H27"/>
    </sheetView>
  </sheetViews>
  <sheetFormatPr baseColWidth="10" defaultRowHeight="15" x14ac:dyDescent="0.2"/>
  <cols>
    <col min="1" max="1" width="22.6640625" customWidth="1"/>
    <col min="9" max="9" width="31.5" bestFit="1" customWidth="1"/>
    <col min="10" max="10" width="18.6640625" bestFit="1" customWidth="1"/>
    <col min="11" max="11" width="18.6640625" customWidth="1"/>
    <col min="12" max="12" width="27.5" bestFit="1" customWidth="1"/>
    <col min="13" max="13" width="35.83203125" bestFit="1" customWidth="1"/>
    <col min="19" max="19" width="44" bestFit="1" customWidth="1"/>
  </cols>
  <sheetData>
    <row r="1" spans="1:24" ht="16" thickBot="1" x14ac:dyDescent="0.25">
      <c r="A1" t="s">
        <v>51</v>
      </c>
      <c r="B1" t="s">
        <v>52</v>
      </c>
      <c r="C1" t="s">
        <v>53</v>
      </c>
      <c r="D1" t="s">
        <v>58</v>
      </c>
      <c r="E1" t="s">
        <v>69</v>
      </c>
      <c r="F1" t="s">
        <v>70</v>
      </c>
      <c r="G1" t="s">
        <v>71</v>
      </c>
      <c r="H1" t="s">
        <v>11</v>
      </c>
      <c r="I1" s="41" t="s">
        <v>54</v>
      </c>
      <c r="J1" t="s">
        <v>67</v>
      </c>
      <c r="M1" t="s">
        <v>57</v>
      </c>
      <c r="N1" t="s">
        <v>59</v>
      </c>
      <c r="O1" t="s">
        <v>60</v>
      </c>
      <c r="P1" t="s">
        <v>72</v>
      </c>
      <c r="Q1" t="s">
        <v>61</v>
      </c>
      <c r="R1" t="s">
        <v>58</v>
      </c>
      <c r="S1" t="s">
        <v>62</v>
      </c>
      <c r="T1" s="52" t="s">
        <v>63</v>
      </c>
      <c r="U1" s="52" t="s">
        <v>64</v>
      </c>
      <c r="V1" s="52" t="s">
        <v>65</v>
      </c>
      <c r="X1" t="s">
        <v>66</v>
      </c>
    </row>
    <row r="2" spans="1:24" x14ac:dyDescent="0.2">
      <c r="A2" t="s">
        <v>14</v>
      </c>
      <c r="B2" t="s">
        <v>4</v>
      </c>
      <c r="C2">
        <v>1</v>
      </c>
      <c r="D2" s="49">
        <f>VLOOKUP(A2,$M$1:$W$8,6,FALSE)</f>
        <v>1</v>
      </c>
      <c r="E2">
        <f>VLOOKUP(A2,$M$1:$W$8,5,FALSE)</f>
        <v>80</v>
      </c>
      <c r="F2" s="46">
        <f>60/E2</f>
        <v>0.75</v>
      </c>
      <c r="G2">
        <v>60</v>
      </c>
      <c r="H2" s="45">
        <f>D2*F2*G2</f>
        <v>45</v>
      </c>
      <c r="I2" s="42" t="s">
        <v>4</v>
      </c>
      <c r="J2" s="40">
        <v>391.26086956521738</v>
      </c>
      <c r="K2" s="40"/>
      <c r="M2" t="s">
        <v>14</v>
      </c>
      <c r="N2">
        <v>5.6154999999999999</v>
      </c>
      <c r="O2">
        <v>35.003500000000003</v>
      </c>
      <c r="P2">
        <f>N2+O2</f>
        <v>40.619</v>
      </c>
      <c r="Q2" s="43">
        <v>80</v>
      </c>
      <c r="R2" s="43">
        <v>1</v>
      </c>
      <c r="S2" s="44">
        <f>60/(Q2)</f>
        <v>0.75</v>
      </c>
      <c r="T2" s="52">
        <v>20</v>
      </c>
      <c r="U2" s="53">
        <f>ROUND(R2*S2*T2,0)</f>
        <v>15</v>
      </c>
      <c r="V2" s="54">
        <f>R2/W$2</f>
        <v>0.14285714285714285</v>
      </c>
      <c r="W2">
        <f>SUM(R2:R6)</f>
        <v>7</v>
      </c>
    </row>
    <row r="3" spans="1:24" x14ac:dyDescent="0.2">
      <c r="A3" t="s">
        <v>14</v>
      </c>
      <c r="B3" t="s">
        <v>18</v>
      </c>
      <c r="C3">
        <v>1</v>
      </c>
      <c r="D3" s="50">
        <f>VLOOKUP(A3,$M$1:$W$8,6,FALSE)</f>
        <v>1</v>
      </c>
      <c r="E3">
        <f>VLOOKUP(A3,$M$1:$W$8,5,FALSE)</f>
        <v>80</v>
      </c>
      <c r="F3" s="46">
        <f t="shared" ref="F3:F22" si="0">60/E3</f>
        <v>0.75</v>
      </c>
      <c r="G3">
        <v>60</v>
      </c>
      <c r="H3" s="45">
        <f t="shared" ref="H3:H22" si="1">D3*F3*G3</f>
        <v>45</v>
      </c>
      <c r="I3" s="42" t="s">
        <v>19</v>
      </c>
      <c r="J3" s="40">
        <v>265</v>
      </c>
      <c r="K3" s="40"/>
      <c r="M3" t="s">
        <v>15</v>
      </c>
      <c r="N3">
        <v>3.1109</v>
      </c>
      <c r="O3">
        <v>20.0014</v>
      </c>
      <c r="P3">
        <f t="shared" ref="P3:P6" si="2">N3+O3</f>
        <v>23.112300000000001</v>
      </c>
      <c r="Q3" s="43">
        <v>50</v>
      </c>
      <c r="R3" s="43">
        <v>1</v>
      </c>
      <c r="S3" s="44">
        <f t="shared" ref="S3:S6" si="3">60/(Q3)</f>
        <v>1.2</v>
      </c>
      <c r="T3" s="52">
        <v>20</v>
      </c>
      <c r="U3" s="53">
        <f t="shared" ref="U3:U6" si="4">ROUND(R3*S3*T3,0)</f>
        <v>24</v>
      </c>
      <c r="V3" s="54">
        <f t="shared" ref="V3:V6" si="5">R3/W$2</f>
        <v>0.14285714285714285</v>
      </c>
    </row>
    <row r="4" spans="1:24" x14ac:dyDescent="0.2">
      <c r="A4" t="s">
        <v>14</v>
      </c>
      <c r="B4" t="s">
        <v>19</v>
      </c>
      <c r="C4">
        <v>1</v>
      </c>
      <c r="D4" s="50">
        <f>VLOOKUP(A4,$M$1:$W$8,6,FALSE)</f>
        <v>1</v>
      </c>
      <c r="E4">
        <f>VLOOKUP(A4,$M$1:$W$8,5,FALSE)</f>
        <v>80</v>
      </c>
      <c r="F4" s="46">
        <f t="shared" si="0"/>
        <v>0.75</v>
      </c>
      <c r="G4">
        <v>60</v>
      </c>
      <c r="H4" s="45">
        <f t="shared" si="1"/>
        <v>45</v>
      </c>
      <c r="I4" s="42" t="s">
        <v>10</v>
      </c>
      <c r="J4" s="40">
        <v>346.26086956521738</v>
      </c>
      <c r="K4" s="40"/>
      <c r="M4" t="s">
        <v>27</v>
      </c>
      <c r="N4">
        <v>4.5355999999999996</v>
      </c>
      <c r="O4">
        <v>30.001799999999999</v>
      </c>
      <c r="P4">
        <f t="shared" si="2"/>
        <v>34.537399999999998</v>
      </c>
      <c r="Q4" s="43">
        <v>78</v>
      </c>
      <c r="R4" s="43">
        <v>2</v>
      </c>
      <c r="S4" s="44">
        <f t="shared" si="3"/>
        <v>0.76923076923076927</v>
      </c>
      <c r="T4" s="52">
        <v>20</v>
      </c>
      <c r="U4" s="53">
        <f t="shared" si="4"/>
        <v>31</v>
      </c>
      <c r="V4" s="54">
        <f t="shared" si="5"/>
        <v>0.2857142857142857</v>
      </c>
    </row>
    <row r="5" spans="1:24" x14ac:dyDescent="0.2">
      <c r="A5" t="s">
        <v>14</v>
      </c>
      <c r="B5" t="s">
        <v>7</v>
      </c>
      <c r="C5">
        <v>1</v>
      </c>
      <c r="D5" s="50">
        <f>VLOOKUP(A5,$M$1:$W$8,6,FALSE)</f>
        <v>1</v>
      </c>
      <c r="E5">
        <f>VLOOKUP(A5,$M$1:$W$8,5,FALSE)</f>
        <v>80</v>
      </c>
      <c r="F5" s="46">
        <f t="shared" si="0"/>
        <v>0.75</v>
      </c>
      <c r="G5">
        <v>60</v>
      </c>
      <c r="H5" s="45">
        <f t="shared" si="1"/>
        <v>45</v>
      </c>
      <c r="I5" s="42" t="s">
        <v>18</v>
      </c>
      <c r="J5" s="40">
        <v>265</v>
      </c>
      <c r="K5" s="40"/>
      <c r="M5" t="s">
        <v>16</v>
      </c>
      <c r="N5">
        <v>6.3802000000000003</v>
      </c>
      <c r="O5">
        <v>55.003399999999999</v>
      </c>
      <c r="P5">
        <f t="shared" si="2"/>
        <v>61.383600000000001</v>
      </c>
      <c r="Q5" s="43">
        <v>30</v>
      </c>
      <c r="R5" s="43">
        <v>1</v>
      </c>
      <c r="S5" s="44">
        <f t="shared" si="3"/>
        <v>2</v>
      </c>
      <c r="T5" s="52">
        <v>20</v>
      </c>
      <c r="U5" s="53">
        <f t="shared" si="4"/>
        <v>40</v>
      </c>
      <c r="V5" s="54">
        <f t="shared" si="5"/>
        <v>0.14285714285714285</v>
      </c>
    </row>
    <row r="6" spans="1:24" ht="16" thickBot="1" x14ac:dyDescent="0.25">
      <c r="A6" t="s">
        <v>14</v>
      </c>
      <c r="B6" t="s">
        <v>8</v>
      </c>
      <c r="C6">
        <v>1</v>
      </c>
      <c r="D6" s="51">
        <f>VLOOKUP(A6,$M$1:$W$8,6,FALSE)</f>
        <v>1</v>
      </c>
      <c r="E6">
        <f>VLOOKUP(A6,$M$1:$W$8,5,FALSE)</f>
        <v>80</v>
      </c>
      <c r="F6" s="46">
        <f t="shared" si="0"/>
        <v>0.75</v>
      </c>
      <c r="G6">
        <v>60</v>
      </c>
      <c r="H6" s="45">
        <f t="shared" si="1"/>
        <v>45</v>
      </c>
      <c r="I6" s="42" t="s">
        <v>7</v>
      </c>
      <c r="J6" s="40">
        <v>165</v>
      </c>
      <c r="K6" s="40"/>
      <c r="M6" t="s">
        <v>17</v>
      </c>
      <c r="N6">
        <v>5.1223000000000001</v>
      </c>
      <c r="O6">
        <v>35.0032</v>
      </c>
      <c r="P6">
        <f t="shared" si="2"/>
        <v>40.125500000000002</v>
      </c>
      <c r="Q6" s="43">
        <v>150</v>
      </c>
      <c r="R6" s="43">
        <v>2</v>
      </c>
      <c r="S6" s="44">
        <f t="shared" si="3"/>
        <v>0.4</v>
      </c>
      <c r="T6" s="52">
        <v>20</v>
      </c>
      <c r="U6" s="53">
        <f t="shared" si="4"/>
        <v>16</v>
      </c>
      <c r="V6" s="54">
        <f t="shared" si="5"/>
        <v>0.2857142857142857</v>
      </c>
    </row>
    <row r="7" spans="1:24" x14ac:dyDescent="0.2">
      <c r="A7" t="s">
        <v>15</v>
      </c>
      <c r="B7" t="s">
        <v>4</v>
      </c>
      <c r="C7">
        <v>1</v>
      </c>
      <c r="D7" s="49">
        <f>VLOOKUP(A7,$M$1:$W$8,6,FALSE)</f>
        <v>1</v>
      </c>
      <c r="E7">
        <f>VLOOKUP(A7,$M$1:$W$8,5,FALSE)</f>
        <v>50</v>
      </c>
      <c r="F7" s="46">
        <f t="shared" si="0"/>
        <v>1.2</v>
      </c>
      <c r="G7">
        <v>60</v>
      </c>
      <c r="H7" s="45">
        <f t="shared" si="1"/>
        <v>72</v>
      </c>
      <c r="I7" s="42" t="s">
        <v>20</v>
      </c>
      <c r="J7" s="40">
        <v>78.260869565217391</v>
      </c>
      <c r="K7" s="40"/>
      <c r="T7" s="52"/>
      <c r="U7" s="53">
        <f>SUM(U2:U6)</f>
        <v>126</v>
      </c>
      <c r="V7" s="54">
        <f>SUM(V2:V6)</f>
        <v>0.99999999999999989</v>
      </c>
    </row>
    <row r="8" spans="1:24" x14ac:dyDescent="0.2">
      <c r="A8" t="s">
        <v>15</v>
      </c>
      <c r="B8" t="s">
        <v>8</v>
      </c>
      <c r="C8">
        <v>1</v>
      </c>
      <c r="D8" s="50">
        <f>VLOOKUP(A8,$M$1:$W$8,6,FALSE)</f>
        <v>1</v>
      </c>
      <c r="E8">
        <f>VLOOKUP(A8,$M$1:$W$8,5,FALSE)</f>
        <v>50</v>
      </c>
      <c r="F8" s="46">
        <f t="shared" si="0"/>
        <v>1.2</v>
      </c>
      <c r="G8">
        <v>60</v>
      </c>
      <c r="H8" s="45">
        <f t="shared" si="1"/>
        <v>72</v>
      </c>
      <c r="I8" s="42" t="s">
        <v>8</v>
      </c>
      <c r="J8" s="40">
        <v>171.26086956521738</v>
      </c>
      <c r="K8" s="40"/>
    </row>
    <row r="9" spans="1:24" x14ac:dyDescent="0.2">
      <c r="A9" t="s">
        <v>15</v>
      </c>
      <c r="B9" t="s">
        <v>20</v>
      </c>
      <c r="C9">
        <v>1</v>
      </c>
      <c r="D9" s="50">
        <f>VLOOKUP(A9,$M$1:$W$8,6,FALSE)</f>
        <v>1</v>
      </c>
      <c r="E9">
        <f>VLOOKUP(A9,$M$1:$W$8,5,FALSE)</f>
        <v>50</v>
      </c>
      <c r="F9" s="46">
        <f t="shared" si="0"/>
        <v>1.2</v>
      </c>
      <c r="G9">
        <v>60</v>
      </c>
      <c r="H9" s="45">
        <f t="shared" si="1"/>
        <v>72</v>
      </c>
      <c r="I9" s="42" t="s">
        <v>55</v>
      </c>
      <c r="J9" s="40">
        <v>1682.0434782608695</v>
      </c>
      <c r="K9" s="40"/>
    </row>
    <row r="10" spans="1:24" ht="16" thickBot="1" x14ac:dyDescent="0.25">
      <c r="A10" t="s">
        <v>15</v>
      </c>
      <c r="B10" t="s">
        <v>10</v>
      </c>
      <c r="C10">
        <v>1</v>
      </c>
      <c r="D10" s="51">
        <f>VLOOKUP(A10,$M$1:$W$8,6,FALSE)</f>
        <v>1</v>
      </c>
      <c r="E10">
        <f>VLOOKUP(A10,$M$1:$W$8,5,FALSE)</f>
        <v>50</v>
      </c>
      <c r="F10" s="46">
        <f t="shared" si="0"/>
        <v>1.2</v>
      </c>
      <c r="G10">
        <v>60</v>
      </c>
      <c r="H10" s="45">
        <f t="shared" si="1"/>
        <v>72</v>
      </c>
    </row>
    <row r="11" spans="1:24" x14ac:dyDescent="0.2">
      <c r="A11" t="s">
        <v>27</v>
      </c>
      <c r="B11" t="s">
        <v>4</v>
      </c>
      <c r="C11">
        <v>1</v>
      </c>
      <c r="D11" s="49">
        <f>VLOOKUP(A11,$M$1:$W$8,6,FALSE)</f>
        <v>2</v>
      </c>
      <c r="E11">
        <f>VLOOKUP(A11,$M$1:$W$8,5,FALSE)</f>
        <v>78</v>
      </c>
      <c r="F11" s="46">
        <f t="shared" si="0"/>
        <v>0.76923076923076927</v>
      </c>
      <c r="G11">
        <v>60</v>
      </c>
      <c r="H11" s="45">
        <f t="shared" si="1"/>
        <v>92.307692307692307</v>
      </c>
    </row>
    <row r="12" spans="1:24" x14ac:dyDescent="0.2">
      <c r="A12" t="s">
        <v>27</v>
      </c>
      <c r="B12" t="s">
        <v>18</v>
      </c>
      <c r="C12">
        <v>1</v>
      </c>
      <c r="D12" s="50">
        <f>VLOOKUP(A12,$M$1:$W$8,6,FALSE)</f>
        <v>2</v>
      </c>
      <c r="E12">
        <f>VLOOKUP(A12,$M$1:$W$8,5,FALSE)</f>
        <v>78</v>
      </c>
      <c r="F12" s="46">
        <f t="shared" si="0"/>
        <v>0.76923076923076927</v>
      </c>
      <c r="G12">
        <v>60</v>
      </c>
      <c r="H12" s="45">
        <f t="shared" si="1"/>
        <v>92.307692307692307</v>
      </c>
    </row>
    <row r="13" spans="1:24" x14ac:dyDescent="0.2">
      <c r="A13" t="s">
        <v>27</v>
      </c>
      <c r="B13" t="s">
        <v>19</v>
      </c>
      <c r="C13">
        <v>1</v>
      </c>
      <c r="D13" s="50">
        <f>VLOOKUP(A13,$M$1:$W$8,6,FALSE)</f>
        <v>2</v>
      </c>
      <c r="E13">
        <f>VLOOKUP(A13,$M$1:$W$8,5,FALSE)</f>
        <v>78</v>
      </c>
      <c r="F13" s="46">
        <f t="shared" si="0"/>
        <v>0.76923076923076927</v>
      </c>
      <c r="G13">
        <v>60</v>
      </c>
      <c r="H13" s="45">
        <f t="shared" si="1"/>
        <v>92.307692307692307</v>
      </c>
    </row>
    <row r="14" spans="1:24" ht="16" thickBot="1" x14ac:dyDescent="0.25">
      <c r="A14" t="s">
        <v>27</v>
      </c>
      <c r="B14" t="s">
        <v>10</v>
      </c>
      <c r="C14">
        <v>1</v>
      </c>
      <c r="D14" s="51">
        <f>VLOOKUP(A14,$M$1:$W$8,6,FALSE)</f>
        <v>2</v>
      </c>
      <c r="E14">
        <f>VLOOKUP(A14,$M$1:$W$8,5,FALSE)</f>
        <v>78</v>
      </c>
      <c r="F14" s="46">
        <f t="shared" si="0"/>
        <v>0.76923076923076927</v>
      </c>
      <c r="G14">
        <v>60</v>
      </c>
      <c r="H14" s="45">
        <f t="shared" si="1"/>
        <v>92.307692307692307</v>
      </c>
    </row>
    <row r="15" spans="1:24" x14ac:dyDescent="0.2">
      <c r="A15" t="s">
        <v>16</v>
      </c>
      <c r="B15" t="s">
        <v>4</v>
      </c>
      <c r="C15">
        <v>1</v>
      </c>
      <c r="D15" s="49">
        <f>VLOOKUP(A15,$M$1:$W$8,6,FALSE)</f>
        <v>1</v>
      </c>
      <c r="E15">
        <f>VLOOKUP(A15,$M$1:$W$8,5,FALSE)</f>
        <v>30</v>
      </c>
      <c r="F15" s="46">
        <f t="shared" si="0"/>
        <v>2</v>
      </c>
      <c r="G15">
        <v>60</v>
      </c>
      <c r="H15" s="45">
        <f t="shared" si="1"/>
        <v>120</v>
      </c>
    </row>
    <row r="16" spans="1:24" x14ac:dyDescent="0.2">
      <c r="A16" t="s">
        <v>16</v>
      </c>
      <c r="B16" t="s">
        <v>18</v>
      </c>
      <c r="C16">
        <v>1</v>
      </c>
      <c r="D16" s="50">
        <f>VLOOKUP(A16,$M$1:$W$8,6,FALSE)</f>
        <v>1</v>
      </c>
      <c r="E16">
        <f>VLOOKUP(A16,$M$1:$W$8,5,FALSE)</f>
        <v>30</v>
      </c>
      <c r="F16" s="46">
        <f t="shared" si="0"/>
        <v>2</v>
      </c>
      <c r="G16">
        <v>60</v>
      </c>
      <c r="H16" s="45">
        <f t="shared" si="1"/>
        <v>120</v>
      </c>
    </row>
    <row r="17" spans="1:9" x14ac:dyDescent="0.2">
      <c r="A17" t="s">
        <v>16</v>
      </c>
      <c r="B17" t="s">
        <v>19</v>
      </c>
      <c r="C17">
        <v>1</v>
      </c>
      <c r="D17" s="50">
        <f>VLOOKUP(A17,$M$1:$W$8,6,FALSE)</f>
        <v>1</v>
      </c>
      <c r="E17">
        <f>VLOOKUP(A17,$M$1:$W$8,5,FALSE)</f>
        <v>30</v>
      </c>
      <c r="F17" s="46">
        <f t="shared" si="0"/>
        <v>2</v>
      </c>
      <c r="G17">
        <v>60</v>
      </c>
      <c r="H17" s="45">
        <f t="shared" si="1"/>
        <v>120</v>
      </c>
    </row>
    <row r="18" spans="1:9" x14ac:dyDescent="0.2">
      <c r="A18" t="s">
        <v>16</v>
      </c>
      <c r="B18" t="s">
        <v>7</v>
      </c>
      <c r="C18">
        <v>1</v>
      </c>
      <c r="D18" s="50">
        <f>VLOOKUP(A18,$M$1:$W$8,6,FALSE)</f>
        <v>1</v>
      </c>
      <c r="E18">
        <f>VLOOKUP(A18,$M$1:$W$8,5,FALSE)</f>
        <v>30</v>
      </c>
      <c r="F18" s="46">
        <f t="shared" si="0"/>
        <v>2</v>
      </c>
      <c r="G18">
        <v>60</v>
      </c>
      <c r="H18" s="45">
        <f t="shared" si="1"/>
        <v>120</v>
      </c>
    </row>
    <row r="19" spans="1:9" ht="16" thickBot="1" x14ac:dyDescent="0.25">
      <c r="A19" t="s">
        <v>16</v>
      </c>
      <c r="B19" t="s">
        <v>10</v>
      </c>
      <c r="C19">
        <v>1</v>
      </c>
      <c r="D19" s="51">
        <f>VLOOKUP(A19,$M$1:$W$8,6,FALSE)</f>
        <v>1</v>
      </c>
      <c r="E19">
        <f>VLOOKUP(A19,$M$1:$W$8,5,FALSE)</f>
        <v>30</v>
      </c>
      <c r="F19" s="46">
        <f t="shared" si="0"/>
        <v>2</v>
      </c>
      <c r="G19">
        <v>60</v>
      </c>
      <c r="H19" s="45">
        <f t="shared" si="1"/>
        <v>120</v>
      </c>
    </row>
    <row r="20" spans="1:9" x14ac:dyDescent="0.2">
      <c r="A20" t="s">
        <v>17</v>
      </c>
      <c r="B20" t="s">
        <v>4</v>
      </c>
      <c r="C20">
        <v>1</v>
      </c>
      <c r="D20" s="49">
        <f>VLOOKUP(A20,$M$1:$W$8,6,FALSE)</f>
        <v>2</v>
      </c>
      <c r="E20">
        <f>VLOOKUP(A20,$M$1:$W$8,5,FALSE)</f>
        <v>150</v>
      </c>
      <c r="F20" s="46">
        <f t="shared" si="0"/>
        <v>0.4</v>
      </c>
      <c r="G20">
        <v>60</v>
      </c>
      <c r="H20" s="45">
        <f t="shared" si="1"/>
        <v>48</v>
      </c>
    </row>
    <row r="21" spans="1:9" x14ac:dyDescent="0.2">
      <c r="A21" t="s">
        <v>17</v>
      </c>
      <c r="B21" t="s">
        <v>8</v>
      </c>
      <c r="C21">
        <v>1</v>
      </c>
      <c r="D21" s="50">
        <f>VLOOKUP(A21,$M$1:$W$8,6,FALSE)</f>
        <v>2</v>
      </c>
      <c r="E21">
        <f>VLOOKUP(A21,$M$1:$W$8,5,FALSE)</f>
        <v>150</v>
      </c>
      <c r="F21" s="46">
        <f t="shared" si="0"/>
        <v>0.4</v>
      </c>
      <c r="G21">
        <v>60</v>
      </c>
      <c r="H21" s="45">
        <f t="shared" si="1"/>
        <v>48</v>
      </c>
    </row>
    <row r="22" spans="1:9" ht="16" thickBot="1" x14ac:dyDescent="0.25">
      <c r="A22" t="s">
        <v>17</v>
      </c>
      <c r="B22" t="s">
        <v>10</v>
      </c>
      <c r="C22">
        <v>1</v>
      </c>
      <c r="D22" s="51">
        <f>VLOOKUP(A22,$M$1:$W$8,6,FALSE)</f>
        <v>2</v>
      </c>
      <c r="E22">
        <f>VLOOKUP(A22,$M$1:$W$8,5,FALSE)</f>
        <v>150</v>
      </c>
      <c r="F22" s="46">
        <f t="shared" si="0"/>
        <v>0.4</v>
      </c>
      <c r="G22">
        <v>60</v>
      </c>
      <c r="H22" s="45">
        <f t="shared" si="1"/>
        <v>48</v>
      </c>
    </row>
    <row r="25" spans="1:9" ht="19" x14ac:dyDescent="0.25">
      <c r="A25" s="56" t="s">
        <v>56</v>
      </c>
      <c r="C25" t="s">
        <v>68</v>
      </c>
      <c r="G25" t="s">
        <v>74</v>
      </c>
    </row>
    <row r="26" spans="1:9" ht="20" thickBot="1" x14ac:dyDescent="0.25">
      <c r="A26" s="5" t="s">
        <v>4</v>
      </c>
      <c r="B26" s="6">
        <v>422</v>
      </c>
      <c r="C26" s="45">
        <f>GETPIVOTDATA("Итого",$I$1,"transaction rq",A26)</f>
        <v>391.26086956521738</v>
      </c>
      <c r="D26" s="47">
        <f>1-B26/C26</f>
        <v>-7.856428492054679E-2</v>
      </c>
      <c r="G26" s="55">
        <f>C26/6</f>
        <v>65.210144927536234</v>
      </c>
      <c r="H26" s="55">
        <v>63</v>
      </c>
      <c r="I26" s="47">
        <f>1-G26/H26</f>
        <v>-3.5081665516448091E-2</v>
      </c>
    </row>
    <row r="27" spans="1:9" ht="39" thickBot="1" x14ac:dyDescent="0.25">
      <c r="A27" s="5" t="s">
        <v>18</v>
      </c>
      <c r="B27" s="6">
        <v>282</v>
      </c>
      <c r="C27" s="45">
        <f t="shared" ref="C27:C32" si="6">GETPIVOTDATA("Итого",$I$1,"transaction rq",A27)</f>
        <v>265</v>
      </c>
      <c r="D27" s="47">
        <f t="shared" ref="D27:D33" si="7">1-B27/C27</f>
        <v>-6.4150943396226401E-2</v>
      </c>
      <c r="G27" s="55">
        <f t="shared" ref="G27:G32" si="8">C27/6</f>
        <v>44.166666666666664</v>
      </c>
      <c r="H27" s="55">
        <v>42</v>
      </c>
      <c r="I27" s="47">
        <f t="shared" ref="I27:I32" si="9">1-G27/H27</f>
        <v>-5.1587301587301626E-2</v>
      </c>
    </row>
    <row r="28" spans="1:9" ht="39" thickBot="1" x14ac:dyDescent="0.25">
      <c r="A28" s="5" t="s">
        <v>19</v>
      </c>
      <c r="B28" s="6">
        <v>251</v>
      </c>
      <c r="C28" s="45">
        <f t="shared" si="6"/>
        <v>265</v>
      </c>
      <c r="D28" s="47">
        <f t="shared" si="7"/>
        <v>5.2830188679245271E-2</v>
      </c>
      <c r="G28" s="55">
        <f t="shared" si="8"/>
        <v>44.166666666666664</v>
      </c>
      <c r="H28" s="55">
        <v>42</v>
      </c>
      <c r="I28" s="47">
        <f t="shared" si="9"/>
        <v>-5.1587301587301626E-2</v>
      </c>
    </row>
    <row r="29" spans="1:9" ht="20" thickBot="1" x14ac:dyDescent="0.25">
      <c r="A29" s="5" t="s">
        <v>7</v>
      </c>
      <c r="B29" s="6">
        <v>175</v>
      </c>
      <c r="C29" s="45">
        <f t="shared" si="6"/>
        <v>165</v>
      </c>
      <c r="D29" s="47">
        <f t="shared" si="7"/>
        <v>-6.0606060606060552E-2</v>
      </c>
      <c r="G29" s="55">
        <f t="shared" si="8"/>
        <v>27.5</v>
      </c>
      <c r="H29" s="55">
        <v>27</v>
      </c>
      <c r="I29" s="47">
        <f t="shared" si="9"/>
        <v>-1.8518518518518601E-2</v>
      </c>
    </row>
    <row r="30" spans="1:9" ht="20" thickBot="1" x14ac:dyDescent="0.25">
      <c r="A30" s="5" t="s">
        <v>8</v>
      </c>
      <c r="B30" s="6">
        <v>159</v>
      </c>
      <c r="C30" s="45">
        <f t="shared" si="6"/>
        <v>171.26086956521738</v>
      </c>
      <c r="D30" s="47">
        <f t="shared" si="7"/>
        <v>7.1591774562071553E-2</v>
      </c>
      <c r="G30" s="55">
        <f t="shared" si="8"/>
        <v>28.543478260869563</v>
      </c>
      <c r="H30" s="55">
        <v>29</v>
      </c>
      <c r="I30" s="47">
        <f t="shared" si="9"/>
        <v>1.5742128935532285E-2</v>
      </c>
    </row>
    <row r="31" spans="1:9" ht="39" thickBot="1" x14ac:dyDescent="0.25">
      <c r="A31" s="5" t="s">
        <v>20</v>
      </c>
      <c r="B31" s="6">
        <v>73</v>
      </c>
      <c r="C31" s="45">
        <f t="shared" si="6"/>
        <v>78.260869565217391</v>
      </c>
      <c r="D31" s="47">
        <f t="shared" si="7"/>
        <v>6.7222222222222183E-2</v>
      </c>
      <c r="G31" s="55">
        <f>C31/6</f>
        <v>13.043478260869565</v>
      </c>
      <c r="H31" s="55">
        <v>13</v>
      </c>
      <c r="I31" s="47">
        <f t="shared" si="9"/>
        <v>-3.3444816053511683E-3</v>
      </c>
    </row>
    <row r="32" spans="1:9" ht="20" thickBot="1" x14ac:dyDescent="0.25">
      <c r="A32" s="5" t="s">
        <v>10</v>
      </c>
      <c r="B32" s="6">
        <v>326</v>
      </c>
      <c r="C32" s="45">
        <f t="shared" si="6"/>
        <v>346.26086956521738</v>
      </c>
      <c r="D32" s="47">
        <f t="shared" si="7"/>
        <v>5.8513309894525301E-2</v>
      </c>
      <c r="G32" s="55">
        <f t="shared" si="8"/>
        <v>57.710144927536227</v>
      </c>
      <c r="H32" s="55">
        <v>56</v>
      </c>
      <c r="I32" s="47">
        <f t="shared" si="9"/>
        <v>-3.0538302277432594E-2</v>
      </c>
    </row>
    <row r="33" spans="1:5" ht="20" thickBot="1" x14ac:dyDescent="0.25">
      <c r="A33" s="8" t="s">
        <v>11</v>
      </c>
      <c r="B33" s="6">
        <v>1688</v>
      </c>
      <c r="C33" s="48">
        <f>SUM(C26:C32)</f>
        <v>1682.04347826087</v>
      </c>
      <c r="D33" s="47">
        <f t="shared" si="7"/>
        <v>-3.5412412438284857E-3</v>
      </c>
      <c r="E3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19" workbookViewId="0">
      <selection activeCell="I41" sqref="I41"/>
    </sheetView>
  </sheetViews>
  <sheetFormatPr baseColWidth="10" defaultColWidth="8.83203125" defaultRowHeight="15" x14ac:dyDescent="0.2"/>
  <cols>
    <col min="2" max="2" width="4.5" customWidth="1"/>
    <col min="3" max="4" width="9.1640625" hidden="1" customWidth="1"/>
    <col min="5" max="5" width="20.5" customWidth="1"/>
    <col min="6" max="6" width="18.83203125" customWidth="1"/>
    <col min="7" max="7" width="15.33203125" customWidth="1"/>
    <col min="8" max="8" width="15.1640625" customWidth="1"/>
    <col min="9" max="9" width="14" customWidth="1"/>
    <col min="11" max="11" width="1.5" customWidth="1"/>
    <col min="12" max="12" width="40.33203125" customWidth="1"/>
    <col min="13" max="13" width="6" bestFit="1" customWidth="1"/>
    <col min="14" max="14" width="4.1640625" bestFit="1" customWidth="1"/>
    <col min="15" max="15" width="5" bestFit="1" customWidth="1"/>
    <col min="16" max="16" width="14.1640625" bestFit="1" customWidth="1"/>
    <col min="17" max="17" width="19.5" bestFit="1" customWidth="1"/>
  </cols>
  <sheetData>
    <row r="9" spans="5:9" x14ac:dyDescent="0.2">
      <c r="E9" s="39" t="s">
        <v>47</v>
      </c>
      <c r="F9" s="39"/>
      <c r="G9" s="39"/>
      <c r="H9" s="39"/>
      <c r="I9" s="39"/>
    </row>
    <row r="11" spans="5:9" ht="30" x14ac:dyDescent="0.2">
      <c r="E11" s="24" t="s">
        <v>28</v>
      </c>
      <c r="F11" s="24" t="s">
        <v>29</v>
      </c>
      <c r="G11" s="24" t="s">
        <v>30</v>
      </c>
      <c r="H11" s="24" t="s">
        <v>31</v>
      </c>
      <c r="I11" s="24" t="s">
        <v>32</v>
      </c>
    </row>
    <row r="12" spans="5:9" ht="17" x14ac:dyDescent="0.2">
      <c r="E12" s="25" t="s">
        <v>4</v>
      </c>
      <c r="F12" s="26" t="s">
        <v>38</v>
      </c>
      <c r="G12" s="27">
        <v>368</v>
      </c>
      <c r="H12" s="26">
        <f>121*3</f>
        <v>363</v>
      </c>
      <c r="I12" s="28">
        <f>1-G12/H12</f>
        <v>-1.377410468319562E-2</v>
      </c>
    </row>
    <row r="13" spans="5:9" ht="34" x14ac:dyDescent="0.2">
      <c r="E13" s="25" t="s">
        <v>5</v>
      </c>
      <c r="F13" s="26" t="s">
        <v>37</v>
      </c>
      <c r="G13" s="27">
        <v>251</v>
      </c>
      <c r="H13" s="26">
        <f>82*3</f>
        <v>246</v>
      </c>
      <c r="I13" s="28">
        <f t="shared" ref="I13:I18" si="0">1-G13/H13</f>
        <v>-2.0325203252032464E-2</v>
      </c>
    </row>
    <row r="14" spans="5:9" ht="34" x14ac:dyDescent="0.2">
      <c r="E14" s="25" t="s">
        <v>6</v>
      </c>
      <c r="F14" s="26" t="s">
        <v>40</v>
      </c>
      <c r="G14" s="27">
        <v>251</v>
      </c>
      <c r="H14" s="26">
        <f>82*3</f>
        <v>246</v>
      </c>
      <c r="I14" s="28">
        <f t="shared" si="0"/>
        <v>-2.0325203252032464E-2</v>
      </c>
    </row>
    <row r="15" spans="5:9" ht="17" x14ac:dyDescent="0.2">
      <c r="E15" s="25" t="s">
        <v>7</v>
      </c>
      <c r="F15" s="26" t="s">
        <v>33</v>
      </c>
      <c r="G15" s="27">
        <v>175</v>
      </c>
      <c r="H15" s="26">
        <f>56*3</f>
        <v>168</v>
      </c>
      <c r="I15" s="29">
        <f t="shared" si="0"/>
        <v>-4.1666666666666741E-2</v>
      </c>
    </row>
    <row r="16" spans="5:9" ht="34" x14ac:dyDescent="0.2">
      <c r="E16" s="25" t="s">
        <v>34</v>
      </c>
      <c r="F16" s="26" t="s">
        <v>36</v>
      </c>
      <c r="G16" s="27">
        <v>159</v>
      </c>
      <c r="H16" s="27">
        <f>56*3</f>
        <v>168</v>
      </c>
      <c r="I16" s="28">
        <f t="shared" si="0"/>
        <v>5.3571428571428603E-2</v>
      </c>
    </row>
    <row r="17" spans="5:9" ht="51" x14ac:dyDescent="0.2">
      <c r="E17" s="25" t="s">
        <v>9</v>
      </c>
      <c r="F17" s="26" t="s">
        <v>35</v>
      </c>
      <c r="G17" s="27">
        <v>73</v>
      </c>
      <c r="H17" s="26">
        <f>25*3</f>
        <v>75</v>
      </c>
      <c r="I17" s="28">
        <f t="shared" si="0"/>
        <v>2.6666666666666616E-2</v>
      </c>
    </row>
    <row r="18" spans="5:9" ht="17" x14ac:dyDescent="0.2">
      <c r="E18" s="25" t="s">
        <v>10</v>
      </c>
      <c r="F18" s="26" t="s">
        <v>39</v>
      </c>
      <c r="G18" s="27">
        <v>326</v>
      </c>
      <c r="H18" s="26">
        <f>104*3</f>
        <v>312</v>
      </c>
      <c r="I18" s="28">
        <f t="shared" si="0"/>
        <v>-4.4871794871794934E-2</v>
      </c>
    </row>
    <row r="23" spans="5:9" x14ac:dyDescent="0.2">
      <c r="E23" s="39" t="s">
        <v>45</v>
      </c>
      <c r="F23" s="39"/>
      <c r="G23" s="39"/>
      <c r="H23" s="39"/>
      <c r="I23" s="39"/>
    </row>
    <row r="25" spans="5:9" x14ac:dyDescent="0.2">
      <c r="E25" s="31" t="s">
        <v>28</v>
      </c>
      <c r="F25" s="31" t="s">
        <v>29</v>
      </c>
      <c r="G25" s="31" t="s">
        <v>30</v>
      </c>
      <c r="H25" s="31" t="s">
        <v>31</v>
      </c>
      <c r="I25" s="31" t="s">
        <v>32</v>
      </c>
    </row>
    <row r="26" spans="5:9" ht="16" x14ac:dyDescent="0.2">
      <c r="E26" s="36" t="s">
        <v>4</v>
      </c>
      <c r="F26" s="35" t="s">
        <v>38</v>
      </c>
      <c r="G26" s="33">
        <f>5*368</f>
        <v>1840</v>
      </c>
      <c r="H26" s="32">
        <f>721*3</f>
        <v>2163</v>
      </c>
      <c r="I26" s="34">
        <f>1-G26/H26</f>
        <v>0.14932963476652794</v>
      </c>
    </row>
    <row r="27" spans="5:9" ht="16" x14ac:dyDescent="0.2">
      <c r="E27" s="36" t="s">
        <v>5</v>
      </c>
      <c r="F27" s="35" t="s">
        <v>37</v>
      </c>
      <c r="G27" s="33">
        <f>5*251</f>
        <v>1255</v>
      </c>
      <c r="H27" s="32">
        <f>3*464</f>
        <v>1392</v>
      </c>
      <c r="I27" s="34">
        <f t="shared" ref="I27:I32" si="1">1-G27/H27</f>
        <v>9.8419540229885083E-2</v>
      </c>
    </row>
    <row r="28" spans="5:9" ht="16" x14ac:dyDescent="0.2">
      <c r="E28" s="36" t="s">
        <v>6</v>
      </c>
      <c r="F28" s="35" t="s">
        <v>40</v>
      </c>
      <c r="G28" s="33">
        <f>5*251</f>
        <v>1255</v>
      </c>
      <c r="H28" s="32">
        <f>3*462</f>
        <v>1386</v>
      </c>
      <c r="I28" s="34">
        <f t="shared" si="1"/>
        <v>9.4516594516594554E-2</v>
      </c>
    </row>
    <row r="29" spans="5:9" ht="16" x14ac:dyDescent="0.2">
      <c r="E29" s="36" t="s">
        <v>7</v>
      </c>
      <c r="F29" s="35" t="s">
        <v>33</v>
      </c>
      <c r="G29" s="33">
        <f>5*175</f>
        <v>875</v>
      </c>
      <c r="H29" s="32">
        <f>3*314</f>
        <v>942</v>
      </c>
      <c r="I29" s="30">
        <f t="shared" si="1"/>
        <v>7.1125265392781301E-2</v>
      </c>
    </row>
    <row r="30" spans="5:9" ht="16" x14ac:dyDescent="0.2">
      <c r="E30" s="36" t="s">
        <v>34</v>
      </c>
      <c r="F30" s="35" t="s">
        <v>36</v>
      </c>
      <c r="G30" s="33">
        <f>5*159</f>
        <v>795</v>
      </c>
      <c r="H30" s="32">
        <f>3*330</f>
        <v>990</v>
      </c>
      <c r="I30" s="34">
        <f t="shared" si="1"/>
        <v>0.19696969696969702</v>
      </c>
    </row>
    <row r="31" spans="5:9" ht="16" x14ac:dyDescent="0.2">
      <c r="E31" s="36" t="s">
        <v>9</v>
      </c>
      <c r="F31" s="35" t="s">
        <v>35</v>
      </c>
      <c r="G31" s="33">
        <f>5*73</f>
        <v>365</v>
      </c>
      <c r="H31" s="32">
        <f>3*141</f>
        <v>423</v>
      </c>
      <c r="I31" s="34">
        <f t="shared" si="1"/>
        <v>0.13711583924349879</v>
      </c>
    </row>
    <row r="32" spans="5:9" ht="16" x14ac:dyDescent="0.2">
      <c r="E32" s="36" t="s">
        <v>10</v>
      </c>
      <c r="F32" s="35" t="s">
        <v>39</v>
      </c>
      <c r="G32" s="33">
        <f>5*326</f>
        <v>1630</v>
      </c>
      <c r="H32" s="32">
        <f>3*599</f>
        <v>1797</v>
      </c>
      <c r="I32" s="34">
        <f t="shared" si="1"/>
        <v>9.2932665553700611E-2</v>
      </c>
    </row>
    <row r="35" spans="5:15" x14ac:dyDescent="0.2">
      <c r="E35" s="39" t="s">
        <v>46</v>
      </c>
      <c r="F35" s="39"/>
      <c r="G35" s="39"/>
      <c r="H35" s="39"/>
      <c r="I35" s="39"/>
    </row>
    <row r="37" spans="5:15" x14ac:dyDescent="0.2">
      <c r="E37" s="31" t="s">
        <v>28</v>
      </c>
      <c r="F37" s="31" t="s">
        <v>29</v>
      </c>
      <c r="G37" s="31" t="s">
        <v>30</v>
      </c>
      <c r="H37" s="31" t="s">
        <v>31</v>
      </c>
      <c r="I37" s="31" t="s">
        <v>32</v>
      </c>
      <c r="L37" s="37" t="s">
        <v>41</v>
      </c>
      <c r="M37" s="37" t="s">
        <v>42</v>
      </c>
      <c r="N37" s="37" t="s">
        <v>43</v>
      </c>
      <c r="O37" s="37" t="s">
        <v>44</v>
      </c>
    </row>
    <row r="38" spans="5:15" ht="16" x14ac:dyDescent="0.2">
      <c r="E38" s="36" t="s">
        <v>4</v>
      </c>
      <c r="F38" s="35" t="s">
        <v>38</v>
      </c>
      <c r="G38" s="33">
        <f>5*368</f>
        <v>1840</v>
      </c>
      <c r="H38" s="32">
        <v>2109</v>
      </c>
      <c r="I38" s="34">
        <f>1-G38/H38</f>
        <v>0.12754860123281175</v>
      </c>
      <c r="L38" s="37" t="s">
        <v>35</v>
      </c>
      <c r="M38" s="37">
        <v>377</v>
      </c>
      <c r="N38" s="37">
        <v>27</v>
      </c>
      <c r="O38" s="37">
        <v>0</v>
      </c>
    </row>
    <row r="39" spans="5:15" ht="16" x14ac:dyDescent="0.2">
      <c r="E39" s="36" t="s">
        <v>5</v>
      </c>
      <c r="F39" s="35" t="s">
        <v>37</v>
      </c>
      <c r="G39" s="33">
        <f>5*251</f>
        <v>1255</v>
      </c>
      <c r="H39" s="37">
        <v>1315</v>
      </c>
      <c r="I39" s="34">
        <f t="shared" ref="I39:I44" si="2">1-G39/H39</f>
        <v>4.5627376425855459E-2</v>
      </c>
      <c r="L39" s="37" t="s">
        <v>36</v>
      </c>
      <c r="M39" s="37">
        <v>998</v>
      </c>
      <c r="N39" s="37">
        <v>1</v>
      </c>
      <c r="O39" s="37">
        <v>0</v>
      </c>
    </row>
    <row r="40" spans="5:15" ht="16" x14ac:dyDescent="0.2">
      <c r="E40" s="36" t="s">
        <v>6</v>
      </c>
      <c r="F40" s="35" t="s">
        <v>40</v>
      </c>
      <c r="G40" s="33">
        <f>5*251</f>
        <v>1255</v>
      </c>
      <c r="H40" s="32">
        <v>1315</v>
      </c>
      <c r="I40" s="34">
        <f t="shared" si="2"/>
        <v>4.5627376425855459E-2</v>
      </c>
      <c r="L40" s="37" t="s">
        <v>37</v>
      </c>
      <c r="M40" s="37" t="s">
        <v>48</v>
      </c>
      <c r="N40" s="37">
        <v>0</v>
      </c>
      <c r="O40" s="37">
        <v>0</v>
      </c>
    </row>
    <row r="41" spans="5:15" ht="16" x14ac:dyDescent="0.2">
      <c r="E41" s="36" t="s">
        <v>7</v>
      </c>
      <c r="F41" s="35" t="s">
        <v>33</v>
      </c>
      <c r="G41" s="33">
        <f>5*175</f>
        <v>875</v>
      </c>
      <c r="H41" s="37">
        <v>924</v>
      </c>
      <c r="I41" s="30">
        <f t="shared" si="2"/>
        <v>5.3030303030302983E-2</v>
      </c>
      <c r="L41" s="37" t="s">
        <v>38</v>
      </c>
      <c r="M41" s="37" t="s">
        <v>49</v>
      </c>
      <c r="N41" s="37">
        <v>139</v>
      </c>
      <c r="O41" s="37">
        <v>0</v>
      </c>
    </row>
    <row r="42" spans="5:15" ht="16" x14ac:dyDescent="0.2">
      <c r="E42" s="36" t="s">
        <v>34</v>
      </c>
      <c r="F42" s="35" t="s">
        <v>36</v>
      </c>
      <c r="G42" s="33">
        <f>5*159</f>
        <v>795</v>
      </c>
      <c r="H42" s="37">
        <v>998</v>
      </c>
      <c r="I42" s="34">
        <f t="shared" si="2"/>
        <v>0.20340681362725455</v>
      </c>
      <c r="L42" s="37" t="s">
        <v>39</v>
      </c>
      <c r="M42" s="37" t="s">
        <v>50</v>
      </c>
      <c r="N42" s="37">
        <v>1</v>
      </c>
      <c r="O42" s="37">
        <v>0</v>
      </c>
    </row>
    <row r="43" spans="5:15" ht="16" x14ac:dyDescent="0.2">
      <c r="E43" s="36" t="s">
        <v>9</v>
      </c>
      <c r="F43" s="35" t="s">
        <v>35</v>
      </c>
      <c r="G43" s="33">
        <f>5*73</f>
        <v>365</v>
      </c>
      <c r="H43" s="37">
        <v>404</v>
      </c>
      <c r="I43" s="34">
        <f t="shared" si="2"/>
        <v>9.6534653465346509E-2</v>
      </c>
      <c r="L43" s="37" t="s">
        <v>33</v>
      </c>
      <c r="M43" s="37">
        <v>924</v>
      </c>
      <c r="N43" s="37">
        <v>0</v>
      </c>
      <c r="O43" s="37">
        <v>0</v>
      </c>
    </row>
    <row r="44" spans="5:15" ht="16" x14ac:dyDescent="0.2">
      <c r="E44" s="36" t="s">
        <v>10</v>
      </c>
      <c r="F44" s="35" t="s">
        <v>39</v>
      </c>
      <c r="G44" s="33">
        <f>5*326</f>
        <v>1630</v>
      </c>
      <c r="H44" s="32">
        <v>1675</v>
      </c>
      <c r="I44" s="34">
        <f t="shared" si="2"/>
        <v>2.68656716417911E-2</v>
      </c>
      <c r="L44" s="37" t="s">
        <v>40</v>
      </c>
      <c r="M44" s="37" t="s">
        <v>48</v>
      </c>
      <c r="N44" s="37">
        <v>0</v>
      </c>
      <c r="O44" s="37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Ручной расчет</vt:lpstr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Microsoft Office User</cp:lastModifiedBy>
  <dcterms:created xsi:type="dcterms:W3CDTF">2015-06-05T18:19:34Z</dcterms:created>
  <dcterms:modified xsi:type="dcterms:W3CDTF">2020-07-23T17:10:44Z</dcterms:modified>
</cp:coreProperties>
</file>