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sPecT\Documents\Appline_Study\Документация\"/>
    </mc:Choice>
  </mc:AlternateContent>
  <bookViews>
    <workbookView xWindow="0" yWindow="0" windowWidth="6885" windowHeight="6330" tabRatio="859"/>
  </bookViews>
  <sheets>
    <sheet name="Расчетная таблица" sheetId="1" r:id="rId1"/>
    <sheet name="Транзакции в профилях" sheetId="2" r:id="rId2"/>
    <sheet name="Итог Confirm Param" sheetId="3" r:id="rId3"/>
    <sheet name="Итог MaxLoad_2step" sheetId="6" r:id="rId4"/>
    <sheet name="Итог PeakLoad_3step" sheetId="7" r:id="rId5"/>
    <sheet name="Итог Stable" sheetId="8" r:id="rId6"/>
  </sheets>
  <definedNames>
    <definedName name="_xlnm._FilterDatabase" localSheetId="1" hidden="1">'Транзакции в профилях'!$A$3:$M$36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18" i="1"/>
  <c r="B19" i="3"/>
  <c r="B20" i="3"/>
  <c r="B21" i="3"/>
  <c r="B22" i="3"/>
  <c r="B23" i="3"/>
  <c r="B24" i="3"/>
  <c r="I20" i="3"/>
  <c r="I21" i="3"/>
  <c r="I22" i="3"/>
  <c r="I23" i="3"/>
  <c r="I24" i="3"/>
  <c r="I19" i="3"/>
  <c r="H24" i="3"/>
  <c r="H23" i="3"/>
  <c r="H22" i="3"/>
  <c r="H21" i="3"/>
  <c r="H20" i="3"/>
  <c r="H19" i="3"/>
  <c r="H5" i="6" l="1"/>
  <c r="E25" i="6"/>
  <c r="J18" i="6" s="1"/>
  <c r="E25" i="7"/>
  <c r="H15" i="7"/>
  <c r="K18" i="7" s="1"/>
  <c r="D15" i="3"/>
  <c r="D15" i="6"/>
  <c r="K22" i="8"/>
  <c r="J22" i="8"/>
  <c r="K21" i="8"/>
  <c r="J21" i="8"/>
  <c r="K20" i="8"/>
  <c r="J20" i="8"/>
  <c r="K19" i="8"/>
  <c r="J19" i="8"/>
  <c r="K22" i="7"/>
  <c r="J22" i="7"/>
  <c r="K21" i="7"/>
  <c r="J21" i="7"/>
  <c r="K21" i="6"/>
  <c r="J21" i="6"/>
  <c r="K18" i="8"/>
  <c r="J18" i="8"/>
  <c r="K20" i="7"/>
  <c r="J20" i="7"/>
  <c r="K19" i="7"/>
  <c r="J19" i="7"/>
  <c r="J18" i="7"/>
  <c r="K22" i="6"/>
  <c r="K20" i="6"/>
  <c r="K19" i="6"/>
  <c r="J22" i="6"/>
  <c r="J20" i="6"/>
  <c r="J19" i="6"/>
  <c r="K18" i="6"/>
  <c r="E20" i="8"/>
  <c r="E21" i="8"/>
  <c r="E22" i="8"/>
  <c r="E23" i="8"/>
  <c r="E24" i="8"/>
  <c r="E19" i="8"/>
  <c r="D6" i="8"/>
  <c r="D7" i="8"/>
  <c r="D8" i="8"/>
  <c r="D9" i="8"/>
  <c r="D10" i="8"/>
  <c r="D11" i="8"/>
  <c r="D12" i="8"/>
  <c r="D13" i="8"/>
  <c r="D14" i="8"/>
  <c r="D5" i="8"/>
  <c r="H6" i="8"/>
  <c r="H7" i="8"/>
  <c r="H8" i="8"/>
  <c r="H9" i="8"/>
  <c r="H10" i="8"/>
  <c r="H11" i="8"/>
  <c r="H12" i="8"/>
  <c r="H13" i="8"/>
  <c r="H14" i="8"/>
  <c r="H5" i="8"/>
  <c r="T44" i="7" l="1"/>
  <c r="S44" i="7"/>
  <c r="R44" i="7"/>
  <c r="Q44" i="7"/>
  <c r="P44" i="7"/>
  <c r="O44" i="7"/>
  <c r="N44" i="7"/>
  <c r="M44" i="7"/>
  <c r="T43" i="7"/>
  <c r="S43" i="7"/>
  <c r="R43" i="7"/>
  <c r="Q43" i="7"/>
  <c r="P43" i="7"/>
  <c r="O43" i="7"/>
  <c r="N43" i="7"/>
  <c r="M43" i="7"/>
  <c r="T42" i="7"/>
  <c r="S42" i="7"/>
  <c r="R42" i="7"/>
  <c r="Q42" i="7"/>
  <c r="P42" i="7"/>
  <c r="O42" i="7"/>
  <c r="N42" i="7"/>
  <c r="M42" i="7"/>
  <c r="T41" i="7"/>
  <c r="S41" i="7"/>
  <c r="R41" i="7"/>
  <c r="Q41" i="7"/>
  <c r="P41" i="7"/>
  <c r="O41" i="7"/>
  <c r="N41" i="7"/>
  <c r="M41" i="7"/>
  <c r="T40" i="7"/>
  <c r="S40" i="7"/>
  <c r="R40" i="7"/>
  <c r="Q40" i="7"/>
  <c r="P40" i="7"/>
  <c r="O40" i="7"/>
  <c r="N40" i="7"/>
  <c r="M40" i="7"/>
  <c r="T39" i="7"/>
  <c r="S39" i="7"/>
  <c r="R39" i="7"/>
  <c r="Q39" i="7"/>
  <c r="P39" i="7"/>
  <c r="O39" i="7"/>
  <c r="N39" i="7"/>
  <c r="M39" i="7"/>
  <c r="T38" i="7"/>
  <c r="S38" i="7"/>
  <c r="R38" i="7"/>
  <c r="Q38" i="7"/>
  <c r="P38" i="7"/>
  <c r="O38" i="7"/>
  <c r="N38" i="7"/>
  <c r="M38" i="7"/>
  <c r="T37" i="7"/>
  <c r="S37" i="7"/>
  <c r="R37" i="7"/>
  <c r="Q37" i="7"/>
  <c r="P37" i="7"/>
  <c r="O37" i="7"/>
  <c r="N37" i="7"/>
  <c r="M37" i="7"/>
  <c r="T36" i="7"/>
  <c r="S36" i="7"/>
  <c r="R36" i="7"/>
  <c r="Q36" i="7"/>
  <c r="P36" i="7"/>
  <c r="O36" i="7"/>
  <c r="N36" i="7"/>
  <c r="M36" i="7"/>
  <c r="T35" i="7"/>
  <c r="S35" i="7"/>
  <c r="R35" i="7"/>
  <c r="Q35" i="7"/>
  <c r="P35" i="7"/>
  <c r="O35" i="7"/>
  <c r="N35" i="7"/>
  <c r="M35" i="7"/>
  <c r="T34" i="7"/>
  <c r="S34" i="7"/>
  <c r="R34" i="7"/>
  <c r="Q34" i="7"/>
  <c r="P34" i="7"/>
  <c r="O34" i="7"/>
  <c r="N34" i="7"/>
  <c r="M34" i="7"/>
  <c r="T33" i="7"/>
  <c r="S33" i="7"/>
  <c r="R33" i="7"/>
  <c r="Q33" i="7"/>
  <c r="P33" i="7"/>
  <c r="O33" i="7"/>
  <c r="N33" i="7"/>
  <c r="M33" i="7"/>
  <c r="T32" i="7"/>
  <c r="S32" i="7"/>
  <c r="R32" i="7"/>
  <c r="Q32" i="7"/>
  <c r="P32" i="7"/>
  <c r="O32" i="7"/>
  <c r="N32" i="7"/>
  <c r="M32" i="7"/>
  <c r="T31" i="7"/>
  <c r="S31" i="7"/>
  <c r="R31" i="7"/>
  <c r="Q31" i="7"/>
  <c r="P31" i="7"/>
  <c r="O31" i="7"/>
  <c r="N31" i="7"/>
  <c r="M31" i="7"/>
  <c r="T30" i="7"/>
  <c r="S30" i="7"/>
  <c r="R30" i="7"/>
  <c r="Q30" i="7"/>
  <c r="P30" i="7"/>
  <c r="O30" i="7"/>
  <c r="N30" i="7"/>
  <c r="M30" i="7"/>
  <c r="T29" i="7"/>
  <c r="S29" i="7"/>
  <c r="R29" i="7"/>
  <c r="Q29" i="7"/>
  <c r="P29" i="7"/>
  <c r="O29" i="7"/>
  <c r="N29" i="7"/>
  <c r="M29" i="7"/>
  <c r="C24" i="8" l="1"/>
  <c r="B24" i="8"/>
  <c r="C23" i="8"/>
  <c r="B23" i="8"/>
  <c r="C22" i="8"/>
  <c r="B22" i="8"/>
  <c r="C21" i="8"/>
  <c r="B21" i="8"/>
  <c r="C20" i="8"/>
  <c r="B20" i="8"/>
  <c r="C19" i="8"/>
  <c r="B19" i="8"/>
  <c r="E15" i="8"/>
  <c r="C14" i="8"/>
  <c r="B14" i="8"/>
  <c r="C13" i="8"/>
  <c r="I13" i="8" s="1"/>
  <c r="B13" i="8"/>
  <c r="C12" i="8"/>
  <c r="B12" i="8"/>
  <c r="C11" i="8"/>
  <c r="B11" i="8"/>
  <c r="C10" i="8"/>
  <c r="B10" i="8"/>
  <c r="C9" i="8"/>
  <c r="I9" i="8" s="1"/>
  <c r="B9" i="8"/>
  <c r="C8" i="8"/>
  <c r="B8" i="8"/>
  <c r="C7" i="8"/>
  <c r="B7" i="8"/>
  <c r="C6" i="8"/>
  <c r="B6" i="8"/>
  <c r="C5" i="8"/>
  <c r="B5" i="8"/>
  <c r="D6" i="7"/>
  <c r="D7" i="7"/>
  <c r="D8" i="7"/>
  <c r="D9" i="7"/>
  <c r="D10" i="7"/>
  <c r="D11" i="7"/>
  <c r="D12" i="7"/>
  <c r="D13" i="7"/>
  <c r="D14" i="7"/>
  <c r="D5" i="7"/>
  <c r="C24" i="7"/>
  <c r="E24" i="7" s="1"/>
  <c r="B24" i="7"/>
  <c r="C23" i="7"/>
  <c r="E23" i="7" s="1"/>
  <c r="B23" i="7"/>
  <c r="E22" i="7"/>
  <c r="C22" i="7"/>
  <c r="B22" i="7"/>
  <c r="E21" i="7"/>
  <c r="C21" i="7"/>
  <c r="B21" i="7"/>
  <c r="C20" i="7"/>
  <c r="E20" i="7" s="1"/>
  <c r="B20" i="7"/>
  <c r="C19" i="7"/>
  <c r="E19" i="7" s="1"/>
  <c r="B19" i="7"/>
  <c r="E15" i="7"/>
  <c r="C14" i="7"/>
  <c r="H14" i="7" s="1"/>
  <c r="B14" i="7"/>
  <c r="C13" i="7"/>
  <c r="H13" i="7" s="1"/>
  <c r="B13" i="7"/>
  <c r="C12" i="7"/>
  <c r="H12" i="7" s="1"/>
  <c r="I12" i="7" s="1"/>
  <c r="B12" i="7"/>
  <c r="C11" i="7"/>
  <c r="H11" i="7" s="1"/>
  <c r="B11" i="7"/>
  <c r="C10" i="7"/>
  <c r="H10" i="7" s="1"/>
  <c r="B10" i="7"/>
  <c r="C9" i="7"/>
  <c r="H9" i="7" s="1"/>
  <c r="B9" i="7"/>
  <c r="C8" i="7"/>
  <c r="H8" i="7" s="1"/>
  <c r="I8" i="7" s="1"/>
  <c r="B8" i="7"/>
  <c r="C7" i="7"/>
  <c r="H7" i="7" s="1"/>
  <c r="B7" i="7"/>
  <c r="C6" i="7"/>
  <c r="H6" i="7" s="1"/>
  <c r="B6" i="7"/>
  <c r="C5" i="7"/>
  <c r="H5" i="7" s="1"/>
  <c r="B5" i="7"/>
  <c r="D6" i="6"/>
  <c r="D7" i="6"/>
  <c r="D8" i="6"/>
  <c r="D9" i="6"/>
  <c r="D10" i="6"/>
  <c r="D11" i="6"/>
  <c r="D12" i="6"/>
  <c r="D13" i="6"/>
  <c r="D14" i="6"/>
  <c r="D5" i="6"/>
  <c r="C24" i="6"/>
  <c r="E24" i="6" s="1"/>
  <c r="B24" i="6"/>
  <c r="C23" i="6"/>
  <c r="E23" i="6" s="1"/>
  <c r="B23" i="6"/>
  <c r="C22" i="6"/>
  <c r="E22" i="6" s="1"/>
  <c r="B22" i="6"/>
  <c r="C21" i="6"/>
  <c r="E21" i="6" s="1"/>
  <c r="B21" i="6"/>
  <c r="C20" i="6"/>
  <c r="E20" i="6" s="1"/>
  <c r="B20" i="6"/>
  <c r="C19" i="6"/>
  <c r="E19" i="6" s="1"/>
  <c r="B19" i="6"/>
  <c r="E15" i="6"/>
  <c r="C14" i="6"/>
  <c r="H14" i="6" s="1"/>
  <c r="B14" i="6"/>
  <c r="C13" i="6"/>
  <c r="H13" i="6" s="1"/>
  <c r="B13" i="6"/>
  <c r="C12" i="6"/>
  <c r="H12" i="6" s="1"/>
  <c r="B12" i="6"/>
  <c r="C11" i="6"/>
  <c r="H11" i="6" s="1"/>
  <c r="B11" i="6"/>
  <c r="C10" i="6"/>
  <c r="H10" i="6" s="1"/>
  <c r="B10" i="6"/>
  <c r="C9" i="6"/>
  <c r="H9" i="6" s="1"/>
  <c r="B9" i="6"/>
  <c r="C8" i="6"/>
  <c r="H8" i="6" s="1"/>
  <c r="B8" i="6"/>
  <c r="C7" i="6"/>
  <c r="H7" i="6" s="1"/>
  <c r="B7" i="6"/>
  <c r="C6" i="6"/>
  <c r="H6" i="6" s="1"/>
  <c r="B6" i="6"/>
  <c r="C5" i="6"/>
  <c r="B5" i="6"/>
  <c r="E20" i="3"/>
  <c r="E21" i="3"/>
  <c r="E22" i="3"/>
  <c r="E23" i="3"/>
  <c r="E24" i="3"/>
  <c r="E19" i="3"/>
  <c r="H6" i="3"/>
  <c r="H7" i="3"/>
  <c r="H8" i="3"/>
  <c r="H9" i="3"/>
  <c r="H10" i="3"/>
  <c r="H11" i="3"/>
  <c r="H12" i="3"/>
  <c r="H13" i="3"/>
  <c r="H14" i="3"/>
  <c r="H5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I8" i="8" l="1"/>
  <c r="I12" i="8"/>
  <c r="I6" i="8"/>
  <c r="I10" i="8"/>
  <c r="I14" i="8"/>
  <c r="I7" i="8"/>
  <c r="I11" i="8"/>
  <c r="H15" i="8"/>
  <c r="I5" i="8"/>
  <c r="E25" i="8"/>
  <c r="I7" i="7"/>
  <c r="I11" i="7"/>
  <c r="I6" i="7"/>
  <c r="I10" i="7"/>
  <c r="I14" i="7"/>
  <c r="I9" i="7"/>
  <c r="I13" i="7"/>
  <c r="I5" i="7"/>
  <c r="H15" i="6"/>
  <c r="I6" i="6"/>
  <c r="I14" i="6"/>
  <c r="I10" i="6"/>
  <c r="I7" i="6"/>
  <c r="I11" i="6"/>
  <c r="I8" i="6"/>
  <c r="I12" i="6"/>
  <c r="I5" i="6"/>
  <c r="I9" i="6"/>
  <c r="I13" i="6"/>
  <c r="I15" i="7" l="1"/>
  <c r="I15" i="8"/>
  <c r="I15" i="6"/>
  <c r="E10" i="1" l="1"/>
  <c r="E9" i="1"/>
  <c r="E8" i="1"/>
  <c r="E5" i="1"/>
  <c r="E6" i="1"/>
  <c r="E7" i="1"/>
  <c r="I13" i="1"/>
  <c r="F12" i="1" l="1"/>
  <c r="D6" i="1" l="1"/>
  <c r="D10" i="1" l="1"/>
  <c r="C24" i="3" l="1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C5" i="3"/>
  <c r="B5" i="3"/>
  <c r="H15" i="3" l="1"/>
  <c r="D9" i="1"/>
  <c r="D8" i="1"/>
  <c r="D7" i="1"/>
  <c r="D5" i="1"/>
  <c r="M11" i="1"/>
  <c r="N11" i="1"/>
  <c r="L11" i="1"/>
  <c r="H34" i="2"/>
  <c r="E34" i="2"/>
  <c r="E11" i="1" l="1"/>
  <c r="F34" i="2"/>
  <c r="H36" i="2"/>
  <c r="H35" i="2"/>
  <c r="E36" i="2"/>
  <c r="E35" i="2"/>
  <c r="F36" i="2"/>
  <c r="F35" i="2" l="1"/>
  <c r="H10" i="1"/>
  <c r="G34" i="2" s="1"/>
  <c r="G11" i="1"/>
  <c r="H8" i="2"/>
  <c r="E8" i="2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E15" i="3"/>
  <c r="D5" i="3"/>
  <c r="I5" i="3" s="1"/>
  <c r="C23" i="3"/>
  <c r="C22" i="3"/>
  <c r="C21" i="3"/>
  <c r="C20" i="3"/>
  <c r="C19" i="3"/>
  <c r="E25" i="3" s="1"/>
  <c r="K10" i="1" l="1"/>
  <c r="B32" i="1"/>
  <c r="B33" i="1" s="1"/>
  <c r="B34" i="1" s="1"/>
  <c r="B35" i="1" s="1"/>
  <c r="J10" i="1"/>
  <c r="G35" i="2"/>
  <c r="G36" i="2"/>
  <c r="I15" i="3"/>
  <c r="D27" i="1"/>
  <c r="H17" i="2"/>
  <c r="E17" i="2"/>
  <c r="D24" i="3" l="1"/>
  <c r="F24" i="3" s="1"/>
  <c r="D24" i="8"/>
  <c r="F24" i="8" s="1"/>
  <c r="D24" i="6"/>
  <c r="F24" i="6" s="1"/>
  <c r="D24" i="7"/>
  <c r="F24" i="7" s="1"/>
  <c r="D15" i="8"/>
  <c r="D15" i="7"/>
  <c r="I36" i="2"/>
  <c r="I35" i="2"/>
  <c r="I34" i="2"/>
  <c r="E22" i="1"/>
  <c r="E26" i="1"/>
  <c r="E19" i="1"/>
  <c r="E23" i="1"/>
  <c r="E17" i="1"/>
  <c r="E20" i="1"/>
  <c r="E24" i="1"/>
  <c r="E21" i="1"/>
  <c r="E25" i="1"/>
  <c r="E5" i="2"/>
  <c r="E6" i="2"/>
  <c r="E7" i="2"/>
  <c r="E9" i="2"/>
  <c r="E10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  <c r="H5" i="2"/>
  <c r="H6" i="2"/>
  <c r="H7" i="2"/>
  <c r="H9" i="2"/>
  <c r="H10" i="2"/>
  <c r="H11" i="2"/>
  <c r="H12" i="2"/>
  <c r="H13" i="2"/>
  <c r="H14" i="2"/>
  <c r="H15" i="2"/>
  <c r="H16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E8" i="3" l="1"/>
  <c r="E8" i="8"/>
  <c r="E8" i="7"/>
  <c r="E8" i="6"/>
  <c r="E14" i="3"/>
  <c r="E14" i="6"/>
  <c r="E14" i="8"/>
  <c r="E14" i="7"/>
  <c r="E13" i="3"/>
  <c r="E13" i="8"/>
  <c r="E13" i="7"/>
  <c r="E13" i="6"/>
  <c r="E5" i="8"/>
  <c r="E5" i="7"/>
  <c r="E5" i="6"/>
  <c r="E10" i="3"/>
  <c r="E10" i="6"/>
  <c r="E10" i="8"/>
  <c r="E10" i="7"/>
  <c r="E9" i="3"/>
  <c r="E9" i="8"/>
  <c r="E9" i="7"/>
  <c r="E9" i="6"/>
  <c r="E11" i="3"/>
  <c r="E11" i="7"/>
  <c r="E11" i="6"/>
  <c r="E11" i="8"/>
  <c r="E6" i="3"/>
  <c r="E6" i="6"/>
  <c r="E6" i="8"/>
  <c r="E6" i="7"/>
  <c r="E12" i="3"/>
  <c r="E12" i="8"/>
  <c r="E12" i="7"/>
  <c r="E12" i="6"/>
  <c r="E7" i="3"/>
  <c r="E7" i="7"/>
  <c r="E7" i="6"/>
  <c r="E7" i="8"/>
  <c r="F8" i="2"/>
  <c r="F31" i="2" l="1"/>
  <c r="F26" i="2"/>
  <c r="F5" i="2"/>
  <c r="F10" i="2"/>
  <c r="F6" i="2"/>
  <c r="F11" i="2"/>
  <c r="F7" i="2"/>
  <c r="F4" i="2"/>
  <c r="F9" i="2"/>
  <c r="H5" i="1"/>
  <c r="J5" i="1" s="1"/>
  <c r="F17" i="2"/>
  <c r="F14" i="2"/>
  <c r="F19" i="2"/>
  <c r="F15" i="2"/>
  <c r="F12" i="2"/>
  <c r="F16" i="2"/>
  <c r="F13" i="2"/>
  <c r="F18" i="2"/>
  <c r="H6" i="1"/>
  <c r="J6" i="1" s="1"/>
  <c r="K6" i="1"/>
  <c r="K5" i="1"/>
  <c r="C34" i="1"/>
  <c r="K7" i="1"/>
  <c r="C35" i="1"/>
  <c r="K8" i="1"/>
  <c r="K9" i="1"/>
  <c r="C33" i="1"/>
  <c r="C32" i="1"/>
  <c r="D20" i="8" l="1"/>
  <c r="F20" i="8" s="1"/>
  <c r="D20" i="7"/>
  <c r="F20" i="7" s="1"/>
  <c r="D20" i="6"/>
  <c r="F20" i="6" s="1"/>
  <c r="D19" i="8"/>
  <c r="F19" i="8" s="1"/>
  <c r="D19" i="7"/>
  <c r="F19" i="7" s="1"/>
  <c r="D19" i="6"/>
  <c r="F19" i="6" s="1"/>
  <c r="F11" i="1"/>
  <c r="K11" i="1"/>
  <c r="F23" i="2"/>
  <c r="F25" i="2"/>
  <c r="F27" i="2"/>
  <c r="F29" i="2"/>
  <c r="H8" i="1"/>
  <c r="G29" i="2" s="1"/>
  <c r="F28" i="2"/>
  <c r="F22" i="2"/>
  <c r="F20" i="2"/>
  <c r="H9" i="1"/>
  <c r="G30" i="2" s="1"/>
  <c r="F30" i="2"/>
  <c r="F24" i="2"/>
  <c r="F32" i="2"/>
  <c r="F33" i="2"/>
  <c r="H7" i="1"/>
  <c r="J7" i="1" s="1"/>
  <c r="F21" i="2"/>
  <c r="G8" i="2"/>
  <c r="G16" i="2"/>
  <c r="G14" i="2"/>
  <c r="G13" i="2"/>
  <c r="G18" i="2"/>
  <c r="G17" i="2"/>
  <c r="G15" i="2"/>
  <c r="G12" i="2"/>
  <c r="G19" i="2"/>
  <c r="G5" i="2"/>
  <c r="G11" i="2"/>
  <c r="G10" i="2"/>
  <c r="G7" i="2"/>
  <c r="G9" i="2"/>
  <c r="G6" i="2"/>
  <c r="G4" i="2"/>
  <c r="G21" i="2"/>
  <c r="D21" i="8" l="1"/>
  <c r="D21" i="7"/>
  <c r="D21" i="6"/>
  <c r="H11" i="1"/>
  <c r="I8" i="2"/>
  <c r="G20" i="2"/>
  <c r="G25" i="2"/>
  <c r="G27" i="2"/>
  <c r="J8" i="1"/>
  <c r="G26" i="2"/>
  <c r="G28" i="2"/>
  <c r="G31" i="2"/>
  <c r="J9" i="1"/>
  <c r="G33" i="2"/>
  <c r="G32" i="2"/>
  <c r="G23" i="2"/>
  <c r="G24" i="2"/>
  <c r="G22" i="2"/>
  <c r="D20" i="3"/>
  <c r="F20" i="3" s="1"/>
  <c r="I12" i="2"/>
  <c r="I16" i="2"/>
  <c r="I13" i="2"/>
  <c r="I17" i="2"/>
  <c r="I14" i="2"/>
  <c r="I18" i="2"/>
  <c r="I15" i="2"/>
  <c r="I19" i="2"/>
  <c r="D21" i="3"/>
  <c r="F21" i="3" s="1"/>
  <c r="I20" i="2"/>
  <c r="I23" i="2"/>
  <c r="I21" i="2"/>
  <c r="I24" i="2"/>
  <c r="I22" i="2"/>
  <c r="I25" i="2"/>
  <c r="I5" i="2"/>
  <c r="I10" i="2"/>
  <c r="I6" i="2"/>
  <c r="I11" i="2"/>
  <c r="I7" i="2"/>
  <c r="I9" i="2"/>
  <c r="I4" i="2"/>
  <c r="D19" i="3"/>
  <c r="F21" i="7" l="1"/>
  <c r="D23" i="8"/>
  <c r="F23" i="8" s="1"/>
  <c r="D23" i="7"/>
  <c r="F23" i="7" s="1"/>
  <c r="D23" i="6"/>
  <c r="F23" i="6" s="1"/>
  <c r="I27" i="2"/>
  <c r="D22" i="8"/>
  <c r="F22" i="8" s="1"/>
  <c r="D22" i="7"/>
  <c r="F22" i="7" s="1"/>
  <c r="D22" i="6"/>
  <c r="F22" i="6" s="1"/>
  <c r="F21" i="8"/>
  <c r="D25" i="8"/>
  <c r="F21" i="6"/>
  <c r="F19" i="3"/>
  <c r="J11" i="1"/>
  <c r="F25" i="1"/>
  <c r="F13" i="8" s="1"/>
  <c r="F24" i="1"/>
  <c r="F12" i="8" s="1"/>
  <c r="F21" i="1"/>
  <c r="F9" i="8" s="1"/>
  <c r="F22" i="1"/>
  <c r="F10" i="8" s="1"/>
  <c r="I26" i="2"/>
  <c r="D22" i="3"/>
  <c r="F22" i="3" s="1"/>
  <c r="I29" i="2"/>
  <c r="F26" i="1" s="1"/>
  <c r="F14" i="8" s="1"/>
  <c r="I28" i="2"/>
  <c r="F23" i="1" s="1"/>
  <c r="F11" i="8" s="1"/>
  <c r="I33" i="2"/>
  <c r="F20" i="1" s="1"/>
  <c r="F8" i="8" s="1"/>
  <c r="I30" i="2"/>
  <c r="I32" i="2"/>
  <c r="F19" i="1" s="1"/>
  <c r="F7" i="8" s="1"/>
  <c r="D23" i="3"/>
  <c r="F23" i="3" s="1"/>
  <c r="I31" i="2"/>
  <c r="F25" i="6" l="1"/>
  <c r="F25" i="8"/>
  <c r="F25" i="7"/>
  <c r="D25" i="7"/>
  <c r="F18" i="1"/>
  <c r="F6" i="8" s="1"/>
  <c r="D25" i="6"/>
  <c r="F11" i="7"/>
  <c r="F12" i="7"/>
  <c r="F8" i="7"/>
  <c r="F13" i="7"/>
  <c r="F10" i="7"/>
  <c r="F7" i="7"/>
  <c r="F14" i="7"/>
  <c r="F9" i="7"/>
  <c r="F11" i="6"/>
  <c r="F12" i="6"/>
  <c r="F8" i="6"/>
  <c r="F13" i="6"/>
  <c r="F10" i="6"/>
  <c r="F7" i="6"/>
  <c r="F14" i="6"/>
  <c r="F9" i="6"/>
  <c r="F17" i="1"/>
  <c r="F5" i="8" s="1"/>
  <c r="D33" i="1"/>
  <c r="D35" i="1"/>
  <c r="D34" i="1"/>
  <c r="F25" i="3"/>
  <c r="D25" i="3"/>
  <c r="G20" i="1"/>
  <c r="G8" i="8" s="1"/>
  <c r="G25" i="1"/>
  <c r="G13" i="8" s="1"/>
  <c r="G23" i="1"/>
  <c r="G11" i="8" s="1"/>
  <c r="G22" i="1"/>
  <c r="G10" i="8" s="1"/>
  <c r="F7" i="3"/>
  <c r="G19" i="1"/>
  <c r="G7" i="8" s="1"/>
  <c r="G26" i="1"/>
  <c r="G14" i="8" s="1"/>
  <c r="G24" i="1"/>
  <c r="G12" i="8" s="1"/>
  <c r="F13" i="3"/>
  <c r="F10" i="3"/>
  <c r="F12" i="3"/>
  <c r="F11" i="3"/>
  <c r="D32" i="1"/>
  <c r="F14" i="3"/>
  <c r="F8" i="3"/>
  <c r="G21" i="1"/>
  <c r="G9" i="8" s="1"/>
  <c r="F9" i="3"/>
  <c r="F6" i="7" l="1"/>
  <c r="F6" i="3"/>
  <c r="F6" i="6"/>
  <c r="G18" i="1"/>
  <c r="G6" i="8" s="1"/>
  <c r="F5" i="7"/>
  <c r="F15" i="7" s="1"/>
  <c r="F5" i="6"/>
  <c r="G14" i="6"/>
  <c r="G14" i="7"/>
  <c r="G11" i="6"/>
  <c r="G11" i="7"/>
  <c r="G7" i="6"/>
  <c r="G7" i="7"/>
  <c r="G13" i="6"/>
  <c r="G13" i="7"/>
  <c r="G9" i="6"/>
  <c r="G9" i="7"/>
  <c r="G8" i="6"/>
  <c r="G8" i="7"/>
  <c r="G12" i="6"/>
  <c r="G12" i="7"/>
  <c r="G10" i="6"/>
  <c r="G10" i="7"/>
  <c r="G14" i="3"/>
  <c r="G7" i="3"/>
  <c r="G9" i="3"/>
  <c r="G8" i="3"/>
  <c r="G11" i="3"/>
  <c r="G13" i="3"/>
  <c r="G12" i="3"/>
  <c r="G10" i="3"/>
  <c r="F5" i="3"/>
  <c r="G17" i="1"/>
  <c r="G5" i="8" s="1"/>
  <c r="F27" i="1"/>
  <c r="F15" i="8" s="1"/>
  <c r="D36" i="1"/>
  <c r="G6" i="3" l="1"/>
  <c r="G6" i="7"/>
  <c r="F15" i="6"/>
  <c r="F15" i="3"/>
  <c r="G6" i="6"/>
  <c r="G5" i="6"/>
  <c r="G5" i="7"/>
  <c r="G5" i="3"/>
  <c r="E5" i="3"/>
  <c r="G27" i="1"/>
  <c r="G15" i="8" s="1"/>
  <c r="G15" i="6" l="1"/>
  <c r="G15" i="7"/>
  <c r="G15" i="3"/>
</calcChain>
</file>

<file path=xl/sharedStrings.xml><?xml version="1.0" encoding="utf-8"?>
<sst xmlns="http://schemas.openxmlformats.org/spreadsheetml/2006/main" count="725" uniqueCount="192">
  <si>
    <t>Операции</t>
  </si>
  <si>
    <t>№ пп</t>
  </si>
  <si>
    <t>max. время выполнения одного скрипта (сек)</t>
  </si>
  <si>
    <t>Pacing (sec)</t>
  </si>
  <si>
    <t>Think Time (sec)</t>
  </si>
  <si>
    <t>Количество VU</t>
  </si>
  <si>
    <t>% повышения нагрузки</t>
  </si>
  <si>
    <t>Интенсивность</t>
  </si>
  <si>
    <t>Количестов запросов одним пользователем в минуту</t>
  </si>
  <si>
    <t>Интенсивность (операций)</t>
  </si>
  <si>
    <t>% распределения</t>
  </si>
  <si>
    <t>Scripts duration</t>
  </si>
  <si>
    <t>1 прогон</t>
  </si>
  <si>
    <t>2 прогон</t>
  </si>
  <si>
    <t>3 прогон</t>
  </si>
  <si>
    <t>Длительность ступени (мин)</t>
  </si>
  <si>
    <t>по профилю</t>
  </si>
  <si>
    <t>% отклонения</t>
  </si>
  <si>
    <t>Операция</t>
  </si>
  <si>
    <t>Кол-во/час пиковой нагрузки</t>
  </si>
  <si>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</si>
  <si>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</si>
  <si>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</si>
  <si>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</si>
  <si>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</si>
  <si>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</si>
  <si>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</si>
  <si>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</si>
  <si>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Script name</t>
  </si>
  <si>
    <t>VU</t>
  </si>
  <si>
    <t>Длительность ступени</t>
  </si>
  <si>
    <t>Расчетные  параметры</t>
  </si>
  <si>
    <t>Заданные параметры</t>
  </si>
  <si>
    <t>Отклонение в %</t>
  </si>
  <si>
    <t>% в профиле</t>
  </si>
  <si>
    <t>Просмотр истории продаж авиабилетов</t>
  </si>
  <si>
    <t>Поиск авиабилета</t>
  </si>
  <si>
    <t>01_Search_Itinerary</t>
  </si>
  <si>
    <t>02_Search_BuyTicket</t>
  </si>
  <si>
    <t>03_SearcH_Itinerary_Delete</t>
  </si>
  <si>
    <t>04_Itinerary</t>
  </si>
  <si>
    <t>05_Search</t>
  </si>
  <si>
    <t>Logout</t>
  </si>
  <si>
    <t>goto_home</t>
  </si>
  <si>
    <t>goto_Itinerary</t>
  </si>
  <si>
    <t>Entry_Data_Flight</t>
  </si>
  <si>
    <t>goto_Flight</t>
  </si>
  <si>
    <t>login_user</t>
  </si>
  <si>
    <t>Load_start_Page</t>
  </si>
  <si>
    <t>Scripts Name (RUS)</t>
  </si>
  <si>
    <t>Scripts Name (Eng)</t>
  </si>
  <si>
    <t>choise_ticket</t>
  </si>
  <si>
    <t>Delete_first</t>
  </si>
  <si>
    <t>Entry_Data_Ticket</t>
  </si>
  <si>
    <t>Transaction rq</t>
  </si>
  <si>
    <t>Count</t>
  </si>
  <si>
    <t>Pacing</t>
  </si>
  <si>
    <t>Итоги теста Analysis</t>
  </si>
  <si>
    <t>по факту Analysis</t>
  </si>
  <si>
    <t>06_login_logout</t>
  </si>
  <si>
    <t>Загрузка страницы</t>
  </si>
  <si>
    <t>Переход к поиску полета</t>
  </si>
  <si>
    <t>Операция перехода на странцу "Home"</t>
  </si>
  <si>
    <t>Вход выход</t>
  </si>
  <si>
    <t>Итого:</t>
  </si>
  <si>
    <t>Расчет интенсивности каждой транзакции в операциях профиля</t>
  </si>
  <si>
    <t>Расчет нагрузки</t>
  </si>
  <si>
    <t>Расчет нагрузчки по заданным параметрам</t>
  </si>
  <si>
    <t>Расчет параметров для проведения нагрузочного тестирования</t>
  </si>
  <si>
    <t>Коэффициент общий</t>
  </si>
  <si>
    <t>Доп. коэффициент по операциям</t>
  </si>
  <si>
    <t>кол-во одним VU в минуту</t>
  </si>
  <si>
    <t>Транзакция</t>
  </si>
  <si>
    <t>Transaction Name</t>
  </si>
  <si>
    <t>SLA Status</t>
  </si>
  <si>
    <t>Minimum</t>
  </si>
  <si>
    <t>Average</t>
  </si>
  <si>
    <t>Maximum</t>
  </si>
  <si>
    <t>Std. Deviation</t>
  </si>
  <si>
    <t>90 Percent</t>
  </si>
  <si>
    <t>Pass</t>
  </si>
  <si>
    <t>Fail</t>
  </si>
  <si>
    <t>Stop</t>
  </si>
  <si>
    <t>0,</t>
  </si>
  <si>
    <t>03_Search_itinerary_delete</t>
  </si>
  <si>
    <t>04_itinerary</t>
  </si>
  <si>
    <t>06_login_Logout</t>
  </si>
  <si>
    <t>Action_Transaction</t>
  </si>
  <si>
    <t>No Data</t>
  </si>
  <si>
    <t>0,23</t>
  </si>
  <si>
    <t>0,374</t>
  </si>
  <si>
    <t>0,235</t>
  </si>
  <si>
    <t>0,185</t>
  </si>
  <si>
    <t>0,188</t>
  </si>
  <si>
    <t>0,083</t>
  </si>
  <si>
    <t>0,48</t>
  </si>
  <si>
    <t>0,217</t>
  </si>
  <si>
    <t>1,961</t>
  </si>
  <si>
    <t>2,335</t>
  </si>
  <si>
    <t>3,151</t>
  </si>
  <si>
    <t>0,226</t>
  </si>
  <si>
    <t>2,644</t>
  </si>
  <si>
    <t>1,865</t>
  </si>
  <si>
    <t>2,267</t>
  </si>
  <si>
    <t>3,009</t>
  </si>
  <si>
    <t>0,236</t>
  </si>
  <si>
    <t>2,565</t>
  </si>
  <si>
    <t>1,627</t>
  </si>
  <si>
    <t>1,919</t>
  </si>
  <si>
    <t>3,044</t>
  </si>
  <si>
    <t>0,212</t>
  </si>
  <si>
    <t>2,129</t>
  </si>
  <si>
    <t>1,096</t>
  </si>
  <si>
    <t>1,401</t>
  </si>
  <si>
    <t>1,735</t>
  </si>
  <si>
    <t>0,164</t>
  </si>
  <si>
    <t>1,535</t>
  </si>
  <si>
    <t>0,983</t>
  </si>
  <si>
    <t>1,191</t>
  </si>
  <si>
    <t>1,83</t>
  </si>
  <si>
    <t>0,187</t>
  </si>
  <si>
    <t>1,467</t>
  </si>
  <si>
    <t>0,761</t>
  </si>
  <si>
    <t>0,869</t>
  </si>
  <si>
    <t>1,37</t>
  </si>
  <si>
    <t>0,126</t>
  </si>
  <si>
    <t>1,01</t>
  </si>
  <si>
    <t>1,907</t>
  </si>
  <si>
    <t>0,575</t>
  </si>
  <si>
    <t>2,49</t>
  </si>
  <si>
    <t>0,167</t>
  </si>
  <si>
    <t>0,37</t>
  </si>
  <si>
    <t>0,032</t>
  </si>
  <si>
    <t>0,257</t>
  </si>
  <si>
    <t>0,227</t>
  </si>
  <si>
    <t>0,412</t>
  </si>
  <si>
    <t>0,041</t>
  </si>
  <si>
    <t>0,282</t>
  </si>
  <si>
    <t>0,12</t>
  </si>
  <si>
    <t>0,178</t>
  </si>
  <si>
    <t>0,381</t>
  </si>
  <si>
    <t>0,144</t>
  </si>
  <si>
    <t>0,206</t>
  </si>
  <si>
    <t>0,41</t>
  </si>
  <si>
    <t>0,028</t>
  </si>
  <si>
    <t>0,237</t>
  </si>
  <si>
    <t>0,921</t>
  </si>
  <si>
    <t>0,327</t>
  </si>
  <si>
    <t>0,823</t>
  </si>
  <si>
    <t>0,087</t>
  </si>
  <si>
    <t>0,442</t>
  </si>
  <si>
    <t>0,261</t>
  </si>
  <si>
    <t>0,379</t>
  </si>
  <si>
    <t>0,71</t>
  </si>
  <si>
    <t>0,081</t>
  </si>
  <si>
    <t>0,503</t>
  </si>
  <si>
    <t>0,21</t>
  </si>
  <si>
    <t>0,293</t>
  </si>
  <si>
    <t>0,624</t>
  </si>
  <si>
    <t>0,059</t>
  </si>
  <si>
    <t>0,218</t>
  </si>
  <si>
    <t>0,349</t>
  </si>
  <si>
    <t>0,714</t>
  </si>
  <si>
    <t>0,077</t>
  </si>
  <si>
    <t>0,455</t>
  </si>
  <si>
    <t>0,274</t>
  </si>
  <si>
    <t>0,541</t>
  </si>
  <si>
    <t>0,048</t>
  </si>
  <si>
    <t>0,336</t>
  </si>
  <si>
    <t>Стабильность 1 час</t>
  </si>
  <si>
    <t>Тест "стабильности" 0.9% Lmax (длительность 60 минут)</t>
  </si>
  <si>
    <t>Тест "Поиск максимума". 4 ступень "Пиковая нагрузка" (Длительность 20 минут)</t>
  </si>
  <si>
    <t>Тест "Поиск максимума". 2 ступень "Максимальная производительность"  (Длительность 20 минут)</t>
  </si>
  <si>
    <t>Тест подтверждения расчетных значений  (Длительность 20 минут)</t>
  </si>
  <si>
    <t>vuser_end_Transaction</t>
  </si>
  <si>
    <t>vuser_init_Transaction</t>
  </si>
  <si>
    <t>Стабильность весь график</t>
  </si>
  <si>
    <t>Стабильность 1 час + Think Time</t>
  </si>
  <si>
    <t>Пиковая производительность 3 ступень 300%</t>
  </si>
  <si>
    <t>максимальная производительность 2 ступень 200%</t>
  </si>
  <si>
    <t>Тест стабильности 15 VU 60 минут</t>
  </si>
  <si>
    <t>Всего операций</t>
  </si>
  <si>
    <t>среднее минимальное кол-во операций</t>
  </si>
  <si>
    <t>среднее максимальное кол-во операций</t>
  </si>
  <si>
    <t>операции</t>
  </si>
  <si>
    <t>транзакции</t>
  </si>
  <si>
    <t>Максимальное 90percentile</t>
  </si>
  <si>
    <t>название</t>
  </si>
  <si>
    <t>пиковое значение (максимум)</t>
  </si>
  <si>
    <t>Поиск и покупка авиабилета</t>
  </si>
  <si>
    <t xml:space="preserve">Поиск авиабилета без покупки, просмотр истории </t>
  </si>
  <si>
    <t>Переход на страницу поиска, просмотр истории продаж авиабилетов, удаление авиабилета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</si>
</sst>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р_._-;\-* #,##0.00_р_._-;_-* &quot;-&quot;??_р_._-;_-@_-"/>
    <numFmt numFmtId="164" formatCode="0.000"/>
    <numFmt numFmtId="165" formatCode="_-* #,##0_р_._-;\-* #,##0_р_._-;_-* &quot;-&quot;??_р_._-;_-@_-"/>
    <numFmt numFmtId="166" formatCode="0.0"/>
    <numFmt numFmtId="167" formatCode="0.0%"/>
  </numFmts>
  <fonts count="26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8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8" borderId="7" applyNumberFormat="0" applyAlignment="0" applyProtection="0"/>
    <xf numFmtId="0" fontId="14" fillId="9" borderId="8" applyNumberFormat="0" applyAlignment="0" applyProtection="0"/>
    <xf numFmtId="0" fontId="15" fillId="9" borderId="7" applyNumberFormat="0" applyAlignment="0" applyProtection="0"/>
    <xf numFmtId="0" fontId="16" fillId="0" borderId="9" applyNumberFormat="0" applyFill="0" applyAlignment="0" applyProtection="0"/>
    <xf numFmtId="0" fontId="17" fillId="10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20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0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0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0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0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0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1" fillId="0" borderId="0"/>
    <xf numFmtId="0" fontId="22" fillId="7" borderId="0" applyNumberFormat="0" applyBorder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11" borderId="11" applyNumberFormat="0" applyFont="0" applyAlignment="0" applyProtection="0"/>
    <xf numFmtId="9" fontId="21" fillId="0" borderId="0" applyFont="0" applyFill="0" applyBorder="0" applyAlignment="0" applyProtection="0"/>
  </cellStyleXfs>
  <cellXfs count="140">
    <xf numFmtId="0" fontId="0" fillId="0" borderId="0" xfId="0"/>
    <xf numFmtId="1" fontId="1" fillId="4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36" applyFont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36" applyFont="1" applyBorder="1"/>
    <xf numFmtId="0" fontId="4" fillId="0" borderId="1" xfId="36" applyFont="1" applyBorder="1" applyAlignment="1">
      <alignment horizontal="center" vertical="center"/>
    </xf>
    <xf numFmtId="1" fontId="4" fillId="0" borderId="1" xfId="36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9" fontId="4" fillId="0" borderId="1" xfId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4" fillId="0" borderId="1" xfId="0" applyFont="1" applyBorder="1" applyAlignment="1">
      <alignment vertical="center"/>
    </xf>
    <xf numFmtId="0" fontId="4" fillId="37" borderId="1" xfId="0" applyFont="1" applyFill="1" applyBorder="1" applyAlignment="1">
      <alignment horizontal="center" vertical="center"/>
    </xf>
    <xf numFmtId="9" fontId="4" fillId="37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6" fillId="36" borderId="1" xfId="0" applyFont="1" applyFill="1" applyBorder="1" applyAlignment="1">
      <alignment horizontal="center" vertical="center" wrapText="1"/>
    </xf>
    <xf numFmtId="0" fontId="6" fillId="37" borderId="1" xfId="0" applyFont="1" applyFill="1" applyBorder="1" applyAlignment="1">
      <alignment horizontal="center" vertical="center" wrapText="1"/>
    </xf>
    <xf numFmtId="0" fontId="6" fillId="38" borderId="1" xfId="0" applyFont="1" applyFill="1" applyBorder="1" applyAlignment="1">
      <alignment horizontal="center" vertical="center" wrapText="1"/>
    </xf>
    <xf numFmtId="9" fontId="4" fillId="36" borderId="1" xfId="1" applyFont="1" applyFill="1" applyBorder="1" applyAlignment="1">
      <alignment horizontal="center" vertical="center" wrapText="1"/>
    </xf>
    <xf numFmtId="1" fontId="4" fillId="36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49" fontId="4" fillId="0" borderId="0" xfId="0" applyNumberFormat="1" applyFont="1" applyAlignment="1">
      <alignment vertical="center"/>
    </xf>
    <xf numFmtId="165" fontId="4" fillId="0" borderId="0" xfId="2" applyNumberFormat="1" applyFont="1" applyAlignment="1">
      <alignment vertical="center"/>
    </xf>
    <xf numFmtId="9" fontId="4" fillId="40" borderId="1" xfId="1" applyFont="1" applyFill="1" applyBorder="1" applyAlignment="1">
      <alignment horizontal="center" vertical="center"/>
    </xf>
    <xf numFmtId="1" fontId="4" fillId="4" borderId="1" xfId="2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4" fillId="39" borderId="1" xfId="0" applyFont="1" applyFill="1" applyBorder="1" applyAlignment="1">
      <alignment horizontal="center" vertical="center"/>
    </xf>
    <xf numFmtId="9" fontId="4" fillId="39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41" borderId="1" xfId="0" applyFont="1" applyFill="1" applyBorder="1" applyAlignment="1">
      <alignment horizontal="center" vertical="center" wrapText="1"/>
    </xf>
    <xf numFmtId="1" fontId="4" fillId="40" borderId="1" xfId="2" applyNumberFormat="1" applyFont="1" applyFill="1" applyBorder="1" applyAlignment="1">
      <alignment horizontal="center" vertical="center"/>
    </xf>
    <xf numFmtId="0" fontId="6" fillId="2" borderId="2" xfId="36" applyFont="1" applyFill="1" applyBorder="1" applyAlignment="1">
      <alignment horizontal="center" vertical="center" wrapText="1"/>
    </xf>
    <xf numFmtId="0" fontId="4" fillId="0" borderId="3" xfId="36" applyFont="1" applyBorder="1"/>
    <xf numFmtId="0" fontId="4" fillId="0" borderId="3" xfId="36" applyFont="1" applyBorder="1" applyAlignment="1">
      <alignment horizontal="center" vertical="center"/>
    </xf>
    <xf numFmtId="1" fontId="4" fillId="0" borderId="3" xfId="36" applyNumberFormat="1" applyFont="1" applyBorder="1" applyAlignment="1">
      <alignment horizontal="center" vertical="center"/>
    </xf>
    <xf numFmtId="0" fontId="4" fillId="0" borderId="15" xfId="36" applyFont="1" applyBorder="1"/>
    <xf numFmtId="0" fontId="4" fillId="0" borderId="16" xfId="36" applyFont="1" applyBorder="1"/>
    <xf numFmtId="0" fontId="4" fillId="0" borderId="16" xfId="36" applyFont="1" applyBorder="1" applyAlignment="1">
      <alignment horizontal="center" vertical="center"/>
    </xf>
    <xf numFmtId="1" fontId="4" fillId="0" borderId="17" xfId="36" applyNumberFormat="1" applyFont="1" applyBorder="1" applyAlignment="1">
      <alignment horizontal="center" vertical="center"/>
    </xf>
    <xf numFmtId="0" fontId="4" fillId="0" borderId="18" xfId="36" applyFont="1" applyBorder="1"/>
    <xf numFmtId="1" fontId="4" fillId="0" borderId="19" xfId="36" applyNumberFormat="1" applyFont="1" applyBorder="1" applyAlignment="1">
      <alignment horizontal="center" vertical="center"/>
    </xf>
    <xf numFmtId="0" fontId="4" fillId="0" borderId="20" xfId="36" applyFont="1" applyBorder="1"/>
    <xf numFmtId="0" fontId="4" fillId="0" borderId="21" xfId="36" applyFont="1" applyBorder="1"/>
    <xf numFmtId="0" fontId="4" fillId="0" borderId="21" xfId="36" applyFont="1" applyBorder="1" applyAlignment="1">
      <alignment horizontal="center" vertical="center"/>
    </xf>
    <xf numFmtId="1" fontId="4" fillId="0" borderId="22" xfId="36" applyNumberFormat="1" applyFont="1" applyBorder="1" applyAlignment="1">
      <alignment horizontal="center" vertical="center"/>
    </xf>
    <xf numFmtId="0" fontId="4" fillId="0" borderId="2" xfId="36" applyFont="1" applyBorder="1"/>
    <xf numFmtId="0" fontId="4" fillId="0" borderId="2" xfId="36" applyFont="1" applyBorder="1" applyAlignment="1">
      <alignment horizontal="center" vertical="center"/>
    </xf>
    <xf numFmtId="1" fontId="4" fillId="0" borderId="2" xfId="36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2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9" fontId="6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" fontId="23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9" fontId="6" fillId="2" borderId="1" xfId="1" applyFont="1" applyFill="1" applyBorder="1" applyAlignment="1">
      <alignment horizontal="center" vertical="center" wrapText="1"/>
    </xf>
    <xf numFmtId="9" fontId="4" fillId="37" borderId="1" xfId="1" applyFont="1" applyFill="1" applyBorder="1" applyAlignment="1">
      <alignment horizontal="center" vertical="center"/>
    </xf>
    <xf numFmtId="1" fontId="4" fillId="38" borderId="1" xfId="0" applyNumberFormat="1" applyFont="1" applyFill="1" applyBorder="1" applyAlignment="1">
      <alignment horizontal="center" vertical="center"/>
    </xf>
    <xf numFmtId="9" fontId="4" fillId="38" borderId="1" xfId="0" applyNumberFormat="1" applyFont="1" applyFill="1" applyBorder="1" applyAlignment="1">
      <alignment horizontal="center" vertical="center"/>
    </xf>
    <xf numFmtId="0" fontId="4" fillId="42" borderId="1" xfId="0" applyFont="1" applyFill="1" applyBorder="1" applyAlignment="1">
      <alignment vertical="center"/>
    </xf>
    <xf numFmtId="0" fontId="4" fillId="0" borderId="26" xfId="36" applyFont="1" applyBorder="1"/>
    <xf numFmtId="0" fontId="4" fillId="0" borderId="14" xfId="36" applyFont="1" applyBorder="1"/>
    <xf numFmtId="0" fontId="4" fillId="0" borderId="27" xfId="36" applyFont="1" applyBorder="1"/>
    <xf numFmtId="166" fontId="5" fillId="4" borderId="1" xfId="0" applyNumberFormat="1" applyFont="1" applyFill="1" applyBorder="1" applyAlignment="1">
      <alignment horizontal="center" vertical="center"/>
    </xf>
    <xf numFmtId="166" fontId="5" fillId="43" borderId="1" xfId="0" applyNumberFormat="1" applyFont="1" applyFill="1" applyBorder="1" applyAlignment="1">
      <alignment horizontal="center" vertical="center"/>
    </xf>
    <xf numFmtId="164" fontId="4" fillId="0" borderId="16" xfId="36" applyNumberFormat="1" applyFont="1" applyBorder="1" applyAlignment="1">
      <alignment horizontal="center" vertical="center"/>
    </xf>
    <xf numFmtId="164" fontId="4" fillId="0" borderId="1" xfId="36" applyNumberFormat="1" applyFont="1" applyBorder="1" applyAlignment="1">
      <alignment horizontal="center" vertical="center"/>
    </xf>
    <xf numFmtId="164" fontId="4" fillId="0" borderId="21" xfId="36" applyNumberFormat="1" applyFont="1" applyBorder="1" applyAlignment="1">
      <alignment horizontal="center" vertical="center"/>
    </xf>
    <xf numFmtId="164" fontId="4" fillId="0" borderId="3" xfId="36" applyNumberFormat="1" applyFont="1" applyBorder="1" applyAlignment="1">
      <alignment horizontal="center" vertical="center"/>
    </xf>
    <xf numFmtId="164" fontId="4" fillId="0" borderId="2" xfId="36" applyNumberFormat="1" applyFont="1" applyBorder="1" applyAlignment="1">
      <alignment horizontal="center" vertical="center"/>
    </xf>
    <xf numFmtId="164" fontId="4" fillId="44" borderId="1" xfId="0" applyNumberFormat="1" applyFont="1" applyFill="1" applyBorder="1" applyAlignment="1">
      <alignment horizontal="center" vertical="center"/>
    </xf>
    <xf numFmtId="0" fontId="0" fillId="0" borderId="0" xfId="0" quotePrefix="1" applyNumberFormat="1"/>
    <xf numFmtId="1" fontId="5" fillId="4" borderId="1" xfId="0" applyNumberFormat="1" applyFont="1" applyFill="1" applyBorder="1" applyAlignment="1">
      <alignment horizontal="center" vertical="center"/>
    </xf>
    <xf numFmtId="0" fontId="4" fillId="4" borderId="1" xfId="36" applyFont="1" applyFill="1" applyBorder="1"/>
    <xf numFmtId="0" fontId="4" fillId="4" borderId="1" xfId="0" applyFont="1" applyFill="1" applyBorder="1" applyAlignment="1">
      <alignment horizontal="center" vertical="center"/>
    </xf>
    <xf numFmtId="0" fontId="4" fillId="4" borderId="1" xfId="36" applyFont="1" applyFill="1" applyBorder="1" applyAlignment="1">
      <alignment vertical="center"/>
    </xf>
    <xf numFmtId="167" fontId="6" fillId="2" borderId="1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0" fontId="4" fillId="0" borderId="1" xfId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 wrapText="1"/>
    </xf>
    <xf numFmtId="164" fontId="3" fillId="0" borderId="0" xfId="0" quotePrefix="1" applyNumberFormat="1" applyFont="1"/>
    <xf numFmtId="0" fontId="6" fillId="41" borderId="1" xfId="0" applyFont="1" applyFill="1" applyBorder="1" applyAlignment="1">
      <alignment horizontal="center" vertical="center" wrapText="1"/>
    </xf>
    <xf numFmtId="0" fontId="6" fillId="38" borderId="1" xfId="0" applyFont="1" applyFill="1" applyBorder="1" applyAlignment="1">
      <alignment horizontal="center" vertical="center" wrapText="1"/>
    </xf>
    <xf numFmtId="0" fontId="3" fillId="0" borderId="0" xfId="0" quotePrefix="1" applyNumberFormat="1" applyFont="1" applyAlignment="1"/>
    <xf numFmtId="1" fontId="4" fillId="37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36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0" fontId="6" fillId="2" borderId="23" xfId="0" applyFont="1" applyFill="1" applyBorder="1" applyAlignment="1">
      <alignment horizontal="right" vertical="center"/>
    </xf>
    <xf numFmtId="0" fontId="6" fillId="2" borderId="14" xfId="0" applyFont="1" applyFill="1" applyBorder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 vertical="center"/>
    </xf>
    <xf numFmtId="0" fontId="6" fillId="38" borderId="1" xfId="0" applyFont="1" applyFill="1" applyBorder="1" applyAlignment="1">
      <alignment horizontal="center" vertical="center"/>
    </xf>
    <xf numFmtId="0" fontId="6" fillId="37" borderId="1" xfId="0" applyFont="1" applyFill="1" applyBorder="1" applyAlignment="1">
      <alignment horizontal="center" vertical="center"/>
    </xf>
    <xf numFmtId="0" fontId="6" fillId="36" borderId="1" xfId="0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3" fillId="0" borderId="0" xfId="0" quotePrefix="1" applyNumberFormat="1" applyFont="1" applyAlignment="1">
      <alignment horizontal="center"/>
    </xf>
    <xf numFmtId="0" fontId="6" fillId="36" borderId="13" xfId="0" applyFont="1" applyFill="1" applyBorder="1" applyAlignment="1">
      <alignment horizontal="center" vertical="center"/>
    </xf>
    <xf numFmtId="0" fontId="6" fillId="36" borderId="1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9" fontId="4" fillId="0" borderId="0" xfId="1" applyFont="1" applyAlignment="1">
      <alignment vertical="center"/>
    </xf>
  </cellXfs>
  <cellStyles count="48">
    <cellStyle name="20% — акцент1" xfId="19" builtinId="30" customBuiltin="1"/>
    <cellStyle name="20% — акцент2" xfId="22" builtinId="34" customBuiltin="1"/>
    <cellStyle name="20% — акцент3" xfId="25" builtinId="38" customBuiltin="1"/>
    <cellStyle name="20% — акцент4" xfId="28" builtinId="42" customBuiltin="1"/>
    <cellStyle name="20% — акцент5" xfId="31" builtinId="46" customBuiltin="1"/>
    <cellStyle name="20% — акцент6" xfId="34" builtinId="50" customBuiltin="1"/>
    <cellStyle name="40% — акцент1" xfId="20" builtinId="31" customBuiltin="1"/>
    <cellStyle name="40% — акцент2" xfId="23" builtinId="35" customBuiltin="1"/>
    <cellStyle name="40% — акцент3" xfId="26" builtinId="39" customBuiltin="1"/>
    <cellStyle name="40% — акцент4" xfId="29" builtinId="43" customBuiltin="1"/>
    <cellStyle name="40% — акцент5" xfId="32" builtinId="47" customBuiltin="1"/>
    <cellStyle name="40% — акцент6" xfId="35" builtinId="51" customBuiltin="1"/>
    <cellStyle name="60% — акцент1 2" xfId="39"/>
    <cellStyle name="60% — акцент2 2" xfId="40"/>
    <cellStyle name="60% — акцент3 2" xfId="41"/>
    <cellStyle name="60% — акцент4 2" xfId="42"/>
    <cellStyle name="60% — акцент5 2" xfId="43"/>
    <cellStyle name="60% — акцент6 2" xfId="44"/>
    <cellStyle name="Акцент1" xfId="18" builtinId="29" customBuiltin="1"/>
    <cellStyle name="Акцент2" xfId="21" builtinId="33" customBuiltin="1"/>
    <cellStyle name="Акцент3" xfId="24" builtinId="37" customBuiltin="1"/>
    <cellStyle name="Акцент4" xfId="27" builtinId="41" customBuiltin="1"/>
    <cellStyle name="Акцент5" xfId="30" builtinId="45" customBuiltin="1"/>
    <cellStyle name="Акцент6" xfId="33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4" builtinId="16" customBuiltin="1"/>
    <cellStyle name="Заголовок 2" xfId="5" builtinId="17" customBuiltin="1"/>
    <cellStyle name="Заголовок 3" xfId="6" builtinId="18" customBuiltin="1"/>
    <cellStyle name="Заголовок 4" xfId="7" builtinId="19" customBuiltin="1"/>
    <cellStyle name="Итог" xfId="17" builtinId="25" customBuiltin="1"/>
    <cellStyle name="Контрольная ячейка" xfId="14" builtinId="23" customBuiltin="1"/>
    <cellStyle name="Название" xfId="3" builtinId="15" customBuiltin="1"/>
    <cellStyle name="Нейтральный 2" xfId="37"/>
    <cellStyle name="Обычный" xfId="0" builtinId="0"/>
    <cellStyle name="Обычный 2" xfId="38"/>
    <cellStyle name="Обычный 3" xfId="45"/>
    <cellStyle name="Обычный 4" xfId="36"/>
    <cellStyle name="Плохой" xfId="9" builtinId="27" customBuiltin="1"/>
    <cellStyle name="Пояснение" xfId="16" builtinId="53" customBuiltin="1"/>
    <cellStyle name="Примечание 2" xfId="46"/>
    <cellStyle name="Процентный" xfId="1" builtinId="5"/>
    <cellStyle name="Процентный 2" xfId="47"/>
    <cellStyle name="Связанная ячейка" xfId="13" builtinId="24" customBuiltin="1"/>
    <cellStyle name="Текст предупреждения" xfId="15" builtinId="11" customBuiltin="1"/>
    <cellStyle name="Финансовый" xfId="2" builtinId="3"/>
    <cellStyle name="Хороший" xfId="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topLeftCell="A13" zoomScaleNormal="100" workbookViewId="0">
      <selection activeCell="H12" sqref="H12"/>
    </sheetView>
  </sheetViews>
  <sheetFormatPr defaultRowHeight="12.75" x14ac:dyDescent="0.25"/>
  <cols>
    <col min="1" max="1" width="6" style="10" bestFit="1" customWidth="1"/>
    <col min="2" max="2" width="35.5703125" style="21" bestFit="1" customWidth="1"/>
    <col min="3" max="3" width="22.85546875" style="21" bestFit="1" customWidth="1"/>
    <col min="4" max="4" width="14.42578125" style="17" customWidth="1"/>
    <col min="5" max="5" width="12.7109375" style="17" customWidth="1"/>
    <col min="6" max="7" width="13.140625" style="17" customWidth="1"/>
    <col min="8" max="8" width="15.85546875" style="17" customWidth="1"/>
    <col min="9" max="9" width="13.42578125" style="10" customWidth="1"/>
    <col min="10" max="11" width="13.42578125" style="17" customWidth="1"/>
    <col min="12" max="14" width="12" style="17" customWidth="1"/>
    <col min="15" max="15" width="11.85546875" style="17" bestFit="1" customWidth="1"/>
    <col min="16" max="16384" width="9.140625" style="17"/>
  </cols>
  <sheetData>
    <row r="1" spans="1:22" ht="18.75" x14ac:dyDescent="0.25">
      <c r="A1" s="120" t="s">
        <v>68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</row>
    <row r="3" spans="1:22" s="5" customFormat="1" ht="27.75" customHeight="1" x14ac:dyDescent="0.25">
      <c r="A3" s="112" t="s">
        <v>1</v>
      </c>
      <c r="B3" s="112" t="s">
        <v>0</v>
      </c>
      <c r="C3" s="112" t="s">
        <v>28</v>
      </c>
      <c r="D3" s="112" t="s">
        <v>2</v>
      </c>
      <c r="E3" s="112" t="s">
        <v>4</v>
      </c>
      <c r="F3" s="112" t="s">
        <v>3</v>
      </c>
      <c r="G3" s="112" t="s">
        <v>5</v>
      </c>
      <c r="H3" s="112" t="s">
        <v>8</v>
      </c>
      <c r="I3" s="112" t="s">
        <v>15</v>
      </c>
      <c r="J3" s="112" t="s">
        <v>9</v>
      </c>
      <c r="K3" s="112" t="s">
        <v>10</v>
      </c>
      <c r="L3" s="114" t="s">
        <v>11</v>
      </c>
      <c r="M3" s="114"/>
      <c r="N3" s="114"/>
    </row>
    <row r="4" spans="1:22" s="5" customFormat="1" ht="28.5" customHeight="1" x14ac:dyDescent="0.25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6" t="s">
        <v>12</v>
      </c>
      <c r="M4" s="6" t="s">
        <v>13</v>
      </c>
      <c r="N4" s="6" t="s">
        <v>14</v>
      </c>
    </row>
    <row r="5" spans="1:22" ht="26.25" customHeight="1" x14ac:dyDescent="0.25">
      <c r="A5" s="7">
        <v>1</v>
      </c>
      <c r="B5" s="4" t="s">
        <v>190</v>
      </c>
      <c r="C5" s="8" t="s">
        <v>37</v>
      </c>
      <c r="D5" s="2">
        <f>MAX(L5:N5)</f>
        <v>2.9430000000000001</v>
      </c>
      <c r="E5" s="96">
        <f>ROUND(F5-D5,0)</f>
        <v>30</v>
      </c>
      <c r="F5" s="88">
        <v>33</v>
      </c>
      <c r="G5" s="1">
        <v>2</v>
      </c>
      <c r="H5" s="2">
        <f>60/(F5)</f>
        <v>1.8181818181818181</v>
      </c>
      <c r="I5" s="3">
        <v>20</v>
      </c>
      <c r="J5" s="28">
        <f>ROUND(G5*H5*I5,0)</f>
        <v>73</v>
      </c>
      <c r="K5" s="102">
        <f t="shared" ref="K5:K10" si="0">G5/$G$11</f>
        <v>0.2</v>
      </c>
      <c r="L5" s="29">
        <v>2.59</v>
      </c>
      <c r="M5" s="29">
        <v>2.9430000000000001</v>
      </c>
      <c r="N5" s="29">
        <v>1.982</v>
      </c>
    </row>
    <row r="6" spans="1:22" ht="26.25" customHeight="1" x14ac:dyDescent="0.25">
      <c r="A6" s="7">
        <v>2</v>
      </c>
      <c r="B6" s="4" t="s">
        <v>189</v>
      </c>
      <c r="C6" s="8" t="s">
        <v>38</v>
      </c>
      <c r="D6" s="2">
        <f>MAX(L6:N6)</f>
        <v>2.1775000000000002</v>
      </c>
      <c r="E6" s="96">
        <f>ROUND(F6-D6-5,0)</f>
        <v>13</v>
      </c>
      <c r="F6" s="87">
        <v>20</v>
      </c>
      <c r="G6" s="1">
        <v>3</v>
      </c>
      <c r="H6" s="2">
        <f t="shared" ref="H6:H9" si="1">60/(F6)</f>
        <v>3</v>
      </c>
      <c r="I6" s="3">
        <v>20</v>
      </c>
      <c r="J6" s="28">
        <f>ROUND(G6*H6*I6,0)</f>
        <v>180</v>
      </c>
      <c r="K6" s="102">
        <f t="shared" si="0"/>
        <v>0.3</v>
      </c>
      <c r="L6" s="94">
        <v>1.988</v>
      </c>
      <c r="M6" s="94">
        <v>2.032</v>
      </c>
      <c r="N6" s="94">
        <v>2.1775000000000002</v>
      </c>
    </row>
    <row r="7" spans="1:22" ht="26.25" customHeight="1" x14ac:dyDescent="0.25">
      <c r="A7" s="7">
        <v>3</v>
      </c>
      <c r="B7" s="4" t="s">
        <v>191</v>
      </c>
      <c r="C7" s="8" t="s">
        <v>39</v>
      </c>
      <c r="D7" s="2">
        <f t="shared" ref="D7:D10" si="2">MAX(L7:N7)</f>
        <v>2.0590000000000002</v>
      </c>
      <c r="E7" s="96">
        <f>ROUND(F7-D7-5,0)</f>
        <v>27</v>
      </c>
      <c r="F7" s="88">
        <f>34</f>
        <v>34</v>
      </c>
      <c r="G7" s="1">
        <v>2</v>
      </c>
      <c r="H7" s="2">
        <f t="shared" si="1"/>
        <v>1.7647058823529411</v>
      </c>
      <c r="I7" s="3">
        <v>20</v>
      </c>
      <c r="J7" s="28">
        <f t="shared" ref="J6:J9" si="3">ROUND(G7*H7*I7,0)</f>
        <v>71</v>
      </c>
      <c r="K7" s="102">
        <f t="shared" si="0"/>
        <v>0.2</v>
      </c>
      <c r="L7" s="29">
        <v>2.0590000000000002</v>
      </c>
      <c r="M7" s="29">
        <v>1.786</v>
      </c>
      <c r="N7" s="29">
        <v>2.0009999999999999</v>
      </c>
    </row>
    <row r="8" spans="1:22" ht="26.25" customHeight="1" x14ac:dyDescent="0.25">
      <c r="A8" s="7">
        <v>4</v>
      </c>
      <c r="B8" s="4" t="s">
        <v>35</v>
      </c>
      <c r="C8" s="8" t="s">
        <v>40</v>
      </c>
      <c r="D8" s="2">
        <f t="shared" si="2"/>
        <v>1.9330000000000001</v>
      </c>
      <c r="E8" s="96">
        <f>ROUND(F8-D8,0)</f>
        <v>82</v>
      </c>
      <c r="F8" s="88">
        <v>84</v>
      </c>
      <c r="G8" s="1">
        <v>1</v>
      </c>
      <c r="H8" s="2">
        <f t="shared" si="1"/>
        <v>0.7142857142857143</v>
      </c>
      <c r="I8" s="3">
        <v>20</v>
      </c>
      <c r="J8" s="28">
        <f t="shared" si="3"/>
        <v>14</v>
      </c>
      <c r="K8" s="102">
        <f t="shared" si="0"/>
        <v>0.1</v>
      </c>
      <c r="L8" s="29">
        <v>1.5409999999999999</v>
      </c>
      <c r="M8" s="29">
        <v>1.9330000000000001</v>
      </c>
      <c r="N8" s="29">
        <v>1.821</v>
      </c>
    </row>
    <row r="9" spans="1:22" ht="26.25" customHeight="1" x14ac:dyDescent="0.25">
      <c r="A9" s="7">
        <v>5</v>
      </c>
      <c r="B9" s="4" t="s">
        <v>36</v>
      </c>
      <c r="C9" s="8" t="s">
        <v>41</v>
      </c>
      <c r="D9" s="2">
        <f t="shared" si="2"/>
        <v>1.841</v>
      </c>
      <c r="E9" s="96">
        <f>ROUND(F9-D9,0)</f>
        <v>30</v>
      </c>
      <c r="F9" s="88">
        <v>32</v>
      </c>
      <c r="G9" s="1">
        <v>1</v>
      </c>
      <c r="H9" s="2">
        <f t="shared" si="1"/>
        <v>1.875</v>
      </c>
      <c r="I9" s="3">
        <v>20</v>
      </c>
      <c r="J9" s="28">
        <f t="shared" si="3"/>
        <v>38</v>
      </c>
      <c r="K9" s="102">
        <f t="shared" si="0"/>
        <v>0.1</v>
      </c>
      <c r="L9" s="29">
        <v>1.5309999999999999</v>
      </c>
      <c r="M9" s="29">
        <v>1.841</v>
      </c>
      <c r="N9" s="29">
        <v>1.5009999999999999</v>
      </c>
    </row>
    <row r="10" spans="1:22" ht="26.25" customHeight="1" x14ac:dyDescent="0.25">
      <c r="A10" s="7">
        <v>6</v>
      </c>
      <c r="B10" s="4" t="s">
        <v>63</v>
      </c>
      <c r="C10" s="8" t="s">
        <v>59</v>
      </c>
      <c r="D10" s="2">
        <f t="shared" si="2"/>
        <v>1.542</v>
      </c>
      <c r="E10" s="96">
        <f>ROUND(F10-D10,0)</f>
        <v>18</v>
      </c>
      <c r="F10" s="88">
        <v>20</v>
      </c>
      <c r="G10" s="1">
        <v>1</v>
      </c>
      <c r="H10" s="2">
        <f t="shared" ref="H10" si="4">60/(F10)</f>
        <v>3</v>
      </c>
      <c r="I10" s="3">
        <v>20</v>
      </c>
      <c r="J10" s="28">
        <f t="shared" ref="J10" si="5">ROUND(G10*H10*I10,0)</f>
        <v>60</v>
      </c>
      <c r="K10" s="102">
        <f t="shared" si="0"/>
        <v>0.1</v>
      </c>
      <c r="L10" s="29">
        <v>1.542</v>
      </c>
      <c r="M10" s="29">
        <v>1.4330000000000001</v>
      </c>
      <c r="N10" s="29">
        <v>1.3939999999999999</v>
      </c>
    </row>
    <row r="11" spans="1:22" x14ac:dyDescent="0.25">
      <c r="A11" s="117" t="s">
        <v>64</v>
      </c>
      <c r="B11" s="118"/>
      <c r="C11" s="118"/>
      <c r="D11" s="119"/>
      <c r="E11" s="74">
        <f>SUM(E5:E10)</f>
        <v>200</v>
      </c>
      <c r="F11" s="74">
        <f>SUM(F5:F10)</f>
        <v>223</v>
      </c>
      <c r="G11" s="73">
        <f>SUM(G5:G10)</f>
        <v>10</v>
      </c>
      <c r="H11" s="74">
        <f>SUM(H5:H10)</f>
        <v>12.172173414820474</v>
      </c>
      <c r="I11" s="74"/>
      <c r="J11" s="73">
        <f>SUM(J5:J10)</f>
        <v>436</v>
      </c>
      <c r="K11" s="75">
        <f>SUM(K5:K10)</f>
        <v>0.99999999999999989</v>
      </c>
      <c r="L11" s="76">
        <f>SUM(L5:L10)</f>
        <v>11.250999999999999</v>
      </c>
      <c r="M11" s="76">
        <f t="shared" ref="M11:N11" si="6">SUM(M5:M10)</f>
        <v>11.967999999999998</v>
      </c>
      <c r="N11" s="76">
        <f t="shared" si="6"/>
        <v>10.8765</v>
      </c>
    </row>
    <row r="12" spans="1:22" x14ac:dyDescent="0.25">
      <c r="A12" s="64"/>
      <c r="B12" s="65"/>
      <c r="C12" s="65"/>
      <c r="D12" s="66"/>
      <c r="E12" s="66"/>
      <c r="F12" s="66">
        <f>ROUND((D12+E12)*K17*L17,0)</f>
        <v>0</v>
      </c>
      <c r="G12" s="67"/>
      <c r="H12" s="66"/>
      <c r="I12" s="66"/>
      <c r="J12" s="67"/>
      <c r="K12" s="68"/>
      <c r="L12" s="69"/>
      <c r="M12" s="69"/>
      <c r="N12" s="69"/>
    </row>
    <row r="13" spans="1:22" ht="18.75" x14ac:dyDescent="0.25">
      <c r="A13" s="121" t="s">
        <v>67</v>
      </c>
      <c r="B13" s="121"/>
      <c r="C13" s="121"/>
      <c r="D13" s="121"/>
      <c r="E13" s="121"/>
      <c r="F13" s="121"/>
      <c r="G13" s="121"/>
      <c r="H13" s="66"/>
      <c r="I13" s="66">
        <f>180/3</f>
        <v>60</v>
      </c>
      <c r="J13" s="67"/>
      <c r="K13" s="68"/>
      <c r="L13" s="69"/>
      <c r="M13" s="69"/>
      <c r="N13" s="69"/>
    </row>
    <row r="14" spans="1:22" x14ac:dyDescent="0.25">
      <c r="H14" s="66"/>
    </row>
    <row r="15" spans="1:22" s="5" customFormat="1" ht="29.25" customHeight="1" x14ac:dyDescent="0.25">
      <c r="A15" s="112" t="s">
        <v>1</v>
      </c>
      <c r="B15" s="112" t="s">
        <v>18</v>
      </c>
      <c r="C15" s="112" t="s">
        <v>54</v>
      </c>
      <c r="D15" s="122" t="s">
        <v>32</v>
      </c>
      <c r="E15" s="123"/>
      <c r="F15" s="122" t="s">
        <v>31</v>
      </c>
      <c r="G15" s="123"/>
      <c r="H15" s="66"/>
      <c r="I15" s="115" t="s">
        <v>28</v>
      </c>
      <c r="J15" s="116"/>
      <c r="K15" s="114" t="s">
        <v>69</v>
      </c>
      <c r="L15" s="112" t="s">
        <v>70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spans="1:22" ht="38.25" x14ac:dyDescent="0.25">
      <c r="A16" s="113"/>
      <c r="B16" s="113"/>
      <c r="C16" s="113"/>
      <c r="D16" s="44" t="s">
        <v>19</v>
      </c>
      <c r="E16" s="44" t="s">
        <v>34</v>
      </c>
      <c r="F16" s="44" t="s">
        <v>19</v>
      </c>
      <c r="G16" s="44" t="s">
        <v>33</v>
      </c>
      <c r="H16" s="66"/>
      <c r="I16" s="115"/>
      <c r="J16" s="116"/>
      <c r="K16" s="114"/>
      <c r="L16" s="113"/>
      <c r="M16" s="35"/>
      <c r="N16" s="24"/>
      <c r="O16" s="35"/>
      <c r="P16" s="24"/>
      <c r="Q16" s="35"/>
      <c r="R16" s="35"/>
      <c r="S16" s="35"/>
      <c r="T16" s="35"/>
      <c r="U16" s="35"/>
      <c r="V16" s="35"/>
    </row>
    <row r="17" spans="1:22" ht="15" x14ac:dyDescent="0.25">
      <c r="A17" s="7">
        <v>1</v>
      </c>
      <c r="B17" s="25" t="s">
        <v>60</v>
      </c>
      <c r="C17" s="97" t="s">
        <v>48</v>
      </c>
      <c r="D17" s="98">
        <v>436</v>
      </c>
      <c r="E17" s="27">
        <f t="shared" ref="E17:E26" si="7">D17/$D$27</f>
        <v>0.15516014234875444</v>
      </c>
      <c r="F17" s="42">
        <f ca="1">SUMIF('Транзакции в профилях'!$C$4:$I$36,C17,'Транзакции в профилях'!$I$4:$I$36)</f>
        <v>436</v>
      </c>
      <c r="G17" s="43">
        <f t="shared" ref="G17:G20" ca="1" si="8">1-D17/F17</f>
        <v>0</v>
      </c>
      <c r="H17" s="66"/>
      <c r="I17" s="111" t="s">
        <v>37</v>
      </c>
      <c r="J17" s="111"/>
      <c r="K17" s="40">
        <v>0.74099999999999999</v>
      </c>
      <c r="L17" s="40">
        <v>0.71</v>
      </c>
      <c r="M17" s="35"/>
      <c r="N17" s="24"/>
      <c r="O17" s="35"/>
      <c r="P17" s="35"/>
      <c r="Q17" s="35"/>
      <c r="R17" s="35"/>
      <c r="S17" s="24"/>
      <c r="T17" s="35"/>
      <c r="U17" s="35"/>
      <c r="V17" s="35"/>
    </row>
    <row r="18" spans="1:22" ht="15" x14ac:dyDescent="0.25">
      <c r="A18" s="7">
        <v>2</v>
      </c>
      <c r="B18" s="25" t="s">
        <v>20</v>
      </c>
      <c r="C18" s="8" t="s">
        <v>47</v>
      </c>
      <c r="D18" s="26">
        <v>422</v>
      </c>
      <c r="E18" s="27">
        <f>D18/$D$27</f>
        <v>0.1501779359430605</v>
      </c>
      <c r="F18" s="42">
        <f ca="1">SUMIF('Транзакции в профилях'!$C$4:$I$36,C18,'Транзакции в профилях'!$I$4:$I$36)</f>
        <v>436</v>
      </c>
      <c r="G18" s="43">
        <f t="shared" ca="1" si="8"/>
        <v>3.2110091743119296E-2</v>
      </c>
      <c r="H18" s="66"/>
      <c r="I18" s="111" t="s">
        <v>38</v>
      </c>
      <c r="J18" s="111"/>
      <c r="K18" s="40">
        <v>0.74099999999999999</v>
      </c>
      <c r="L18" s="40">
        <v>0.26500000000000001</v>
      </c>
      <c r="M18" s="24"/>
      <c r="N18" s="35"/>
      <c r="O18" s="24"/>
      <c r="P18" s="24"/>
      <c r="Q18" s="35"/>
      <c r="R18" s="35"/>
      <c r="S18" s="35"/>
      <c r="T18" s="35"/>
      <c r="U18" s="35"/>
      <c r="V18" s="24"/>
    </row>
    <row r="19" spans="1:22" ht="15" x14ac:dyDescent="0.25">
      <c r="A19" s="7">
        <v>3</v>
      </c>
      <c r="B19" s="25" t="s">
        <v>61</v>
      </c>
      <c r="C19" s="99" t="s">
        <v>46</v>
      </c>
      <c r="D19" s="98">
        <v>362</v>
      </c>
      <c r="E19" s="27">
        <f t="shared" si="7"/>
        <v>0.1288256227758007</v>
      </c>
      <c r="F19" s="42">
        <f ca="1">SUMIF('Транзакции в профилях'!$C$4:$I$36,C19,'Транзакции в профилях'!$I$4:$I$36)</f>
        <v>362</v>
      </c>
      <c r="G19" s="43">
        <f t="shared" ca="1" si="8"/>
        <v>0</v>
      </c>
      <c r="H19" s="66"/>
      <c r="I19" s="111" t="s">
        <v>39</v>
      </c>
      <c r="J19" s="111"/>
      <c r="K19" s="40">
        <v>0.74099999999999999</v>
      </c>
      <c r="L19" s="40">
        <v>0.66</v>
      </c>
      <c r="M19" s="24"/>
      <c r="N19" s="24"/>
      <c r="O19" s="24"/>
      <c r="P19" s="24"/>
      <c r="Q19" s="24"/>
      <c r="R19" s="24"/>
      <c r="S19" s="35"/>
      <c r="T19" s="35"/>
      <c r="U19" s="35"/>
      <c r="V19" s="35"/>
    </row>
    <row r="20" spans="1:22" ht="15" x14ac:dyDescent="0.25">
      <c r="A20" s="7">
        <v>4</v>
      </c>
      <c r="B20" s="25" t="s">
        <v>21</v>
      </c>
      <c r="C20" s="8" t="s">
        <v>45</v>
      </c>
      <c r="D20" s="26">
        <v>282</v>
      </c>
      <c r="E20" s="27">
        <f t="shared" si="7"/>
        <v>0.100355871886121</v>
      </c>
      <c r="F20" s="42">
        <f ca="1">SUMIF('Транзакции в профилях'!$C$4:$I$36,C20,'Транзакции в профилях'!$I$4:$I$36)</f>
        <v>291</v>
      </c>
      <c r="G20" s="43">
        <f t="shared" ca="1" si="8"/>
        <v>3.0927835051546393E-2</v>
      </c>
      <c r="H20" s="66"/>
      <c r="I20" s="111" t="s">
        <v>40</v>
      </c>
      <c r="J20" s="111"/>
      <c r="K20" s="40">
        <v>0.74099999999999999</v>
      </c>
      <c r="L20" s="40">
        <v>3.9</v>
      </c>
      <c r="M20" s="24"/>
      <c r="N20" s="24"/>
      <c r="O20" s="35"/>
      <c r="P20" s="24"/>
      <c r="Q20" s="35"/>
      <c r="R20" s="24"/>
      <c r="S20" s="24"/>
      <c r="T20" s="35"/>
      <c r="U20" s="35"/>
      <c r="V20" s="35"/>
    </row>
    <row r="21" spans="1:22" x14ac:dyDescent="0.25">
      <c r="A21" s="7">
        <v>5</v>
      </c>
      <c r="B21" s="25" t="s">
        <v>22</v>
      </c>
      <c r="C21" s="8" t="s">
        <v>51</v>
      </c>
      <c r="D21" s="26">
        <v>251</v>
      </c>
      <c r="E21" s="27">
        <f t="shared" si="7"/>
        <v>8.9323843416370105E-2</v>
      </c>
      <c r="F21" s="42">
        <f ca="1">SUMIF('Транзакции в профилях'!$C$4:$I$36,C21,'Транзакции в профилях'!$I$4:$I$36)</f>
        <v>253</v>
      </c>
      <c r="G21" s="43">
        <f ca="1">1-D21/F21</f>
        <v>7.905138339920903E-3</v>
      </c>
      <c r="H21" s="66"/>
      <c r="I21" s="111" t="s">
        <v>41</v>
      </c>
      <c r="J21" s="111"/>
      <c r="K21" s="40">
        <v>0.74099999999999999</v>
      </c>
      <c r="L21" s="40">
        <v>0.8</v>
      </c>
      <c r="M21" s="37"/>
      <c r="N21" s="37"/>
      <c r="O21" s="37"/>
      <c r="P21" s="37"/>
      <c r="Q21" s="37"/>
      <c r="R21" s="37"/>
      <c r="S21" s="37"/>
      <c r="T21" s="37"/>
      <c r="U21" s="37"/>
      <c r="V21" s="37"/>
    </row>
    <row r="22" spans="1:22" x14ac:dyDescent="0.25">
      <c r="A22" s="7">
        <v>6</v>
      </c>
      <c r="B22" s="25" t="s">
        <v>23</v>
      </c>
      <c r="C22" s="8" t="s">
        <v>53</v>
      </c>
      <c r="D22" s="26">
        <v>175</v>
      </c>
      <c r="E22" s="27">
        <f t="shared" si="7"/>
        <v>6.2277580071174378E-2</v>
      </c>
      <c r="F22" s="42">
        <f ca="1">SUMIF('Транзакции в профилях'!$C$4:$I$36,C22,'Транзакции в профилях'!$I$4:$I$36)</f>
        <v>180</v>
      </c>
      <c r="G22" s="43">
        <f t="shared" ref="G22:G26" ca="1" si="9">1-D22/F22</f>
        <v>2.777777777777779E-2</v>
      </c>
      <c r="H22" s="66"/>
      <c r="I22" s="111" t="s">
        <v>59</v>
      </c>
      <c r="J22" s="111"/>
      <c r="K22" s="41">
        <v>0.74099999999999999</v>
      </c>
      <c r="L22" s="40">
        <v>1</v>
      </c>
    </row>
    <row r="23" spans="1:22" s="11" customFormat="1" x14ac:dyDescent="0.25">
      <c r="A23" s="7">
        <v>7</v>
      </c>
      <c r="B23" s="25" t="s">
        <v>24</v>
      </c>
      <c r="C23" s="8" t="s">
        <v>44</v>
      </c>
      <c r="D23" s="26">
        <v>159</v>
      </c>
      <c r="E23" s="27">
        <f t="shared" si="7"/>
        <v>5.6583629893238431E-2</v>
      </c>
      <c r="F23" s="42">
        <f ca="1">SUMIF('Транзакции в профилях'!$C$4:$I$36,C23,'Транзакции в профилях'!$I$4:$I$36)</f>
        <v>158</v>
      </c>
      <c r="G23" s="43">
        <f t="shared" ca="1" si="9"/>
        <v>-6.3291139240506666E-3</v>
      </c>
      <c r="H23" s="66"/>
    </row>
    <row r="24" spans="1:22" ht="15" x14ac:dyDescent="0.25">
      <c r="A24" s="7">
        <v>8</v>
      </c>
      <c r="B24" s="25" t="s">
        <v>25</v>
      </c>
      <c r="C24" s="8" t="s">
        <v>52</v>
      </c>
      <c r="D24" s="26">
        <v>73</v>
      </c>
      <c r="E24" s="27">
        <f t="shared" si="7"/>
        <v>2.5978647686832741E-2</v>
      </c>
      <c r="F24" s="42">
        <f ca="1">SUMIF('Транзакции в профилях'!$C$4:$I$36,C24,'Транзакции в профилях'!$I$4:$I$36)</f>
        <v>71</v>
      </c>
      <c r="G24" s="43">
        <f t="shared" ca="1" si="9"/>
        <v>-2.8169014084507005E-2</v>
      </c>
      <c r="H24" s="66"/>
      <c r="I24"/>
      <c r="J24"/>
      <c r="K24"/>
      <c r="L24"/>
      <c r="M24"/>
      <c r="N24"/>
      <c r="O24"/>
    </row>
    <row r="25" spans="1:22" ht="15" x14ac:dyDescent="0.25">
      <c r="A25" s="7">
        <v>9</v>
      </c>
      <c r="B25" s="25" t="s">
        <v>62</v>
      </c>
      <c r="C25" s="99" t="s">
        <v>43</v>
      </c>
      <c r="D25" s="98">
        <v>324</v>
      </c>
      <c r="E25" s="27">
        <f t="shared" si="7"/>
        <v>0.11530249110320284</v>
      </c>
      <c r="F25" s="42">
        <f ca="1">SUMIF('Транзакции в профилях'!$C$4:$I$36,C25,'Транзакции в профилях'!$I$4:$I$36)</f>
        <v>324</v>
      </c>
      <c r="G25" s="43">
        <f t="shared" ca="1" si="9"/>
        <v>0</v>
      </c>
      <c r="H25" s="22"/>
      <c r="I25" s="22"/>
      <c r="J25" s="101"/>
      <c r="K25"/>
      <c r="L25"/>
      <c r="M25"/>
      <c r="N25"/>
      <c r="O25"/>
    </row>
    <row r="26" spans="1:22" ht="15" x14ac:dyDescent="0.25">
      <c r="A26" s="7">
        <v>10</v>
      </c>
      <c r="B26" s="25" t="s">
        <v>26</v>
      </c>
      <c r="C26" s="8" t="s">
        <v>42</v>
      </c>
      <c r="D26" s="26">
        <v>326</v>
      </c>
      <c r="E26" s="27">
        <f t="shared" si="7"/>
        <v>0.11601423487544484</v>
      </c>
      <c r="F26" s="42">
        <f ca="1">SUMIF('Транзакции в профилях'!$C$4:$I$36,C26,'Транзакции в профилях'!$I$4:$I$36)</f>
        <v>327</v>
      </c>
      <c r="G26" s="43">
        <f t="shared" ca="1" si="9"/>
        <v>3.0581039755351869E-3</v>
      </c>
      <c r="H26" s="22"/>
      <c r="I26" s="22"/>
      <c r="J26" s="101"/>
      <c r="K26"/>
      <c r="L26"/>
      <c r="M26"/>
      <c r="N26"/>
      <c r="O26"/>
    </row>
    <row r="27" spans="1:22" ht="15" x14ac:dyDescent="0.25">
      <c r="A27" s="70"/>
      <c r="B27" s="71" t="s">
        <v>27</v>
      </c>
      <c r="C27" s="71"/>
      <c r="D27" s="70">
        <f>SUM(D17:D26)</f>
        <v>2810</v>
      </c>
      <c r="E27" s="72">
        <v>1</v>
      </c>
      <c r="F27" s="73">
        <f ca="1">SUM(F17:F26)</f>
        <v>2838</v>
      </c>
      <c r="G27" s="72">
        <f ca="1">AVERAGE(G17:G26)</f>
        <v>6.7280818879341901E-3</v>
      </c>
      <c r="H27" s="22"/>
      <c r="I27" s="22"/>
      <c r="J27" s="101"/>
      <c r="K27"/>
      <c r="L27"/>
      <c r="M27"/>
      <c r="N27"/>
      <c r="O27"/>
    </row>
    <row r="28" spans="1:22" ht="15" x14ac:dyDescent="0.25">
      <c r="H28" s="22"/>
      <c r="I28" s="22"/>
      <c r="J28" s="101"/>
      <c r="K28"/>
      <c r="L28"/>
      <c r="M28"/>
      <c r="N28"/>
      <c r="O28"/>
    </row>
    <row r="29" spans="1:22" ht="18.75" x14ac:dyDescent="0.25">
      <c r="A29" s="120" t="s">
        <v>66</v>
      </c>
      <c r="B29" s="120"/>
      <c r="C29" s="120"/>
      <c r="D29" s="120"/>
      <c r="H29" s="22"/>
      <c r="I29" s="22"/>
      <c r="J29" s="101"/>
      <c r="K29"/>
      <c r="L29"/>
      <c r="M29"/>
      <c r="N29"/>
      <c r="O29"/>
    </row>
    <row r="30" spans="1:22" ht="15" x14ac:dyDescent="0.25">
      <c r="H30" s="22"/>
      <c r="I30" s="22"/>
      <c r="J30" s="101"/>
      <c r="K30"/>
      <c r="L30"/>
      <c r="M30"/>
      <c r="N30"/>
      <c r="O30"/>
    </row>
    <row r="31" spans="1:22" ht="15" x14ac:dyDescent="0.25">
      <c r="A31" s="6" t="s">
        <v>1</v>
      </c>
      <c r="B31" s="6" t="s">
        <v>5</v>
      </c>
      <c r="C31" s="6" t="s">
        <v>6</v>
      </c>
      <c r="D31" s="6" t="s">
        <v>7</v>
      </c>
      <c r="H31" s="22"/>
      <c r="I31" s="22"/>
      <c r="J31" s="36"/>
      <c r="K31"/>
      <c r="L31"/>
      <c r="M31"/>
      <c r="N31"/>
      <c r="O31"/>
    </row>
    <row r="32" spans="1:22" ht="15" x14ac:dyDescent="0.25">
      <c r="A32" s="7">
        <v>1</v>
      </c>
      <c r="B32" s="103">
        <f>G11</f>
        <v>10</v>
      </c>
      <c r="C32" s="16">
        <f>B32/$G$11</f>
        <v>1</v>
      </c>
      <c r="D32" s="19">
        <f>$J$11</f>
        <v>436</v>
      </c>
      <c r="H32" s="22"/>
      <c r="I32" s="22"/>
      <c r="J32" s="36"/>
      <c r="K32"/>
      <c r="L32"/>
      <c r="M32"/>
      <c r="N32"/>
      <c r="O32"/>
    </row>
    <row r="33" spans="1:15" ht="15" x14ac:dyDescent="0.25">
      <c r="A33" s="7">
        <v>2</v>
      </c>
      <c r="B33" s="18">
        <f>B32+$B$32</f>
        <v>20</v>
      </c>
      <c r="C33" s="16">
        <f>B33/$G$11</f>
        <v>2</v>
      </c>
      <c r="D33" s="19">
        <f>$J$11*C33</f>
        <v>872</v>
      </c>
      <c r="H33" s="22"/>
      <c r="I33" s="22"/>
      <c r="J33" s="36"/>
      <c r="K33"/>
      <c r="L33"/>
      <c r="M33"/>
      <c r="N33"/>
      <c r="O33"/>
    </row>
    <row r="34" spans="1:15" ht="15" x14ac:dyDescent="0.25">
      <c r="A34" s="7">
        <v>3</v>
      </c>
      <c r="B34" s="18">
        <f t="shared" ref="B34:B35" si="10">B33+$B$32</f>
        <v>30</v>
      </c>
      <c r="C34" s="16">
        <f>B34/$G$11</f>
        <v>3</v>
      </c>
      <c r="D34" s="19">
        <f>$J$11*C34</f>
        <v>1308</v>
      </c>
      <c r="H34" s="22"/>
      <c r="I34" s="22"/>
      <c r="J34" s="36"/>
      <c r="K34"/>
      <c r="L34"/>
      <c r="M34"/>
      <c r="N34"/>
      <c r="O34"/>
    </row>
    <row r="35" spans="1:15" ht="15" x14ac:dyDescent="0.25">
      <c r="A35" s="7">
        <v>4</v>
      </c>
      <c r="B35" s="18">
        <f t="shared" si="10"/>
        <v>40</v>
      </c>
      <c r="C35" s="16">
        <f>B35/$G$11</f>
        <v>4</v>
      </c>
      <c r="D35" s="19">
        <f>$J$11*C35</f>
        <v>1744</v>
      </c>
      <c r="H35" s="22"/>
      <c r="I35" s="22"/>
      <c r="J35" s="36"/>
      <c r="K35"/>
      <c r="L35"/>
      <c r="M35"/>
      <c r="N35"/>
      <c r="O35"/>
    </row>
    <row r="36" spans="1:15" ht="15" x14ac:dyDescent="0.25">
      <c r="A36" s="117" t="s">
        <v>64</v>
      </c>
      <c r="B36" s="118"/>
      <c r="C36" s="119"/>
      <c r="D36" s="77">
        <f>SUM(D32:D35)</f>
        <v>4360</v>
      </c>
      <c r="H36" s="22"/>
      <c r="I36" s="22"/>
      <c r="J36" s="23"/>
      <c r="K36"/>
      <c r="L36"/>
      <c r="M36"/>
      <c r="N36"/>
      <c r="O36"/>
    </row>
    <row r="37" spans="1:15" ht="15" x14ac:dyDescent="0.25">
      <c r="I37"/>
      <c r="J37"/>
      <c r="K37"/>
      <c r="L37"/>
      <c r="M37"/>
      <c r="N37"/>
      <c r="O37"/>
    </row>
    <row r="38" spans="1:15" ht="15" x14ac:dyDescent="0.25">
      <c r="I38"/>
      <c r="J38"/>
      <c r="K38"/>
    </row>
    <row r="39" spans="1:15" ht="15" x14ac:dyDescent="0.25">
      <c r="I39"/>
      <c r="J39"/>
      <c r="K39"/>
    </row>
    <row r="40" spans="1:15" ht="15" x14ac:dyDescent="0.25">
      <c r="I40"/>
      <c r="J40"/>
      <c r="K40"/>
    </row>
    <row r="41" spans="1:15" ht="15" x14ac:dyDescent="0.25">
      <c r="I41"/>
      <c r="J41"/>
      <c r="K41"/>
    </row>
    <row r="42" spans="1:15" ht="15" x14ac:dyDescent="0.25">
      <c r="I42"/>
      <c r="J42"/>
      <c r="K42"/>
    </row>
  </sheetData>
  <mergeCells count="31">
    <mergeCell ref="C3:C4"/>
    <mergeCell ref="K3:K4"/>
    <mergeCell ref="D15:E15"/>
    <mergeCell ref="F15:G15"/>
    <mergeCell ref="A11:D11"/>
    <mergeCell ref="A36:C36"/>
    <mergeCell ref="A29:D29"/>
    <mergeCell ref="A13:G13"/>
    <mergeCell ref="A1:N1"/>
    <mergeCell ref="L15:L16"/>
    <mergeCell ref="L3:N3"/>
    <mergeCell ref="A3:A4"/>
    <mergeCell ref="B3:B4"/>
    <mergeCell ref="D3:D4"/>
    <mergeCell ref="E3:E4"/>
    <mergeCell ref="F3:F4"/>
    <mergeCell ref="G3:G4"/>
    <mergeCell ref="H3:H4"/>
    <mergeCell ref="I3:I4"/>
    <mergeCell ref="J3:J4"/>
    <mergeCell ref="I20:J20"/>
    <mergeCell ref="I21:J21"/>
    <mergeCell ref="I22:J22"/>
    <mergeCell ref="A15:A16"/>
    <mergeCell ref="K15:K16"/>
    <mergeCell ref="I15:J16"/>
    <mergeCell ref="I17:J17"/>
    <mergeCell ref="I18:J18"/>
    <mergeCell ref="I19:J19"/>
    <mergeCell ref="C15:C16"/>
    <mergeCell ref="B15:B16"/>
  </mergeCells>
  <pageMargins left="0.7" right="0.7" top="0.75" bottom="0.75" header="0.3" footer="0.3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19" zoomScaleNormal="100" workbookViewId="0">
      <selection activeCell="C32" sqref="C32"/>
    </sheetView>
  </sheetViews>
  <sheetFormatPr defaultRowHeight="12.75" x14ac:dyDescent="0.2"/>
  <cols>
    <col min="1" max="1" width="26.5703125" style="9" customWidth="1"/>
    <col min="2" max="2" width="32.85546875" style="9" bestFit="1" customWidth="1"/>
    <col min="3" max="3" width="24.5703125" style="9" customWidth="1"/>
    <col min="4" max="4" width="9.42578125" style="10" customWidth="1"/>
    <col min="5" max="5" width="8" style="10" bestFit="1" customWidth="1"/>
    <col min="6" max="6" width="11" style="10" customWidth="1"/>
    <col min="7" max="7" width="16.140625" style="10" customWidth="1"/>
    <col min="8" max="8" width="15.28515625" style="10" customWidth="1"/>
    <col min="9" max="9" width="10.28515625" style="10" bestFit="1" customWidth="1"/>
    <col min="10" max="10" width="9.140625" style="9"/>
    <col min="11" max="11" width="17.28515625" style="9" customWidth="1"/>
    <col min="12" max="12" width="33.28515625" style="15" customWidth="1"/>
    <col min="13" max="16384" width="9.140625" style="9"/>
  </cols>
  <sheetData>
    <row r="1" spans="1:13" ht="20.25" x14ac:dyDescent="0.3">
      <c r="A1" s="124" t="s">
        <v>65</v>
      </c>
      <c r="B1" s="124"/>
      <c r="C1" s="124"/>
      <c r="D1" s="124"/>
      <c r="E1" s="124"/>
      <c r="F1" s="124"/>
      <c r="G1" s="124"/>
      <c r="H1" s="124"/>
      <c r="I1" s="124"/>
    </row>
    <row r="3" spans="1:13" s="5" customFormat="1" ht="26.25" thickBot="1" x14ac:dyDescent="0.25">
      <c r="A3" s="47" t="s">
        <v>28</v>
      </c>
      <c r="B3" s="47" t="s">
        <v>72</v>
      </c>
      <c r="C3" s="47" t="s">
        <v>54</v>
      </c>
      <c r="D3" s="47" t="s">
        <v>55</v>
      </c>
      <c r="E3" s="47" t="s">
        <v>29</v>
      </c>
      <c r="F3" s="47" t="s">
        <v>56</v>
      </c>
      <c r="G3" s="47" t="s">
        <v>71</v>
      </c>
      <c r="H3" s="47" t="s">
        <v>30</v>
      </c>
      <c r="I3" s="47" t="s">
        <v>27</v>
      </c>
      <c r="M3" s="9"/>
    </row>
    <row r="4" spans="1:13" ht="15" x14ac:dyDescent="0.25">
      <c r="A4" s="51" t="s">
        <v>37</v>
      </c>
      <c r="B4" s="84" t="s">
        <v>60</v>
      </c>
      <c r="C4" s="52" t="s">
        <v>48</v>
      </c>
      <c r="D4" s="53">
        <v>1</v>
      </c>
      <c r="E4" s="53">
        <f>VLOOKUP(A4,'Расчетная таблица'!$C$5:$G$9,5,0)</f>
        <v>2</v>
      </c>
      <c r="F4" s="53">
        <f>VLOOKUP(A4,'Расчетная таблица'!$C$5:$K$9,4,0)</f>
        <v>33</v>
      </c>
      <c r="G4" s="89">
        <f>VLOOKUP(A4,'Расчетная таблица'!$C$5:$K$9,6,0)</f>
        <v>1.8181818181818181</v>
      </c>
      <c r="H4" s="53">
        <f>VLOOKUP(A4,'Расчетная таблица'!$C$5:$K$9,7,0)</f>
        <v>20</v>
      </c>
      <c r="I4" s="54">
        <f>VLOOKUP(A4,'Расчетная таблица'!$C$5:$K$9,8,0)</f>
        <v>73</v>
      </c>
      <c r="M4"/>
    </row>
    <row r="5" spans="1:13" ht="15" x14ac:dyDescent="0.25">
      <c r="A5" s="55" t="s">
        <v>37</v>
      </c>
      <c r="B5" s="85" t="s">
        <v>20</v>
      </c>
      <c r="C5" s="12" t="s">
        <v>47</v>
      </c>
      <c r="D5" s="13">
        <v>1</v>
      </c>
      <c r="E5" s="13">
        <f>VLOOKUP(A5,'Расчетная таблица'!$C$5:$G$9,5,0)</f>
        <v>2</v>
      </c>
      <c r="F5" s="13">
        <f>VLOOKUP(A5,'Расчетная таблица'!$C$5:$K$9,4,0)</f>
        <v>33</v>
      </c>
      <c r="G5" s="90">
        <f>VLOOKUP(A5,'Расчетная таблица'!$C$5:$K$9,6,0)</f>
        <v>1.8181818181818181</v>
      </c>
      <c r="H5" s="13">
        <f>VLOOKUP(A5,'Расчетная таблица'!$C$5:$K$9,7,0)</f>
        <v>20</v>
      </c>
      <c r="I5" s="56">
        <f>VLOOKUP(A5,'Расчетная таблица'!$C$5:$K$9,8,0)</f>
        <v>73</v>
      </c>
      <c r="M5"/>
    </row>
    <row r="6" spans="1:13" ht="15" x14ac:dyDescent="0.25">
      <c r="A6" s="55" t="s">
        <v>37</v>
      </c>
      <c r="B6" s="85" t="s">
        <v>61</v>
      </c>
      <c r="C6" s="12" t="s">
        <v>46</v>
      </c>
      <c r="D6" s="13">
        <v>1</v>
      </c>
      <c r="E6" s="13">
        <f>VLOOKUP(A6,'Расчетная таблица'!$C$5:$G$9,5,0)</f>
        <v>2</v>
      </c>
      <c r="F6" s="13">
        <f>VLOOKUP(A6,'Расчетная таблица'!$C$5:$K$9,4,0)</f>
        <v>33</v>
      </c>
      <c r="G6" s="90">
        <f>VLOOKUP(A6,'Расчетная таблица'!$C$5:$K$9,6,0)</f>
        <v>1.8181818181818181</v>
      </c>
      <c r="H6" s="13">
        <f>VLOOKUP(A6,'Расчетная таблица'!$C$5:$K$9,7,0)</f>
        <v>20</v>
      </c>
      <c r="I6" s="56">
        <f>VLOOKUP(A6,'Расчетная таблица'!$C$5:$K$9,8,0)</f>
        <v>73</v>
      </c>
      <c r="M6"/>
    </row>
    <row r="7" spans="1:13" ht="15" x14ac:dyDescent="0.25">
      <c r="A7" s="55" t="s">
        <v>37</v>
      </c>
      <c r="B7" s="85" t="s">
        <v>21</v>
      </c>
      <c r="C7" s="12" t="s">
        <v>45</v>
      </c>
      <c r="D7" s="13">
        <v>1</v>
      </c>
      <c r="E7" s="13">
        <f>VLOOKUP(A7,'Расчетная таблица'!$C$5:$G$9,5,0)</f>
        <v>2</v>
      </c>
      <c r="F7" s="13">
        <f>VLOOKUP(A7,'Расчетная таблица'!$C$5:$K$9,4,0)</f>
        <v>33</v>
      </c>
      <c r="G7" s="90">
        <f>VLOOKUP(A7,'Расчетная таблица'!$C$5:$K$9,6,0)</f>
        <v>1.8181818181818181</v>
      </c>
      <c r="H7" s="13">
        <f>VLOOKUP(A7,'Расчетная таблица'!$C$5:$K$9,7,0)</f>
        <v>20</v>
      </c>
      <c r="I7" s="56">
        <f>VLOOKUP(A7,'Расчетная таблица'!$C$5:$K$9,8,0)</f>
        <v>73</v>
      </c>
      <c r="M7"/>
    </row>
    <row r="8" spans="1:13" ht="15" x14ac:dyDescent="0.25">
      <c r="A8" s="55" t="s">
        <v>37</v>
      </c>
      <c r="B8" s="85" t="s">
        <v>22</v>
      </c>
      <c r="C8" s="12" t="s">
        <v>51</v>
      </c>
      <c r="D8" s="13">
        <v>1</v>
      </c>
      <c r="E8" s="13">
        <f>VLOOKUP(A8,'Расчетная таблица'!$C$5:$G$9,5,0)</f>
        <v>2</v>
      </c>
      <c r="F8" s="13">
        <f>VLOOKUP(A8,'Расчетная таблица'!$C$5:$K$9,4,0)</f>
        <v>33</v>
      </c>
      <c r="G8" s="90">
        <f>VLOOKUP(A8,'Расчетная таблица'!$C$5:$K$9,6,0)</f>
        <v>1.8181818181818181</v>
      </c>
      <c r="H8" s="13">
        <f>VLOOKUP(A8,'Расчетная таблица'!$C$5:$K$9,7,0)</f>
        <v>20</v>
      </c>
      <c r="I8" s="56">
        <f>VLOOKUP(A8,'Расчетная таблица'!$C$5:$K$9,8,0)</f>
        <v>73</v>
      </c>
      <c r="M8"/>
    </row>
    <row r="9" spans="1:13" ht="15" x14ac:dyDescent="0.25">
      <c r="A9" s="55" t="s">
        <v>37</v>
      </c>
      <c r="B9" s="85" t="s">
        <v>24</v>
      </c>
      <c r="C9" s="12" t="s">
        <v>44</v>
      </c>
      <c r="D9" s="13">
        <v>1</v>
      </c>
      <c r="E9" s="13">
        <f>VLOOKUP(A9,'Расчетная таблица'!$C$5:$G$9,5,0)</f>
        <v>2</v>
      </c>
      <c r="F9" s="13">
        <f>VLOOKUP(A9,'Расчетная таблица'!$C$5:$K$9,4,0)</f>
        <v>33</v>
      </c>
      <c r="G9" s="90">
        <f>VLOOKUP(A9,'Расчетная таблица'!$C$5:$K$9,6,0)</f>
        <v>1.8181818181818181</v>
      </c>
      <c r="H9" s="13">
        <f>VLOOKUP(A9,'Расчетная таблица'!$C$5:$K$9,7,0)</f>
        <v>20</v>
      </c>
      <c r="I9" s="56">
        <f>VLOOKUP(A9,'Расчетная таблица'!$C$5:$K$9,8,0)</f>
        <v>73</v>
      </c>
      <c r="M9"/>
    </row>
    <row r="10" spans="1:13" ht="15" x14ac:dyDescent="0.25">
      <c r="A10" s="55" t="s">
        <v>37</v>
      </c>
      <c r="B10" s="85" t="s">
        <v>62</v>
      </c>
      <c r="C10" s="12" t="s">
        <v>43</v>
      </c>
      <c r="D10" s="13">
        <v>1</v>
      </c>
      <c r="E10" s="13">
        <f>VLOOKUP(A10,'Расчетная таблица'!$C$5:$G$9,5,0)</f>
        <v>2</v>
      </c>
      <c r="F10" s="13">
        <f>VLOOKUP(A10,'Расчетная таблица'!$C$5:$K$9,4,0)</f>
        <v>33</v>
      </c>
      <c r="G10" s="90">
        <f>VLOOKUP(A10,'Расчетная таблица'!$C$5:$K$9,6,0)</f>
        <v>1.8181818181818181</v>
      </c>
      <c r="H10" s="13">
        <f>VLOOKUP(A10,'Расчетная таблица'!$C$5:$K$9,7,0)</f>
        <v>20</v>
      </c>
      <c r="I10" s="56">
        <f>VLOOKUP(A10,'Расчетная таблица'!$C$5:$K$9,8,0)</f>
        <v>73</v>
      </c>
      <c r="M10"/>
    </row>
    <row r="11" spans="1:13" ht="15.75" thickBot="1" x14ac:dyDescent="0.3">
      <c r="A11" s="57" t="s">
        <v>37</v>
      </c>
      <c r="B11" s="86" t="s">
        <v>26</v>
      </c>
      <c r="C11" s="58" t="s">
        <v>42</v>
      </c>
      <c r="D11" s="59">
        <v>1</v>
      </c>
      <c r="E11" s="59">
        <f>VLOOKUP(A11,'Расчетная таблица'!$C$5:$G$9,5,0)</f>
        <v>2</v>
      </c>
      <c r="F11" s="59">
        <f>VLOOKUP(A11,'Расчетная таблица'!$C$5:$K$9,4,0)</f>
        <v>33</v>
      </c>
      <c r="G11" s="91">
        <f>VLOOKUP(A11,'Расчетная таблица'!$C$5:$K$9,6,0)</f>
        <v>1.8181818181818181</v>
      </c>
      <c r="H11" s="59">
        <f>VLOOKUP(A11,'Расчетная таблица'!$C$5:$K$9,7,0)</f>
        <v>20</v>
      </c>
      <c r="I11" s="60">
        <f>VLOOKUP(A11,'Расчетная таблица'!$C$5:$K$9,8,0)</f>
        <v>73</v>
      </c>
      <c r="M11"/>
    </row>
    <row r="12" spans="1:13" ht="15" x14ac:dyDescent="0.25">
      <c r="A12" s="48" t="s">
        <v>38</v>
      </c>
      <c r="B12" s="48" t="s">
        <v>60</v>
      </c>
      <c r="C12" s="48" t="s">
        <v>48</v>
      </c>
      <c r="D12" s="49">
        <v>1</v>
      </c>
      <c r="E12" s="49">
        <f>VLOOKUP(A12,'Расчетная таблица'!$C$5:$G$9,5,0)</f>
        <v>3</v>
      </c>
      <c r="F12" s="49">
        <f>VLOOKUP(A12,'Расчетная таблица'!$C$5:$K$9,4,0)</f>
        <v>20</v>
      </c>
      <c r="G12" s="92">
        <f>VLOOKUP(A12,'Расчетная таблица'!$C$5:$K$9,6,0)</f>
        <v>3</v>
      </c>
      <c r="H12" s="49">
        <f>VLOOKUP(A12,'Расчетная таблица'!$C$5:$K$9,7,0)</f>
        <v>20</v>
      </c>
      <c r="I12" s="50">
        <f>VLOOKUP(A12,'Расчетная таблица'!$C$5:$K$9,8,0)</f>
        <v>180</v>
      </c>
      <c r="M12"/>
    </row>
    <row r="13" spans="1:13" ht="15" x14ac:dyDescent="0.25">
      <c r="A13" s="12" t="s">
        <v>38</v>
      </c>
      <c r="B13" s="12" t="s">
        <v>20</v>
      </c>
      <c r="C13" s="12" t="s">
        <v>47</v>
      </c>
      <c r="D13" s="13">
        <v>1</v>
      </c>
      <c r="E13" s="13">
        <f>VLOOKUP(A13,'Расчетная таблица'!$C$5:$G$9,5,0)</f>
        <v>3</v>
      </c>
      <c r="F13" s="13">
        <f>VLOOKUP(A13,'Расчетная таблица'!$C$5:$K$9,4,0)</f>
        <v>20</v>
      </c>
      <c r="G13" s="90">
        <f>VLOOKUP(A13,'Расчетная таблица'!$C$5:$K$9,6,0)</f>
        <v>3</v>
      </c>
      <c r="H13" s="13">
        <f>VLOOKUP(A13,'Расчетная таблица'!$C$5:$K$9,7,0)</f>
        <v>20</v>
      </c>
      <c r="I13" s="14">
        <f>VLOOKUP(A13,'Расчетная таблица'!$C$5:$K$9,8,0)</f>
        <v>180</v>
      </c>
      <c r="M13"/>
    </row>
    <row r="14" spans="1:13" ht="15" x14ac:dyDescent="0.25">
      <c r="A14" s="12" t="s">
        <v>38</v>
      </c>
      <c r="B14" s="12" t="s">
        <v>61</v>
      </c>
      <c r="C14" s="12" t="s">
        <v>46</v>
      </c>
      <c r="D14" s="13">
        <v>1</v>
      </c>
      <c r="E14" s="13">
        <f>VLOOKUP(A14,'Расчетная таблица'!$C$5:$G$9,5,0)</f>
        <v>3</v>
      </c>
      <c r="F14" s="13">
        <f>VLOOKUP(A14,'Расчетная таблица'!$C$5:$K$9,4,0)</f>
        <v>20</v>
      </c>
      <c r="G14" s="90">
        <f>VLOOKUP(A14,'Расчетная таблица'!$C$5:$K$9,6,0)</f>
        <v>3</v>
      </c>
      <c r="H14" s="13">
        <f>VLOOKUP(A14,'Расчетная таблица'!$C$5:$K$9,7,0)</f>
        <v>20</v>
      </c>
      <c r="I14" s="14">
        <f>VLOOKUP(A14,'Расчетная таблица'!$C$5:$K$9,8,0)</f>
        <v>180</v>
      </c>
      <c r="M14"/>
    </row>
    <row r="15" spans="1:13" ht="15" x14ac:dyDescent="0.25">
      <c r="A15" s="12" t="s">
        <v>38</v>
      </c>
      <c r="B15" s="12" t="s">
        <v>21</v>
      </c>
      <c r="C15" s="12" t="s">
        <v>45</v>
      </c>
      <c r="D15" s="13">
        <v>1</v>
      </c>
      <c r="E15" s="13">
        <f>VLOOKUP(A15,'Расчетная таблица'!$C$5:$G$9,5,0)</f>
        <v>3</v>
      </c>
      <c r="F15" s="13">
        <f>VLOOKUP(A15,'Расчетная таблица'!$C$5:$K$9,4,0)</f>
        <v>20</v>
      </c>
      <c r="G15" s="90">
        <f>VLOOKUP(A15,'Расчетная таблица'!$C$5:$K$9,6,0)</f>
        <v>3</v>
      </c>
      <c r="H15" s="13">
        <f>VLOOKUP(A15,'Расчетная таблица'!$C$5:$K$9,7,0)</f>
        <v>20</v>
      </c>
      <c r="I15" s="14">
        <f>VLOOKUP(A15,'Расчетная таблица'!$C$5:$K$9,8,0)</f>
        <v>180</v>
      </c>
      <c r="M15"/>
    </row>
    <row r="16" spans="1:13" ht="15" x14ac:dyDescent="0.25">
      <c r="A16" s="12" t="s">
        <v>38</v>
      </c>
      <c r="B16" s="12" t="s">
        <v>22</v>
      </c>
      <c r="C16" s="12" t="s">
        <v>51</v>
      </c>
      <c r="D16" s="13">
        <v>1</v>
      </c>
      <c r="E16" s="13">
        <f>VLOOKUP(A16,'Расчетная таблица'!$C$5:$G$9,5,0)</f>
        <v>3</v>
      </c>
      <c r="F16" s="13">
        <f>VLOOKUP(A16,'Расчетная таблица'!$C$5:$K$9,4,0)</f>
        <v>20</v>
      </c>
      <c r="G16" s="90">
        <f>VLOOKUP(A16,'Расчетная таблица'!$C$5:$K$9,6,0)</f>
        <v>3</v>
      </c>
      <c r="H16" s="13">
        <f>VLOOKUP(A16,'Расчетная таблица'!$C$5:$K$9,7,0)</f>
        <v>20</v>
      </c>
      <c r="I16" s="14">
        <f>VLOOKUP(A16,'Расчетная таблица'!$C$5:$K$9,8,0)</f>
        <v>180</v>
      </c>
      <c r="M16"/>
    </row>
    <row r="17" spans="1:13" ht="15" x14ac:dyDescent="0.25">
      <c r="A17" s="12" t="s">
        <v>38</v>
      </c>
      <c r="B17" s="12" t="s">
        <v>23</v>
      </c>
      <c r="C17" s="12" t="s">
        <v>53</v>
      </c>
      <c r="D17" s="13">
        <v>1</v>
      </c>
      <c r="E17" s="13">
        <f>VLOOKUP(A17,'Расчетная таблица'!$C$5:$G$9,5,0)</f>
        <v>3</v>
      </c>
      <c r="F17" s="13">
        <f>VLOOKUP(A17,'Расчетная таблица'!$C$5:$K$9,4,0)</f>
        <v>20</v>
      </c>
      <c r="G17" s="90">
        <f>VLOOKUP(A17,'Расчетная таблица'!$C$5:$K$9,6,0)</f>
        <v>3</v>
      </c>
      <c r="H17" s="13">
        <f>VLOOKUP(A17,'Расчетная таблица'!$C$5:$K$9,7,0)</f>
        <v>20</v>
      </c>
      <c r="I17" s="14">
        <f>VLOOKUP(A17,'Расчетная таблица'!$C$5:$K$9,8,0)</f>
        <v>180</v>
      </c>
      <c r="K17"/>
      <c r="L17"/>
      <c r="M17"/>
    </row>
    <row r="18" spans="1:13" ht="15" x14ac:dyDescent="0.25">
      <c r="A18" s="12" t="s">
        <v>38</v>
      </c>
      <c r="B18" s="12" t="s">
        <v>62</v>
      </c>
      <c r="C18" s="12" t="s">
        <v>43</v>
      </c>
      <c r="D18" s="13">
        <v>1</v>
      </c>
      <c r="E18" s="13">
        <f>VLOOKUP(A18,'Расчетная таблица'!$C$5:$G$9,5,0)</f>
        <v>3</v>
      </c>
      <c r="F18" s="13">
        <f>VLOOKUP(A18,'Расчетная таблица'!$C$5:$K$9,4,0)</f>
        <v>20</v>
      </c>
      <c r="G18" s="90">
        <f>VLOOKUP(A18,'Расчетная таблица'!$C$5:$K$9,6,0)</f>
        <v>3</v>
      </c>
      <c r="H18" s="13">
        <f>VLOOKUP(A18,'Расчетная таблица'!$C$5:$K$9,7,0)</f>
        <v>20</v>
      </c>
      <c r="I18" s="14">
        <f>VLOOKUP(A18,'Расчетная таблица'!$C$5:$K$9,8,0)</f>
        <v>180</v>
      </c>
      <c r="K18"/>
      <c r="L18"/>
      <c r="M18"/>
    </row>
    <row r="19" spans="1:13" ht="15.75" thickBot="1" x14ac:dyDescent="0.3">
      <c r="A19" s="61" t="s">
        <v>38</v>
      </c>
      <c r="B19" s="61" t="s">
        <v>26</v>
      </c>
      <c r="C19" s="61" t="s">
        <v>42</v>
      </c>
      <c r="D19" s="62">
        <v>1</v>
      </c>
      <c r="E19" s="62">
        <f>VLOOKUP(A19,'Расчетная таблица'!$C$5:$G$9,5,0)</f>
        <v>3</v>
      </c>
      <c r="F19" s="62">
        <f>VLOOKUP(A19,'Расчетная таблица'!$C$5:$K$9,4,0)</f>
        <v>20</v>
      </c>
      <c r="G19" s="93">
        <f>VLOOKUP(A19,'Расчетная таблица'!$C$5:$K$9,6,0)</f>
        <v>3</v>
      </c>
      <c r="H19" s="62">
        <f>VLOOKUP(A19,'Расчетная таблица'!$C$5:$K$9,7,0)</f>
        <v>20</v>
      </c>
      <c r="I19" s="63">
        <f>VLOOKUP(A19,'Расчетная таблица'!$C$5:$K$9,8,0)</f>
        <v>180</v>
      </c>
      <c r="K19"/>
      <c r="L19"/>
      <c r="M19"/>
    </row>
    <row r="20" spans="1:13" ht="15" x14ac:dyDescent="0.25">
      <c r="A20" s="51" t="s">
        <v>39</v>
      </c>
      <c r="B20" s="84" t="s">
        <v>60</v>
      </c>
      <c r="C20" s="52" t="s">
        <v>48</v>
      </c>
      <c r="D20" s="53">
        <v>1</v>
      </c>
      <c r="E20" s="53">
        <f>VLOOKUP(A20,'Расчетная таблица'!$C$5:$G$9,5,0)</f>
        <v>2</v>
      </c>
      <c r="F20" s="53">
        <f>VLOOKUP(A20,'Расчетная таблица'!$C$5:$K$9,4,0)</f>
        <v>34</v>
      </c>
      <c r="G20" s="89">
        <f>VLOOKUP(A20,'Расчетная таблица'!$C$5:$K$9,6,0)</f>
        <v>1.7647058823529411</v>
      </c>
      <c r="H20" s="53">
        <f>VLOOKUP(A20,'Расчетная таблица'!$C$5:$K$9,7,0)</f>
        <v>20</v>
      </c>
      <c r="I20" s="54">
        <f>VLOOKUP(A20,'Расчетная таблица'!$C$5:$K$9,8,0)</f>
        <v>71</v>
      </c>
      <c r="K20"/>
      <c r="L20"/>
      <c r="M20"/>
    </row>
    <row r="21" spans="1:13" ht="15" x14ac:dyDescent="0.25">
      <c r="A21" s="55" t="s">
        <v>39</v>
      </c>
      <c r="B21" s="85" t="s">
        <v>20</v>
      </c>
      <c r="C21" s="12" t="s">
        <v>47</v>
      </c>
      <c r="D21" s="13">
        <v>1</v>
      </c>
      <c r="E21" s="13">
        <f>VLOOKUP(A21,'Расчетная таблица'!$C$5:$G$9,5,0)</f>
        <v>2</v>
      </c>
      <c r="F21" s="13">
        <f>VLOOKUP(A21,'Расчетная таблица'!$C$5:$K$9,4,0)</f>
        <v>34</v>
      </c>
      <c r="G21" s="90">
        <f>VLOOKUP(A21,'Расчетная таблица'!$C$5:$K$9,6,0)</f>
        <v>1.7647058823529411</v>
      </c>
      <c r="H21" s="13">
        <f>VLOOKUP(A21,'Расчетная таблица'!$C$5:$K$9,7,0)</f>
        <v>20</v>
      </c>
      <c r="I21" s="56">
        <f>VLOOKUP(A21,'Расчетная таблица'!$C$5:$K$9,8,0)</f>
        <v>71</v>
      </c>
      <c r="K21"/>
      <c r="L21"/>
      <c r="M21"/>
    </row>
    <row r="22" spans="1:13" x14ac:dyDescent="0.2">
      <c r="A22" s="55" t="s">
        <v>39</v>
      </c>
      <c r="B22" s="85" t="s">
        <v>61</v>
      </c>
      <c r="C22" s="12" t="s">
        <v>46</v>
      </c>
      <c r="D22" s="13">
        <v>1</v>
      </c>
      <c r="E22" s="13">
        <f>VLOOKUP(A22,'Расчетная таблица'!$C$5:$G$9,5,0)</f>
        <v>2</v>
      </c>
      <c r="F22" s="13">
        <f>VLOOKUP(A22,'Расчетная таблица'!$C$5:$K$9,4,0)</f>
        <v>34</v>
      </c>
      <c r="G22" s="90">
        <f>VLOOKUP(A22,'Расчетная таблица'!$C$5:$K$9,6,0)</f>
        <v>1.7647058823529411</v>
      </c>
      <c r="H22" s="13">
        <f>VLOOKUP(A22,'Расчетная таблица'!$C$5:$K$9,7,0)</f>
        <v>20</v>
      </c>
      <c r="I22" s="56">
        <f>VLOOKUP(A22,'Расчетная таблица'!$C$5:$K$9,8,0)</f>
        <v>71</v>
      </c>
    </row>
    <row r="23" spans="1:13" x14ac:dyDescent="0.2">
      <c r="A23" s="55" t="s">
        <v>39</v>
      </c>
      <c r="B23" s="85" t="s">
        <v>24</v>
      </c>
      <c r="C23" s="12" t="s">
        <v>44</v>
      </c>
      <c r="D23" s="13">
        <v>1</v>
      </c>
      <c r="E23" s="13">
        <f>VLOOKUP(A23,'Расчетная таблица'!$C$5:$G$9,5,0)</f>
        <v>2</v>
      </c>
      <c r="F23" s="13">
        <f>VLOOKUP(A23,'Расчетная таблица'!$C$5:$K$9,4,0)</f>
        <v>34</v>
      </c>
      <c r="G23" s="90">
        <f>VLOOKUP(A23,'Расчетная таблица'!$C$5:$K$9,6,0)</f>
        <v>1.7647058823529411</v>
      </c>
      <c r="H23" s="13">
        <f>VLOOKUP(A23,'Расчетная таблица'!$C$5:$K$9,7,0)</f>
        <v>20</v>
      </c>
      <c r="I23" s="56">
        <f>VLOOKUP(A23,'Расчетная таблица'!$C$5:$K$9,8,0)</f>
        <v>71</v>
      </c>
    </row>
    <row r="24" spans="1:13" x14ac:dyDescent="0.2">
      <c r="A24" s="55" t="s">
        <v>39</v>
      </c>
      <c r="B24" s="85" t="s">
        <v>25</v>
      </c>
      <c r="C24" s="12" t="s">
        <v>52</v>
      </c>
      <c r="D24" s="13">
        <v>1</v>
      </c>
      <c r="E24" s="13">
        <f>VLOOKUP(A24,'Расчетная таблица'!$C$5:$G$9,5,0)</f>
        <v>2</v>
      </c>
      <c r="F24" s="13">
        <f>VLOOKUP(A24,'Расчетная таблица'!$C$5:$K$9,4,0)</f>
        <v>34</v>
      </c>
      <c r="G24" s="90">
        <f>VLOOKUP(A24,'Расчетная таблица'!$C$5:$K$9,6,0)</f>
        <v>1.7647058823529411</v>
      </c>
      <c r="H24" s="13">
        <f>VLOOKUP(A24,'Расчетная таблица'!$C$5:$K$9,7,0)</f>
        <v>20</v>
      </c>
      <c r="I24" s="56">
        <f>VLOOKUP(A24,'Расчетная таблица'!$C$5:$K$9,8,0)</f>
        <v>71</v>
      </c>
    </row>
    <row r="25" spans="1:13" ht="13.5" thickBot="1" x14ac:dyDescent="0.25">
      <c r="A25" s="57" t="s">
        <v>39</v>
      </c>
      <c r="B25" s="86" t="s">
        <v>62</v>
      </c>
      <c r="C25" s="58" t="s">
        <v>43</v>
      </c>
      <c r="D25" s="59">
        <v>1</v>
      </c>
      <c r="E25" s="59">
        <f>VLOOKUP(A25,'Расчетная таблица'!$C$5:$G$9,5,0)</f>
        <v>2</v>
      </c>
      <c r="F25" s="59">
        <f>VLOOKUP(A25,'Расчетная таблица'!$C$5:$K$9,4,0)</f>
        <v>34</v>
      </c>
      <c r="G25" s="91">
        <f>VLOOKUP(A25,'Расчетная таблица'!$C$5:$K$9,6,0)</f>
        <v>1.7647058823529411</v>
      </c>
      <c r="H25" s="59">
        <f>VLOOKUP(A25,'Расчетная таблица'!$C$5:$K$9,7,0)</f>
        <v>20</v>
      </c>
      <c r="I25" s="60">
        <f>VLOOKUP(A25,'Расчетная таблица'!$C$5:$K$9,8,0)</f>
        <v>71</v>
      </c>
    </row>
    <row r="26" spans="1:13" x14ac:dyDescent="0.2">
      <c r="A26" s="48" t="s">
        <v>40</v>
      </c>
      <c r="B26" s="48" t="s">
        <v>60</v>
      </c>
      <c r="C26" s="48" t="s">
        <v>48</v>
      </c>
      <c r="D26" s="49">
        <v>1</v>
      </c>
      <c r="E26" s="49">
        <f>VLOOKUP(A26,'Расчетная таблица'!$C$5:$G$9,5,0)</f>
        <v>1</v>
      </c>
      <c r="F26" s="49">
        <f>VLOOKUP(A26,'Расчетная таблица'!$C$5:$K$9,4,0)</f>
        <v>84</v>
      </c>
      <c r="G26" s="92">
        <f>VLOOKUP(A26,'Расчетная таблица'!$C$5:$K$9,6,0)</f>
        <v>0.7142857142857143</v>
      </c>
      <c r="H26" s="49">
        <f>VLOOKUP(A26,'Расчетная таблица'!$C$5:$K$9,7,0)</f>
        <v>20</v>
      </c>
      <c r="I26" s="50">
        <f>VLOOKUP(A26,'Расчетная таблица'!$C$5:$K$9,8,0)</f>
        <v>14</v>
      </c>
    </row>
    <row r="27" spans="1:13" x14ac:dyDescent="0.2">
      <c r="A27" s="12" t="s">
        <v>40</v>
      </c>
      <c r="B27" s="12" t="s">
        <v>20</v>
      </c>
      <c r="C27" s="12" t="s">
        <v>47</v>
      </c>
      <c r="D27" s="13">
        <v>1</v>
      </c>
      <c r="E27" s="13">
        <f>VLOOKUP(A27,'Расчетная таблица'!$C$5:$G$9,5,0)</f>
        <v>1</v>
      </c>
      <c r="F27" s="13">
        <f>VLOOKUP(A27,'Расчетная таблица'!$C$5:$K$9,4,0)</f>
        <v>84</v>
      </c>
      <c r="G27" s="90">
        <f>VLOOKUP(A27,'Расчетная таблица'!$C$5:$K$9,6,0)</f>
        <v>0.7142857142857143</v>
      </c>
      <c r="H27" s="13">
        <f>VLOOKUP(A27,'Расчетная таблица'!$C$5:$K$9,7,0)</f>
        <v>20</v>
      </c>
      <c r="I27" s="14">
        <f>VLOOKUP(A27,'Расчетная таблица'!$C$5:$K$9,8,0)</f>
        <v>14</v>
      </c>
    </row>
    <row r="28" spans="1:13" x14ac:dyDescent="0.2">
      <c r="A28" s="12" t="s">
        <v>40</v>
      </c>
      <c r="B28" s="12" t="s">
        <v>24</v>
      </c>
      <c r="C28" s="12" t="s">
        <v>44</v>
      </c>
      <c r="D28" s="13">
        <v>1</v>
      </c>
      <c r="E28" s="13">
        <f>VLOOKUP(A28,'Расчетная таблица'!$C$5:$G$9,5,0)</f>
        <v>1</v>
      </c>
      <c r="F28" s="13">
        <f>VLOOKUP(A28,'Расчетная таблица'!$C$5:$K$9,4,0)</f>
        <v>84</v>
      </c>
      <c r="G28" s="90">
        <f>VLOOKUP(A28,'Расчетная таблица'!$C$5:$K$9,6,0)</f>
        <v>0.7142857142857143</v>
      </c>
      <c r="H28" s="13">
        <f>VLOOKUP(A28,'Расчетная таблица'!$C$5:$K$9,7,0)</f>
        <v>20</v>
      </c>
      <c r="I28" s="14">
        <f>VLOOKUP(A28,'Расчетная таблица'!$C$5:$K$9,8,0)</f>
        <v>14</v>
      </c>
    </row>
    <row r="29" spans="1:13" ht="13.5" thickBot="1" x14ac:dyDescent="0.25">
      <c r="A29" s="61" t="s">
        <v>40</v>
      </c>
      <c r="B29" s="61" t="s">
        <v>26</v>
      </c>
      <c r="C29" s="61" t="s">
        <v>42</v>
      </c>
      <c r="D29" s="62">
        <v>1</v>
      </c>
      <c r="E29" s="62">
        <f>VLOOKUP(A29,'Расчетная таблица'!$C$5:$G$9,5,0)</f>
        <v>1</v>
      </c>
      <c r="F29" s="62">
        <f>VLOOKUP(A29,'Расчетная таблица'!$C$5:$K$9,4,0)</f>
        <v>84</v>
      </c>
      <c r="G29" s="93">
        <f>VLOOKUP(A29,'Расчетная таблица'!$C$5:$K$9,6,0)</f>
        <v>0.7142857142857143</v>
      </c>
      <c r="H29" s="62">
        <f>VLOOKUP(A29,'Расчетная таблица'!$C$5:$K$9,7,0)</f>
        <v>20</v>
      </c>
      <c r="I29" s="63">
        <f>VLOOKUP(A29,'Расчетная таблица'!$C$5:$K$9,8,0)</f>
        <v>14</v>
      </c>
    </row>
    <row r="30" spans="1:13" x14ac:dyDescent="0.2">
      <c r="A30" s="51" t="s">
        <v>41</v>
      </c>
      <c r="B30" s="84" t="s">
        <v>60</v>
      </c>
      <c r="C30" s="52" t="s">
        <v>48</v>
      </c>
      <c r="D30" s="53">
        <v>1</v>
      </c>
      <c r="E30" s="53">
        <f>VLOOKUP(A30,'Расчетная таблица'!$C$5:$G$9,5,0)</f>
        <v>1</v>
      </c>
      <c r="F30" s="53">
        <f>VLOOKUP(A30,'Расчетная таблица'!$C$5:$K$9,4,0)</f>
        <v>32</v>
      </c>
      <c r="G30" s="89">
        <f>VLOOKUP(A30,'Расчетная таблица'!$C$5:$K$9,6,0)</f>
        <v>1.875</v>
      </c>
      <c r="H30" s="53">
        <f>VLOOKUP(A30,'Расчетная таблица'!$C$5:$K$9,7,0)</f>
        <v>20</v>
      </c>
      <c r="I30" s="54">
        <f>VLOOKUP(A30,'Расчетная таблица'!$C$5:$K$9,8,0)</f>
        <v>38</v>
      </c>
    </row>
    <row r="31" spans="1:13" x14ac:dyDescent="0.2">
      <c r="A31" s="55" t="s">
        <v>41</v>
      </c>
      <c r="B31" s="85" t="s">
        <v>20</v>
      </c>
      <c r="C31" s="12" t="s">
        <v>47</v>
      </c>
      <c r="D31" s="13">
        <v>1</v>
      </c>
      <c r="E31" s="13">
        <f>VLOOKUP(A31,'Расчетная таблица'!$C$5:$G$9,5,0)</f>
        <v>1</v>
      </c>
      <c r="F31" s="13">
        <f>VLOOKUP(A31,'Расчетная таблица'!$C$5:$K$9,4,0)</f>
        <v>32</v>
      </c>
      <c r="G31" s="90">
        <f>VLOOKUP(A31,'Расчетная таблица'!$C$5:$K$9,6,0)</f>
        <v>1.875</v>
      </c>
      <c r="H31" s="13">
        <f>VLOOKUP(A31,'Расчетная таблица'!$C$5:$K$9,7,0)</f>
        <v>20</v>
      </c>
      <c r="I31" s="56">
        <f>VLOOKUP(A31,'Расчетная таблица'!$C$5:$K$9,8,0)</f>
        <v>38</v>
      </c>
    </row>
    <row r="32" spans="1:13" x14ac:dyDescent="0.2">
      <c r="A32" s="55" t="s">
        <v>41</v>
      </c>
      <c r="B32" s="85" t="s">
        <v>61</v>
      </c>
      <c r="C32" s="12" t="s">
        <v>46</v>
      </c>
      <c r="D32" s="13">
        <v>1</v>
      </c>
      <c r="E32" s="13">
        <f>VLOOKUP(A32,'Расчетная таблица'!$C$5:$G$9,5,0)</f>
        <v>1</v>
      </c>
      <c r="F32" s="13">
        <f>VLOOKUP(A32,'Расчетная таблица'!$C$5:$K$9,4,0)</f>
        <v>32</v>
      </c>
      <c r="G32" s="90">
        <f>VLOOKUP(A32,'Расчетная таблица'!$C$5:$K$9,6,0)</f>
        <v>1.875</v>
      </c>
      <c r="H32" s="13">
        <f>VLOOKUP(A32,'Расчетная таблица'!$C$5:$K$9,7,0)</f>
        <v>20</v>
      </c>
      <c r="I32" s="56">
        <f>VLOOKUP(A32,'Расчетная таблица'!$C$5:$K$9,8,0)</f>
        <v>38</v>
      </c>
    </row>
    <row r="33" spans="1:9" ht="13.5" thickBot="1" x14ac:dyDescent="0.25">
      <c r="A33" s="57" t="s">
        <v>41</v>
      </c>
      <c r="B33" s="86" t="s">
        <v>21</v>
      </c>
      <c r="C33" s="58" t="s">
        <v>45</v>
      </c>
      <c r="D33" s="59">
        <v>1</v>
      </c>
      <c r="E33" s="59">
        <f>VLOOKUP(A33,'Расчетная таблица'!$C$5:$G$9,5,0)</f>
        <v>1</v>
      </c>
      <c r="F33" s="59">
        <f>VLOOKUP(A33,'Расчетная таблица'!$C$5:$K$9,4,0)</f>
        <v>32</v>
      </c>
      <c r="G33" s="91">
        <f>VLOOKUP(A33,'Расчетная таблица'!$C$5:$K$9,6,0)</f>
        <v>1.875</v>
      </c>
      <c r="H33" s="59">
        <f>VLOOKUP(A33,'Расчетная таблица'!$C$5:$K$9,7,0)</f>
        <v>20</v>
      </c>
      <c r="I33" s="60">
        <f>VLOOKUP(A33,'Расчетная таблица'!$C$5:$K$9,8,0)</f>
        <v>38</v>
      </c>
    </row>
    <row r="34" spans="1:9" ht="12" customHeight="1" x14ac:dyDescent="0.2">
      <c r="A34" s="48" t="s">
        <v>59</v>
      </c>
      <c r="B34" s="48" t="s">
        <v>60</v>
      </c>
      <c r="C34" s="48" t="s">
        <v>48</v>
      </c>
      <c r="D34" s="49">
        <v>1</v>
      </c>
      <c r="E34" s="49">
        <f>VLOOKUP(A34,'Расчетная таблица'!$C$5:$G$10,5,0)</f>
        <v>1</v>
      </c>
      <c r="F34" s="49">
        <f>VLOOKUP(A34,'Расчетная таблица'!$C$5:$K$10,4,0)</f>
        <v>20</v>
      </c>
      <c r="G34" s="92">
        <f>VLOOKUP(A34,'Расчетная таблица'!$C$5:$K$11,6,0)</f>
        <v>3</v>
      </c>
      <c r="H34" s="49">
        <f>VLOOKUP(A34,'Расчетная таблица'!$C$5:$K$10,7,0)</f>
        <v>20</v>
      </c>
      <c r="I34" s="50">
        <f>VLOOKUP(A34,'Расчетная таблица'!$C$5:$K$10,8,0)</f>
        <v>60</v>
      </c>
    </row>
    <row r="35" spans="1:9" ht="12" customHeight="1" x14ac:dyDescent="0.2">
      <c r="A35" s="12" t="s">
        <v>59</v>
      </c>
      <c r="B35" s="12" t="s">
        <v>20</v>
      </c>
      <c r="C35" s="12" t="s">
        <v>47</v>
      </c>
      <c r="D35" s="13">
        <v>1</v>
      </c>
      <c r="E35" s="13">
        <f>VLOOKUP(A35,'Расчетная таблица'!$C$5:$G$10,5,0)</f>
        <v>1</v>
      </c>
      <c r="F35" s="13">
        <f>VLOOKUP(A35,'Расчетная таблица'!$C$5:$K$10,4,0)</f>
        <v>20</v>
      </c>
      <c r="G35" s="90">
        <f>VLOOKUP(A35,'Расчетная таблица'!$C$5:$K$11,6,0)</f>
        <v>3</v>
      </c>
      <c r="H35" s="13">
        <f>VLOOKUP(A35,'Расчетная таблица'!$C$5:$K$10,7,0)</f>
        <v>20</v>
      </c>
      <c r="I35" s="14">
        <f>VLOOKUP(A35,'Расчетная таблица'!$C$5:$K$10,8,0)</f>
        <v>60</v>
      </c>
    </row>
    <row r="36" spans="1:9" x14ac:dyDescent="0.2">
      <c r="A36" s="12" t="s">
        <v>59</v>
      </c>
      <c r="B36" s="12" t="s">
        <v>26</v>
      </c>
      <c r="C36" s="12" t="s">
        <v>42</v>
      </c>
      <c r="D36" s="13">
        <v>1</v>
      </c>
      <c r="E36" s="13">
        <f>VLOOKUP(A36,'Расчетная таблица'!$C$5:$G$10,5,0)</f>
        <v>1</v>
      </c>
      <c r="F36" s="13">
        <f>VLOOKUP(A36,'Расчетная таблица'!$C$5:$K$10,4,0)</f>
        <v>20</v>
      </c>
      <c r="G36" s="90">
        <f>VLOOKUP(A36,'Расчетная таблица'!$C$5:$K$11,6,0)</f>
        <v>3</v>
      </c>
      <c r="H36" s="13">
        <f>VLOOKUP(A36,'Расчетная таблица'!$C$5:$K$10,7,0)</f>
        <v>20</v>
      </c>
      <c r="I36" s="14">
        <f>VLOOKUP(A36,'Расчетная таблица'!$C$5:$K$10,8,0)</f>
        <v>60</v>
      </c>
    </row>
    <row r="39" spans="1:9" x14ac:dyDescent="0.2">
      <c r="D39" s="9"/>
      <c r="E39" s="9"/>
      <c r="F39" s="9"/>
      <c r="G39" s="9"/>
    </row>
    <row r="40" spans="1:9" x14ac:dyDescent="0.2">
      <c r="D40" s="9"/>
      <c r="E40" s="9"/>
      <c r="F40" s="9"/>
      <c r="G40" s="9"/>
    </row>
    <row r="41" spans="1:9" x14ac:dyDescent="0.2">
      <c r="D41" s="9"/>
      <c r="E41" s="9"/>
      <c r="F41" s="9"/>
      <c r="G41" s="9"/>
    </row>
    <row r="42" spans="1:9" x14ac:dyDescent="0.2">
      <c r="D42" s="9"/>
      <c r="E42" s="9"/>
      <c r="F42" s="9"/>
      <c r="G42" s="9"/>
    </row>
    <row r="43" spans="1:9" x14ac:dyDescent="0.2">
      <c r="D43" s="9"/>
      <c r="E43" s="9"/>
      <c r="F43" s="9"/>
      <c r="G43" s="9"/>
    </row>
    <row r="44" spans="1:9" x14ac:dyDescent="0.2">
      <c r="D44" s="9"/>
      <c r="E44" s="9"/>
      <c r="F44" s="9"/>
      <c r="G44" s="9"/>
    </row>
    <row r="45" spans="1:9" x14ac:dyDescent="0.2">
      <c r="D45" s="9"/>
      <c r="E45" s="9"/>
      <c r="F45" s="9"/>
      <c r="G45" s="9"/>
    </row>
    <row r="46" spans="1:9" x14ac:dyDescent="0.2">
      <c r="D46" s="9"/>
      <c r="E46" s="9"/>
      <c r="F46" s="9"/>
      <c r="G46" s="9"/>
    </row>
    <row r="47" spans="1:9" x14ac:dyDescent="0.2">
      <c r="D47" s="9"/>
      <c r="E47" s="9"/>
      <c r="F47" s="9"/>
      <c r="G47" s="9"/>
    </row>
    <row r="48" spans="1:9" x14ac:dyDescent="0.2">
      <c r="D48" s="9"/>
      <c r="E48" s="9"/>
      <c r="F48" s="9"/>
      <c r="G48" s="9"/>
    </row>
    <row r="49" spans="4:7" x14ac:dyDescent="0.2">
      <c r="D49" s="9"/>
      <c r="E49" s="9"/>
      <c r="F49" s="9"/>
      <c r="G49" s="9"/>
    </row>
    <row r="50" spans="4:7" x14ac:dyDescent="0.2">
      <c r="D50" s="9"/>
      <c r="E50" s="9"/>
      <c r="F50" s="9"/>
      <c r="G50" s="9"/>
    </row>
    <row r="51" spans="4:7" x14ac:dyDescent="0.2">
      <c r="D51" s="9"/>
      <c r="E51" s="9"/>
      <c r="F51" s="9"/>
      <c r="G51" s="9"/>
    </row>
    <row r="52" spans="4:7" x14ac:dyDescent="0.2">
      <c r="D52" s="9"/>
      <c r="E52" s="9"/>
      <c r="F52" s="9"/>
      <c r="G52" s="9"/>
    </row>
    <row r="53" spans="4:7" x14ac:dyDescent="0.2">
      <c r="D53" s="9"/>
      <c r="E53" s="9"/>
      <c r="F53" s="9"/>
      <c r="G53" s="9"/>
    </row>
    <row r="54" spans="4:7" x14ac:dyDescent="0.2">
      <c r="D54" s="9"/>
      <c r="E54" s="9"/>
      <c r="F54" s="9"/>
      <c r="G54" s="9"/>
    </row>
    <row r="55" spans="4:7" x14ac:dyDescent="0.2">
      <c r="D55" s="9"/>
      <c r="E55" s="9"/>
      <c r="F55" s="9"/>
      <c r="G55" s="9"/>
    </row>
    <row r="56" spans="4:7" x14ac:dyDescent="0.2">
      <c r="D56" s="9"/>
      <c r="E56" s="9"/>
      <c r="F56" s="9"/>
      <c r="G56" s="9"/>
    </row>
    <row r="57" spans="4:7" x14ac:dyDescent="0.2">
      <c r="D57" s="9"/>
      <c r="E57" s="9"/>
      <c r="F57" s="9"/>
      <c r="G57" s="9"/>
    </row>
    <row r="58" spans="4:7" x14ac:dyDescent="0.2">
      <c r="D58" s="9"/>
      <c r="E58" s="9"/>
      <c r="F58" s="9"/>
      <c r="G58" s="9"/>
    </row>
  </sheetData>
  <autoFilter ref="A3:M36"/>
  <mergeCells count="1">
    <mergeCell ref="A1:I1"/>
  </mergeCells>
  <pageMargins left="0.7" right="0.7" top="0.75" bottom="0.75" header="0.3" footer="0.3"/>
  <pageSetup paperSize="9" scale="7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16" zoomScaleNormal="100" workbookViewId="0">
      <selection activeCell="B19" sqref="B19"/>
    </sheetView>
  </sheetViews>
  <sheetFormatPr defaultRowHeight="12.75" x14ac:dyDescent="0.25"/>
  <cols>
    <col min="1" max="1" width="7.140625" style="17" customWidth="1"/>
    <col min="2" max="2" width="36.28515625" style="17" customWidth="1"/>
    <col min="3" max="3" width="22.85546875" style="17" bestFit="1" customWidth="1"/>
    <col min="4" max="4" width="16" style="17" customWidth="1"/>
    <col min="5" max="5" width="11.7109375" style="17" customWidth="1"/>
    <col min="6" max="6" width="16" style="17" customWidth="1"/>
    <col min="7" max="7" width="11.7109375" style="17" customWidth="1"/>
    <col min="8" max="8" width="16" style="17" customWidth="1"/>
    <col min="9" max="9" width="11.7109375" style="17" customWidth="1"/>
    <col min="10" max="16384" width="9.140625" style="17"/>
  </cols>
  <sheetData>
    <row r="1" spans="1:9" ht="18.75" x14ac:dyDescent="0.25">
      <c r="A1" s="120" t="s">
        <v>173</v>
      </c>
      <c r="B1" s="120"/>
      <c r="C1" s="120"/>
      <c r="D1" s="120"/>
      <c r="E1" s="120"/>
      <c r="F1" s="120"/>
      <c r="G1" s="120"/>
      <c r="H1" s="120"/>
      <c r="I1" s="120"/>
    </row>
    <row r="3" spans="1:9" ht="24.75" customHeight="1" x14ac:dyDescent="0.25">
      <c r="A3" s="129" t="s">
        <v>1</v>
      </c>
      <c r="B3" s="129" t="s">
        <v>18</v>
      </c>
      <c r="C3" s="129" t="s">
        <v>54</v>
      </c>
      <c r="D3" s="127" t="s">
        <v>32</v>
      </c>
      <c r="E3" s="127"/>
      <c r="F3" s="128" t="s">
        <v>31</v>
      </c>
      <c r="G3" s="128"/>
      <c r="H3" s="126" t="s">
        <v>57</v>
      </c>
      <c r="I3" s="126"/>
    </row>
    <row r="4" spans="1:9" s="21" customFormat="1" ht="36" customHeight="1" x14ac:dyDescent="0.25">
      <c r="A4" s="129"/>
      <c r="B4" s="129"/>
      <c r="C4" s="129"/>
      <c r="D4" s="31" t="s">
        <v>19</v>
      </c>
      <c r="E4" s="31" t="s">
        <v>34</v>
      </c>
      <c r="F4" s="30" t="s">
        <v>19</v>
      </c>
      <c r="G4" s="30" t="s">
        <v>33</v>
      </c>
      <c r="H4" s="32" t="s">
        <v>19</v>
      </c>
      <c r="I4" s="32" t="s">
        <v>33</v>
      </c>
    </row>
    <row r="5" spans="1:9" x14ac:dyDescent="0.25">
      <c r="A5" s="7">
        <v>1</v>
      </c>
      <c r="B5" s="25" t="str">
        <f>'Расчетная таблица'!B17</f>
        <v>Загрузка страницы</v>
      </c>
      <c r="C5" s="25" t="str">
        <f>'Расчетная таблица'!C17</f>
        <v>Load_start_Page</v>
      </c>
      <c r="D5" s="26">
        <f>'Расчетная таблица'!D17</f>
        <v>436</v>
      </c>
      <c r="E5" s="80">
        <f>'Расчетная таблица'!E17</f>
        <v>0.15516014234875444</v>
      </c>
      <c r="F5" s="34">
        <f ca="1">'Расчетная таблица'!F17</f>
        <v>436</v>
      </c>
      <c r="G5" s="33">
        <f ca="1">'Расчетная таблица'!G17</f>
        <v>0</v>
      </c>
      <c r="H5" s="81">
        <f>VLOOKUP(C5,$B$30:$K$48,8,0)</f>
        <v>434</v>
      </c>
      <c r="I5" s="82">
        <f>1-D5/H5</f>
        <v>-4.6082949308756671E-3</v>
      </c>
    </row>
    <row r="6" spans="1:9" x14ac:dyDescent="0.25">
      <c r="A6" s="7">
        <v>2</v>
      </c>
      <c r="B6" s="83" t="str">
        <f>'Расчетная таблица'!B18</f>
        <v>Вход в систему</v>
      </c>
      <c r="C6" s="25" t="str">
        <f>'Расчетная таблица'!C18</f>
        <v>login_user</v>
      </c>
      <c r="D6" s="26">
        <f>'Расчетная таблица'!D18</f>
        <v>422</v>
      </c>
      <c r="E6" s="80">
        <f>'Расчетная таблица'!E18</f>
        <v>0.1501779359430605</v>
      </c>
      <c r="F6" s="34">
        <f ca="1">'Расчетная таблица'!F18</f>
        <v>436</v>
      </c>
      <c r="G6" s="33">
        <f ca="1">'Расчетная таблица'!G18</f>
        <v>3.2110091743119296E-2</v>
      </c>
      <c r="H6" s="81">
        <f t="shared" ref="H6:H14" si="0">VLOOKUP(C6,$B$30:$K$48,8,0)</f>
        <v>434</v>
      </c>
      <c r="I6" s="82">
        <f t="shared" ref="I6:I14" si="1">1-D6/H6</f>
        <v>2.7649769585253448E-2</v>
      </c>
    </row>
    <row r="7" spans="1:9" x14ac:dyDescent="0.25">
      <c r="A7" s="7">
        <v>3</v>
      </c>
      <c r="B7" s="25" t="str">
        <f>'Расчетная таблица'!B19</f>
        <v>Переход к поиску полета</v>
      </c>
      <c r="C7" s="25" t="str">
        <f>'Расчетная таблица'!C19</f>
        <v>goto_Flight</v>
      </c>
      <c r="D7" s="26">
        <f>'Расчетная таблица'!D19</f>
        <v>362</v>
      </c>
      <c r="E7" s="80">
        <f>'Расчетная таблица'!E19</f>
        <v>0.1288256227758007</v>
      </c>
      <c r="F7" s="34">
        <f ca="1">'Расчетная таблица'!F19</f>
        <v>362</v>
      </c>
      <c r="G7" s="33">
        <f ca="1">'Расчетная таблица'!G19</f>
        <v>0</v>
      </c>
      <c r="H7" s="81">
        <f t="shared" si="0"/>
        <v>360</v>
      </c>
      <c r="I7" s="82">
        <f>1-D7/H7</f>
        <v>-5.5555555555555358E-3</v>
      </c>
    </row>
    <row r="8" spans="1:9" x14ac:dyDescent="0.25">
      <c r="A8" s="7">
        <v>4</v>
      </c>
      <c r="B8" s="83" t="str">
        <f>'Расчетная таблица'!B20</f>
        <v>Заполнение полей для поиска билета</v>
      </c>
      <c r="C8" s="25" t="str">
        <f>'Расчетная таблица'!C20</f>
        <v>Entry_Data_Flight</v>
      </c>
      <c r="D8" s="26">
        <f>'Расчетная таблица'!D20</f>
        <v>282</v>
      </c>
      <c r="E8" s="80">
        <f>'Расчетная таблица'!E20</f>
        <v>0.100355871886121</v>
      </c>
      <c r="F8" s="34">
        <f ca="1">'Расчетная таблица'!F20</f>
        <v>291</v>
      </c>
      <c r="G8" s="33">
        <f ca="1">'Расчетная таблица'!G20</f>
        <v>3.0927835051546393E-2</v>
      </c>
      <c r="H8" s="81">
        <f t="shared" si="0"/>
        <v>289</v>
      </c>
      <c r="I8" s="82">
        <f t="shared" si="1"/>
        <v>2.422145328719727E-2</v>
      </c>
    </row>
    <row r="9" spans="1:9" x14ac:dyDescent="0.25">
      <c r="A9" s="7">
        <v>5</v>
      </c>
      <c r="B9" s="83" t="str">
        <f>'Расчетная таблица'!B21</f>
        <v>Выбор рейса из найденных</v>
      </c>
      <c r="C9" s="25" t="str">
        <f>'Расчетная таблица'!C21</f>
        <v>choise_ticket</v>
      </c>
      <c r="D9" s="26">
        <f>'Расчетная таблица'!D21</f>
        <v>251</v>
      </c>
      <c r="E9" s="80">
        <f>'Расчетная таблица'!E21</f>
        <v>8.9323843416370105E-2</v>
      </c>
      <c r="F9" s="34">
        <f ca="1">'Расчетная таблица'!F21</f>
        <v>253</v>
      </c>
      <c r="G9" s="33">
        <f ca="1">'Расчетная таблица'!G21</f>
        <v>7.905138339920903E-3</v>
      </c>
      <c r="H9" s="81">
        <f t="shared" si="0"/>
        <v>252</v>
      </c>
      <c r="I9" s="82">
        <f t="shared" si="1"/>
        <v>3.9682539682539542E-3</v>
      </c>
    </row>
    <row r="10" spans="1:9" x14ac:dyDescent="0.25">
      <c r="A10" s="7">
        <v>6</v>
      </c>
      <c r="B10" s="83" t="str">
        <f>'Расчетная таблица'!B22</f>
        <v>Оплата билета</v>
      </c>
      <c r="C10" s="25" t="str">
        <f>'Расчетная таблица'!C22</f>
        <v>Entry_Data_Ticket</v>
      </c>
      <c r="D10" s="26">
        <f>'Расчетная таблица'!D22</f>
        <v>175</v>
      </c>
      <c r="E10" s="80">
        <f>'Расчетная таблица'!E22</f>
        <v>6.2277580071174378E-2</v>
      </c>
      <c r="F10" s="34">
        <f ca="1">'Расчетная таблица'!F22</f>
        <v>180</v>
      </c>
      <c r="G10" s="33">
        <f ca="1">'Расчетная таблица'!G22</f>
        <v>2.777777777777779E-2</v>
      </c>
      <c r="H10" s="81">
        <f t="shared" si="0"/>
        <v>180</v>
      </c>
      <c r="I10" s="82">
        <f t="shared" si="1"/>
        <v>2.777777777777779E-2</v>
      </c>
    </row>
    <row r="11" spans="1:9" x14ac:dyDescent="0.25">
      <c r="A11" s="7">
        <v>7</v>
      </c>
      <c r="B11" s="83" t="str">
        <f>'Расчетная таблица'!B23</f>
        <v>Просмотр квитанций</v>
      </c>
      <c r="C11" s="25" t="str">
        <f>'Расчетная таблица'!C23</f>
        <v>goto_Itinerary</v>
      </c>
      <c r="D11" s="26">
        <f>'Расчетная таблица'!D23</f>
        <v>159</v>
      </c>
      <c r="E11" s="80">
        <f>'Расчетная таблица'!E23</f>
        <v>5.6583629893238431E-2</v>
      </c>
      <c r="F11" s="34">
        <f ca="1">'Расчетная таблица'!F23</f>
        <v>158</v>
      </c>
      <c r="G11" s="33">
        <f ca="1">'Расчетная таблица'!G23</f>
        <v>-6.3291139240506666E-3</v>
      </c>
      <c r="H11" s="81">
        <f t="shared" si="0"/>
        <v>158</v>
      </c>
      <c r="I11" s="82">
        <f t="shared" si="1"/>
        <v>-6.3291139240506666E-3</v>
      </c>
    </row>
    <row r="12" spans="1:9" x14ac:dyDescent="0.25">
      <c r="A12" s="7">
        <v>8</v>
      </c>
      <c r="B12" s="83" t="str">
        <f>'Расчетная таблица'!B24</f>
        <v>Отмена бронирования билета</v>
      </c>
      <c r="C12" s="25" t="str">
        <f>'Расчетная таблица'!C24</f>
        <v>Delete_first</v>
      </c>
      <c r="D12" s="26">
        <f>'Расчетная таблица'!D24</f>
        <v>73</v>
      </c>
      <c r="E12" s="80">
        <f>'Расчетная таблица'!E24</f>
        <v>2.5978647686832741E-2</v>
      </c>
      <c r="F12" s="34">
        <f ca="1">'Расчетная таблица'!F24</f>
        <v>71</v>
      </c>
      <c r="G12" s="33">
        <f ca="1">'Расчетная таблица'!G24</f>
        <v>-2.8169014084507005E-2</v>
      </c>
      <c r="H12" s="81">
        <f t="shared" si="0"/>
        <v>70</v>
      </c>
      <c r="I12" s="82">
        <f t="shared" si="1"/>
        <v>-4.2857142857142927E-2</v>
      </c>
    </row>
    <row r="13" spans="1:9" x14ac:dyDescent="0.25">
      <c r="A13" s="7">
        <v>9</v>
      </c>
      <c r="B13" s="25" t="str">
        <f>'Расчетная таблица'!B25</f>
        <v>Операция перехода на странцу "Home"</v>
      </c>
      <c r="C13" s="25" t="str">
        <f>'Расчетная таблица'!C25</f>
        <v>goto_home</v>
      </c>
      <c r="D13" s="26">
        <f>'Расчетная таблица'!D25</f>
        <v>324</v>
      </c>
      <c r="E13" s="80">
        <f>'Расчетная таблица'!E25</f>
        <v>0.11530249110320284</v>
      </c>
      <c r="F13" s="34">
        <f ca="1">'Расчетная таблица'!F25</f>
        <v>324</v>
      </c>
      <c r="G13" s="33">
        <f ca="1">'Расчетная таблица'!G25</f>
        <v>0</v>
      </c>
      <c r="H13" s="81">
        <f t="shared" si="0"/>
        <v>322</v>
      </c>
      <c r="I13" s="82">
        <f t="shared" si="1"/>
        <v>-6.2111801242235032E-3</v>
      </c>
    </row>
    <row r="14" spans="1:9" x14ac:dyDescent="0.25">
      <c r="A14" s="7">
        <v>10</v>
      </c>
      <c r="B14" s="83" t="str">
        <f>'Расчетная таблица'!B26</f>
        <v>Выход из системы</v>
      </c>
      <c r="C14" s="25" t="str">
        <f>'Расчетная таблица'!C26</f>
        <v>Logout</v>
      </c>
      <c r="D14" s="26">
        <f>'Расчетная таблица'!D26</f>
        <v>326</v>
      </c>
      <c r="E14" s="80">
        <f>'Расчетная таблица'!E26</f>
        <v>0.11601423487544484</v>
      </c>
      <c r="F14" s="34">
        <f ca="1">'Расчетная таблица'!F26</f>
        <v>327</v>
      </c>
      <c r="G14" s="33">
        <f ca="1">'Расчетная таблица'!G26</f>
        <v>3.0581039755351869E-3</v>
      </c>
      <c r="H14" s="81">
        <f t="shared" si="0"/>
        <v>328</v>
      </c>
      <c r="I14" s="82">
        <f t="shared" si="1"/>
        <v>6.0975609756097615E-3</v>
      </c>
    </row>
    <row r="15" spans="1:9" ht="15" customHeight="1" x14ac:dyDescent="0.25">
      <c r="A15" s="117" t="s">
        <v>64</v>
      </c>
      <c r="B15" s="118"/>
      <c r="C15" s="119"/>
      <c r="D15" s="70">
        <f>SUM(D5:D14)</f>
        <v>2810</v>
      </c>
      <c r="E15" s="75">
        <f>'Расчетная таблица'!E27</f>
        <v>1</v>
      </c>
      <c r="F15" s="78">
        <f ca="1">SUM(F5:F14)</f>
        <v>2838</v>
      </c>
      <c r="G15" s="79">
        <f ca="1">'Расчетная таблица'!G27</f>
        <v>6.7280818879341901E-3</v>
      </c>
      <c r="H15" s="73">
        <f>SUM(H5:H14)</f>
        <v>2827</v>
      </c>
      <c r="I15" s="100">
        <f>AVERAGE(I5:I14)</f>
        <v>2.4153528202243923E-3</v>
      </c>
    </row>
    <row r="17" spans="1:14" ht="27.75" customHeight="1" x14ac:dyDescent="0.25">
      <c r="A17" s="129" t="s">
        <v>1</v>
      </c>
      <c r="B17" s="129" t="s">
        <v>49</v>
      </c>
      <c r="C17" s="129" t="s">
        <v>50</v>
      </c>
      <c r="D17" s="129" t="s">
        <v>19</v>
      </c>
      <c r="E17" s="129"/>
      <c r="F17" s="129" t="s">
        <v>17</v>
      </c>
    </row>
    <row r="18" spans="1:14" ht="30" customHeight="1" x14ac:dyDescent="0.25">
      <c r="A18" s="129"/>
      <c r="B18" s="129"/>
      <c r="C18" s="129"/>
      <c r="D18" s="45" t="s">
        <v>16</v>
      </c>
      <c r="E18" s="45" t="s">
        <v>58</v>
      </c>
      <c r="F18" s="129"/>
    </row>
    <row r="19" spans="1:14" ht="30.75" customHeight="1" x14ac:dyDescent="0.25">
      <c r="A19" s="7">
        <v>1</v>
      </c>
      <c r="B19" s="109" t="str">
        <f>'Расчетная таблица'!B5</f>
        <v xml:space="preserve">Поиск авиабилета без покупки, просмотр истории </v>
      </c>
      <c r="C19" s="20" t="str">
        <f>'Расчетная таблица'!C5</f>
        <v>01_Search_Itinerary</v>
      </c>
      <c r="D19" s="39">
        <f>'Расчетная таблица'!J5</f>
        <v>73</v>
      </c>
      <c r="E19" s="46">
        <f>VLOOKUP(C19,$B$31:$K$48,8,0)</f>
        <v>73</v>
      </c>
      <c r="F19" s="38">
        <f t="shared" ref="F19:F24" si="2">1-D19/E19</f>
        <v>0</v>
      </c>
      <c r="H19" s="17">
        <f>E19*3</f>
        <v>219</v>
      </c>
      <c r="I19" s="139">
        <f>H19/SUM($H$19:$H$24)</f>
        <v>0.16743119266055045</v>
      </c>
    </row>
    <row r="20" spans="1:14" ht="30.75" customHeight="1" x14ac:dyDescent="0.25">
      <c r="A20" s="7">
        <v>2</v>
      </c>
      <c r="B20" s="109" t="str">
        <f>'Расчетная таблица'!B6</f>
        <v>Поиск и покупка авиабилета</v>
      </c>
      <c r="C20" s="20" t="str">
        <f>'Расчетная таблица'!C6</f>
        <v>02_Search_BuyTicket</v>
      </c>
      <c r="D20" s="39">
        <f>'Расчетная таблица'!J6</f>
        <v>180</v>
      </c>
      <c r="E20" s="46">
        <f t="shared" ref="E20:E24" si="3">VLOOKUP(C20,$B$31:$K$48,8,0)</f>
        <v>180</v>
      </c>
      <c r="F20" s="38">
        <f t="shared" si="2"/>
        <v>0</v>
      </c>
      <c r="H20" s="17">
        <f t="shared" ref="H20:H24" si="4">E20*3</f>
        <v>540</v>
      </c>
      <c r="I20" s="139">
        <f t="shared" ref="I20:I24" si="5">H20/SUM($H$19:$H$24)</f>
        <v>0.41284403669724773</v>
      </c>
    </row>
    <row r="21" spans="1:14" ht="30.75" customHeight="1" x14ac:dyDescent="0.25">
      <c r="A21" s="7">
        <v>3</v>
      </c>
      <c r="B21" s="109" t="str">
        <f>'Расчетная таблица'!B7</f>
        <v>Переход на страницу поиска, просмотр истории продаж авиабилетов, удаление авиабилета</v>
      </c>
      <c r="C21" s="20" t="str">
        <f>'Расчетная таблица'!C7</f>
        <v>03_SearcH_Itinerary_Delete</v>
      </c>
      <c r="D21" s="39">
        <f>'Расчетная таблица'!J7</f>
        <v>71</v>
      </c>
      <c r="E21" s="46">
        <f t="shared" si="3"/>
        <v>70</v>
      </c>
      <c r="F21" s="38">
        <f t="shared" si="2"/>
        <v>-1.4285714285714235E-2</v>
      </c>
      <c r="H21" s="17">
        <f t="shared" si="4"/>
        <v>210</v>
      </c>
      <c r="I21" s="139">
        <f t="shared" si="5"/>
        <v>0.16055045871559634</v>
      </c>
    </row>
    <row r="22" spans="1:14" ht="30.75" customHeight="1" x14ac:dyDescent="0.25">
      <c r="A22" s="7">
        <v>4</v>
      </c>
      <c r="B22" s="109" t="str">
        <f>'Расчетная таблица'!B8</f>
        <v>Просмотр истории продаж авиабилетов</v>
      </c>
      <c r="C22" s="20" t="str">
        <f>'Расчетная таблица'!C8</f>
        <v>04_Itinerary</v>
      </c>
      <c r="D22" s="39">
        <f>'Расчетная таблица'!J8</f>
        <v>14</v>
      </c>
      <c r="E22" s="46">
        <f t="shared" si="3"/>
        <v>15</v>
      </c>
      <c r="F22" s="38">
        <f t="shared" si="2"/>
        <v>6.6666666666666652E-2</v>
      </c>
      <c r="H22" s="17">
        <f t="shared" si="4"/>
        <v>45</v>
      </c>
      <c r="I22" s="139">
        <f t="shared" si="5"/>
        <v>3.4403669724770644E-2</v>
      </c>
    </row>
    <row r="23" spans="1:14" ht="30.75" customHeight="1" x14ac:dyDescent="0.25">
      <c r="A23" s="7">
        <v>5</v>
      </c>
      <c r="B23" s="109" t="str">
        <f>'Расчетная таблица'!B9</f>
        <v>Поиск авиабилета</v>
      </c>
      <c r="C23" s="20" t="str">
        <f>'Расчетная таблица'!C9</f>
        <v>05_Search</v>
      </c>
      <c r="D23" s="39">
        <f>'Расчетная таблица'!J9</f>
        <v>38</v>
      </c>
      <c r="E23" s="46">
        <f t="shared" si="3"/>
        <v>38</v>
      </c>
      <c r="F23" s="38">
        <f t="shared" si="2"/>
        <v>0</v>
      </c>
      <c r="H23" s="17">
        <f t="shared" si="4"/>
        <v>114</v>
      </c>
      <c r="I23" s="139">
        <f t="shared" si="5"/>
        <v>8.7155963302752298E-2</v>
      </c>
    </row>
    <row r="24" spans="1:14" ht="30.75" customHeight="1" x14ac:dyDescent="0.25">
      <c r="A24" s="7">
        <v>6</v>
      </c>
      <c r="B24" s="109" t="str">
        <f>'Расчетная таблица'!B10</f>
        <v>Вход выход</v>
      </c>
      <c r="C24" s="20" t="str">
        <f>'Расчетная таблица'!C10</f>
        <v>06_login_logout</v>
      </c>
      <c r="D24" s="39">
        <f>'Расчетная таблица'!J10</f>
        <v>60</v>
      </c>
      <c r="E24" s="46">
        <f t="shared" si="3"/>
        <v>60</v>
      </c>
      <c r="F24" s="38">
        <f t="shared" si="2"/>
        <v>0</v>
      </c>
      <c r="H24" s="17">
        <f t="shared" si="4"/>
        <v>180</v>
      </c>
      <c r="I24" s="139">
        <f t="shared" si="5"/>
        <v>0.13761467889908258</v>
      </c>
    </row>
    <row r="25" spans="1:14" x14ac:dyDescent="0.25">
      <c r="A25" s="125" t="s">
        <v>64</v>
      </c>
      <c r="B25" s="125"/>
      <c r="C25" s="125"/>
      <c r="D25" s="73">
        <f>SUM(D19:D24)</f>
        <v>436</v>
      </c>
      <c r="E25" s="73">
        <f>SUM(E19:E24)</f>
        <v>436</v>
      </c>
      <c r="F25" s="72">
        <f>AVERAGE(F19:F24)</f>
        <v>8.7301587301587356E-3</v>
      </c>
    </row>
    <row r="30" spans="1:14" ht="15" x14ac:dyDescent="0.25"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/>
      <c r="L30"/>
      <c r="M30"/>
      <c r="N30"/>
    </row>
    <row r="31" spans="1:14" ht="15" x14ac:dyDescent="0.25">
      <c r="B31" s="95" t="s">
        <v>73</v>
      </c>
      <c r="C31" s="95" t="s">
        <v>74</v>
      </c>
      <c r="D31" s="95" t="s">
        <v>75</v>
      </c>
      <c r="E31" s="95" t="s">
        <v>76</v>
      </c>
      <c r="F31" s="95" t="s">
        <v>77</v>
      </c>
      <c r="G31" s="95" t="s">
        <v>78</v>
      </c>
      <c r="H31" s="95" t="s">
        <v>79</v>
      </c>
      <c r="I31" s="95" t="s">
        <v>80</v>
      </c>
      <c r="J31" s="95" t="s">
        <v>81</v>
      </c>
      <c r="K31" s="95" t="s">
        <v>82</v>
      </c>
      <c r="L31"/>
      <c r="M31"/>
      <c r="N31"/>
    </row>
    <row r="32" spans="1:14" ht="15" x14ac:dyDescent="0.25">
      <c r="B32" s="95" t="s">
        <v>37</v>
      </c>
      <c r="C32" s="95" t="s">
        <v>80</v>
      </c>
      <c r="D32" s="95" t="s">
        <v>97</v>
      </c>
      <c r="E32" s="95" t="s">
        <v>98</v>
      </c>
      <c r="F32" s="95" t="s">
        <v>99</v>
      </c>
      <c r="G32" s="95" t="s">
        <v>100</v>
      </c>
      <c r="H32" s="95" t="s">
        <v>101</v>
      </c>
      <c r="I32" s="95">
        <v>73</v>
      </c>
      <c r="J32" s="95" t="s">
        <v>83</v>
      </c>
      <c r="K32" s="95" t="s">
        <v>83</v>
      </c>
      <c r="L32"/>
      <c r="M32"/>
      <c r="N32">
        <f t="shared" ref="N32:N48" si="6">I32*1</f>
        <v>73</v>
      </c>
    </row>
    <row r="33" spans="2:14" ht="15" x14ac:dyDescent="0.25">
      <c r="B33" s="95" t="s">
        <v>38</v>
      </c>
      <c r="C33" s="95" t="s">
        <v>80</v>
      </c>
      <c r="D33" s="95" t="s">
        <v>102</v>
      </c>
      <c r="E33" s="95" t="s">
        <v>103</v>
      </c>
      <c r="F33" s="95" t="s">
        <v>104</v>
      </c>
      <c r="G33" s="95" t="s">
        <v>105</v>
      </c>
      <c r="H33" s="95" t="s">
        <v>106</v>
      </c>
      <c r="I33" s="95">
        <v>180</v>
      </c>
      <c r="J33" s="95" t="s">
        <v>83</v>
      </c>
      <c r="K33" s="95" t="s">
        <v>83</v>
      </c>
      <c r="L33"/>
      <c r="M33"/>
      <c r="N33">
        <f t="shared" si="6"/>
        <v>180</v>
      </c>
    </row>
    <row r="34" spans="2:14" ht="15" x14ac:dyDescent="0.25">
      <c r="B34" s="95" t="s">
        <v>84</v>
      </c>
      <c r="C34" s="95" t="s">
        <v>80</v>
      </c>
      <c r="D34" s="95" t="s">
        <v>107</v>
      </c>
      <c r="E34" s="95" t="s">
        <v>108</v>
      </c>
      <c r="F34" s="95" t="s">
        <v>109</v>
      </c>
      <c r="G34" s="95" t="s">
        <v>110</v>
      </c>
      <c r="H34" s="95" t="s">
        <v>111</v>
      </c>
      <c r="I34" s="95">
        <v>70</v>
      </c>
      <c r="J34" s="95" t="s">
        <v>83</v>
      </c>
      <c r="K34" s="95" t="s">
        <v>83</v>
      </c>
      <c r="L34"/>
      <c r="M34"/>
      <c r="N34">
        <f t="shared" si="6"/>
        <v>70</v>
      </c>
    </row>
    <row r="35" spans="2:14" ht="15" x14ac:dyDescent="0.25">
      <c r="B35" s="95" t="s">
        <v>85</v>
      </c>
      <c r="C35" s="95" t="s">
        <v>80</v>
      </c>
      <c r="D35" s="95" t="s">
        <v>112</v>
      </c>
      <c r="E35" s="95" t="s">
        <v>113</v>
      </c>
      <c r="F35" s="95" t="s">
        <v>114</v>
      </c>
      <c r="G35" s="95" t="s">
        <v>115</v>
      </c>
      <c r="H35" s="95" t="s">
        <v>116</v>
      </c>
      <c r="I35" s="95">
        <v>15</v>
      </c>
      <c r="J35" s="95" t="s">
        <v>83</v>
      </c>
      <c r="K35" s="95" t="s">
        <v>83</v>
      </c>
      <c r="L35" s="95"/>
      <c r="M35"/>
      <c r="N35">
        <f t="shared" si="6"/>
        <v>15</v>
      </c>
    </row>
    <row r="36" spans="2:14" ht="15" x14ac:dyDescent="0.25">
      <c r="B36" s="95" t="s">
        <v>41</v>
      </c>
      <c r="C36" s="95" t="s">
        <v>80</v>
      </c>
      <c r="D36" s="95" t="s">
        <v>117</v>
      </c>
      <c r="E36" s="95" t="s">
        <v>118</v>
      </c>
      <c r="F36" s="95" t="s">
        <v>119</v>
      </c>
      <c r="G36" s="95" t="s">
        <v>120</v>
      </c>
      <c r="H36" s="95" t="s">
        <v>121</v>
      </c>
      <c r="I36" s="95">
        <v>38</v>
      </c>
      <c r="J36" s="95" t="s">
        <v>83</v>
      </c>
      <c r="K36" s="95" t="s">
        <v>83</v>
      </c>
      <c r="L36" s="95"/>
      <c r="M36"/>
      <c r="N36">
        <f t="shared" si="6"/>
        <v>38</v>
      </c>
    </row>
    <row r="37" spans="2:14" ht="15" x14ac:dyDescent="0.25">
      <c r="B37" s="95" t="s">
        <v>86</v>
      </c>
      <c r="C37" s="95" t="s">
        <v>80</v>
      </c>
      <c r="D37" s="95" t="s">
        <v>122</v>
      </c>
      <c r="E37" s="95" t="s">
        <v>123</v>
      </c>
      <c r="F37" s="95" t="s">
        <v>124</v>
      </c>
      <c r="G37" s="95" t="s">
        <v>125</v>
      </c>
      <c r="H37" s="95" t="s">
        <v>126</v>
      </c>
      <c r="I37" s="95">
        <v>60</v>
      </c>
      <c r="J37" s="95" t="s">
        <v>83</v>
      </c>
      <c r="K37" s="95" t="s">
        <v>83</v>
      </c>
      <c r="L37" s="95"/>
      <c r="M37"/>
      <c r="N37">
        <f t="shared" si="6"/>
        <v>60</v>
      </c>
    </row>
    <row r="38" spans="2:14" ht="15" x14ac:dyDescent="0.25">
      <c r="B38" s="95" t="s">
        <v>87</v>
      </c>
      <c r="C38" s="95" t="s">
        <v>88</v>
      </c>
      <c r="D38" s="95" t="s">
        <v>122</v>
      </c>
      <c r="E38" s="95" t="s">
        <v>127</v>
      </c>
      <c r="F38" s="95" t="s">
        <v>99</v>
      </c>
      <c r="G38" s="95" t="s">
        <v>128</v>
      </c>
      <c r="H38" s="95" t="s">
        <v>129</v>
      </c>
      <c r="I38" s="95">
        <v>436</v>
      </c>
      <c r="J38" s="95" t="s">
        <v>83</v>
      </c>
      <c r="K38" s="95" t="s">
        <v>83</v>
      </c>
      <c r="L38" s="95"/>
      <c r="M38"/>
      <c r="N38">
        <f t="shared" si="6"/>
        <v>436</v>
      </c>
    </row>
    <row r="39" spans="2:14" ht="15" x14ac:dyDescent="0.25">
      <c r="B39" s="95" t="s">
        <v>51</v>
      </c>
      <c r="C39" s="95" t="s">
        <v>80</v>
      </c>
      <c r="D39" s="95" t="s">
        <v>130</v>
      </c>
      <c r="E39" s="95" t="s">
        <v>96</v>
      </c>
      <c r="F39" s="95" t="s">
        <v>131</v>
      </c>
      <c r="G39" s="95" t="s">
        <v>132</v>
      </c>
      <c r="H39" s="95" t="s">
        <v>133</v>
      </c>
      <c r="I39" s="95">
        <v>252</v>
      </c>
      <c r="J39" s="95" t="s">
        <v>83</v>
      </c>
      <c r="K39" s="95" t="s">
        <v>83</v>
      </c>
      <c r="L39" s="95"/>
      <c r="M39"/>
      <c r="N39">
        <f t="shared" si="6"/>
        <v>252</v>
      </c>
    </row>
    <row r="40" spans="2:14" ht="15" x14ac:dyDescent="0.25">
      <c r="B40" s="95" t="s">
        <v>52</v>
      </c>
      <c r="C40" s="95" t="s">
        <v>80</v>
      </c>
      <c r="D40" s="95" t="s">
        <v>130</v>
      </c>
      <c r="E40" s="95" t="s">
        <v>134</v>
      </c>
      <c r="F40" s="95" t="s">
        <v>135</v>
      </c>
      <c r="G40" s="95" t="s">
        <v>136</v>
      </c>
      <c r="H40" s="95" t="s">
        <v>137</v>
      </c>
      <c r="I40" s="95">
        <v>70</v>
      </c>
      <c r="J40" s="95" t="s">
        <v>83</v>
      </c>
      <c r="K40" s="95" t="s">
        <v>83</v>
      </c>
      <c r="L40" s="95"/>
      <c r="M40"/>
      <c r="N40">
        <f t="shared" si="6"/>
        <v>70</v>
      </c>
    </row>
    <row r="41" spans="2:14" ht="15" x14ac:dyDescent="0.25">
      <c r="B41" s="95" t="s">
        <v>45</v>
      </c>
      <c r="C41" s="95" t="s">
        <v>80</v>
      </c>
      <c r="D41" s="95" t="s">
        <v>138</v>
      </c>
      <c r="E41" s="95" t="s">
        <v>139</v>
      </c>
      <c r="F41" s="95" t="s">
        <v>140</v>
      </c>
      <c r="G41" s="95" t="s">
        <v>136</v>
      </c>
      <c r="H41" s="95" t="s">
        <v>89</v>
      </c>
      <c r="I41" s="95">
        <v>289</v>
      </c>
      <c r="J41" s="95" t="s">
        <v>83</v>
      </c>
      <c r="K41" s="95" t="s">
        <v>83</v>
      </c>
      <c r="L41" s="95"/>
      <c r="M41"/>
      <c r="N41">
        <f t="shared" si="6"/>
        <v>289</v>
      </c>
    </row>
    <row r="42" spans="2:14" ht="15" x14ac:dyDescent="0.25">
      <c r="B42" s="95" t="s">
        <v>53</v>
      </c>
      <c r="C42" s="95" t="s">
        <v>80</v>
      </c>
      <c r="D42" s="95" t="s">
        <v>141</v>
      </c>
      <c r="E42" s="95" t="s">
        <v>142</v>
      </c>
      <c r="F42" s="95" t="s">
        <v>143</v>
      </c>
      <c r="G42" s="95" t="s">
        <v>144</v>
      </c>
      <c r="H42" s="95" t="s">
        <v>91</v>
      </c>
      <c r="I42" s="95">
        <v>180</v>
      </c>
      <c r="J42" s="95" t="s">
        <v>83</v>
      </c>
      <c r="K42" s="95" t="s">
        <v>83</v>
      </c>
      <c r="L42" s="95"/>
      <c r="M42"/>
      <c r="N42">
        <f t="shared" si="6"/>
        <v>180</v>
      </c>
    </row>
    <row r="43" spans="2:14" ht="15" x14ac:dyDescent="0.25">
      <c r="B43" s="95" t="s">
        <v>46</v>
      </c>
      <c r="C43" s="95" t="s">
        <v>80</v>
      </c>
      <c r="D43" s="95" t="s">
        <v>145</v>
      </c>
      <c r="E43" s="95" t="s">
        <v>131</v>
      </c>
      <c r="F43" s="95" t="s">
        <v>146</v>
      </c>
      <c r="G43" s="95" t="s">
        <v>94</v>
      </c>
      <c r="H43" s="95" t="s">
        <v>95</v>
      </c>
      <c r="I43" s="95">
        <v>360</v>
      </c>
      <c r="J43" s="95" t="s">
        <v>83</v>
      </c>
      <c r="K43" s="95" t="s">
        <v>83</v>
      </c>
      <c r="L43" s="95"/>
      <c r="M43"/>
      <c r="N43">
        <f t="shared" si="6"/>
        <v>360</v>
      </c>
    </row>
    <row r="44" spans="2:14" ht="15" x14ac:dyDescent="0.25">
      <c r="B44" s="95" t="s">
        <v>43</v>
      </c>
      <c r="C44" s="95" t="s">
        <v>80</v>
      </c>
      <c r="D44" s="95" t="s">
        <v>93</v>
      </c>
      <c r="E44" s="95" t="s">
        <v>147</v>
      </c>
      <c r="F44" s="95" t="s">
        <v>148</v>
      </c>
      <c r="G44" s="95" t="s">
        <v>149</v>
      </c>
      <c r="H44" s="95" t="s">
        <v>150</v>
      </c>
      <c r="I44" s="95">
        <v>322</v>
      </c>
      <c r="J44" s="95" t="s">
        <v>83</v>
      </c>
      <c r="K44" s="95" t="s">
        <v>83</v>
      </c>
      <c r="L44" s="95"/>
      <c r="M44"/>
      <c r="N44">
        <f t="shared" si="6"/>
        <v>322</v>
      </c>
    </row>
    <row r="45" spans="2:14" ht="15" x14ac:dyDescent="0.25">
      <c r="B45" s="95" t="s">
        <v>44</v>
      </c>
      <c r="C45" s="95" t="s">
        <v>80</v>
      </c>
      <c r="D45" s="95" t="s">
        <v>151</v>
      </c>
      <c r="E45" s="95" t="s">
        <v>152</v>
      </c>
      <c r="F45" s="95" t="s">
        <v>153</v>
      </c>
      <c r="G45" s="95" t="s">
        <v>154</v>
      </c>
      <c r="H45" s="95" t="s">
        <v>155</v>
      </c>
      <c r="I45" s="95">
        <v>158</v>
      </c>
      <c r="J45" s="95" t="s">
        <v>83</v>
      </c>
      <c r="K45" s="95" t="s">
        <v>83</v>
      </c>
      <c r="L45" s="95"/>
      <c r="M45"/>
      <c r="N45">
        <f t="shared" si="6"/>
        <v>158</v>
      </c>
    </row>
    <row r="46" spans="2:14" ht="15" x14ac:dyDescent="0.25">
      <c r="B46" s="95" t="s">
        <v>48</v>
      </c>
      <c r="C46" s="95" t="s">
        <v>80</v>
      </c>
      <c r="D46" s="95" t="s">
        <v>156</v>
      </c>
      <c r="E46" s="95" t="s">
        <v>157</v>
      </c>
      <c r="F46" s="95" t="s">
        <v>158</v>
      </c>
      <c r="G46" s="95" t="s">
        <v>159</v>
      </c>
      <c r="H46" s="95" t="s">
        <v>90</v>
      </c>
      <c r="I46" s="95">
        <v>434</v>
      </c>
      <c r="J46" s="95" t="s">
        <v>83</v>
      </c>
      <c r="K46" s="95" t="s">
        <v>83</v>
      </c>
      <c r="L46" s="95"/>
      <c r="M46"/>
      <c r="N46">
        <f t="shared" si="6"/>
        <v>434</v>
      </c>
    </row>
    <row r="47" spans="2:14" ht="15" x14ac:dyDescent="0.25">
      <c r="B47" s="95" t="s">
        <v>47</v>
      </c>
      <c r="C47" s="95" t="s">
        <v>80</v>
      </c>
      <c r="D47" s="95" t="s">
        <v>160</v>
      </c>
      <c r="E47" s="95" t="s">
        <v>161</v>
      </c>
      <c r="F47" s="95" t="s">
        <v>162</v>
      </c>
      <c r="G47" s="95" t="s">
        <v>163</v>
      </c>
      <c r="H47" s="95" t="s">
        <v>164</v>
      </c>
      <c r="I47" s="95">
        <v>434</v>
      </c>
      <c r="J47" s="95" t="s">
        <v>83</v>
      </c>
      <c r="K47" s="95" t="s">
        <v>83</v>
      </c>
      <c r="L47" s="95"/>
      <c r="M47"/>
      <c r="N47">
        <f t="shared" si="6"/>
        <v>434</v>
      </c>
    </row>
    <row r="48" spans="2:14" ht="15" x14ac:dyDescent="0.25">
      <c r="B48" s="95" t="s">
        <v>42</v>
      </c>
      <c r="C48" s="95" t="s">
        <v>80</v>
      </c>
      <c r="D48" s="95" t="s">
        <v>92</v>
      </c>
      <c r="E48" s="95" t="s">
        <v>165</v>
      </c>
      <c r="F48" s="95" t="s">
        <v>166</v>
      </c>
      <c r="G48" s="95" t="s">
        <v>167</v>
      </c>
      <c r="H48" s="95" t="s">
        <v>168</v>
      </c>
      <c r="I48" s="95">
        <v>328</v>
      </c>
      <c r="J48" s="95" t="s">
        <v>83</v>
      </c>
      <c r="K48" s="95" t="s">
        <v>83</v>
      </c>
      <c r="L48" s="95"/>
      <c r="M48"/>
      <c r="N48">
        <f t="shared" si="6"/>
        <v>328</v>
      </c>
    </row>
  </sheetData>
  <mergeCells count="14">
    <mergeCell ref="A25:C25"/>
    <mergeCell ref="A15:C15"/>
    <mergeCell ref="A1:I1"/>
    <mergeCell ref="H3:I3"/>
    <mergeCell ref="D3:E3"/>
    <mergeCell ref="F3:G3"/>
    <mergeCell ref="A3:A4"/>
    <mergeCell ref="B3:B4"/>
    <mergeCell ref="C3:C4"/>
    <mergeCell ref="D17:E17"/>
    <mergeCell ref="A17:A18"/>
    <mergeCell ref="B17:B18"/>
    <mergeCell ref="C17:C18"/>
    <mergeCell ref="F17:F18"/>
  </mergeCells>
  <pageMargins left="0.7" right="0.7" top="0.75" bottom="0.75" header="0.3" footer="0.3"/>
  <pageSetup paperSize="9"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zoomScale="85" zoomScaleNormal="85" workbookViewId="0">
      <selection activeCell="H5" sqref="H5:I14"/>
    </sheetView>
  </sheetViews>
  <sheetFormatPr defaultRowHeight="12.75" x14ac:dyDescent="0.25"/>
  <cols>
    <col min="1" max="1" width="7.140625" style="17" customWidth="1"/>
    <col min="2" max="2" width="36.28515625" style="17" customWidth="1"/>
    <col min="3" max="3" width="22.85546875" style="17" bestFit="1" customWidth="1"/>
    <col min="4" max="4" width="16" style="17" customWidth="1"/>
    <col min="5" max="5" width="11.7109375" style="17" customWidth="1"/>
    <col min="6" max="6" width="16" style="17" customWidth="1"/>
    <col min="7" max="7" width="11.7109375" style="17" customWidth="1"/>
    <col min="8" max="8" width="16" style="17" customWidth="1"/>
    <col min="9" max="9" width="11.7109375" style="17" customWidth="1"/>
    <col min="10" max="11" width="10.85546875" style="17" customWidth="1"/>
    <col min="12" max="16384" width="9.140625" style="17"/>
  </cols>
  <sheetData>
    <row r="1" spans="1:9" ht="18.75" x14ac:dyDescent="0.25">
      <c r="A1" s="120" t="s">
        <v>172</v>
      </c>
      <c r="B1" s="120"/>
      <c r="C1" s="120"/>
      <c r="D1" s="120"/>
      <c r="E1" s="120"/>
      <c r="F1" s="120"/>
      <c r="G1" s="120"/>
      <c r="H1" s="120"/>
      <c r="I1" s="120"/>
    </row>
    <row r="3" spans="1:9" ht="24.75" customHeight="1" x14ac:dyDescent="0.25">
      <c r="A3" s="129" t="s">
        <v>1</v>
      </c>
      <c r="B3" s="129" t="s">
        <v>18</v>
      </c>
      <c r="C3" s="129" t="s">
        <v>54</v>
      </c>
      <c r="D3" s="127" t="s">
        <v>32</v>
      </c>
      <c r="E3" s="127"/>
      <c r="F3" s="135" t="s">
        <v>31</v>
      </c>
      <c r="G3" s="136"/>
      <c r="H3" s="126" t="s">
        <v>57</v>
      </c>
      <c r="I3" s="126"/>
    </row>
    <row r="4" spans="1:9" s="21" customFormat="1" ht="36" customHeight="1" x14ac:dyDescent="0.25">
      <c r="A4" s="129"/>
      <c r="B4" s="129"/>
      <c r="C4" s="129"/>
      <c r="D4" s="31" t="s">
        <v>19</v>
      </c>
      <c r="E4" s="31" t="s">
        <v>34</v>
      </c>
      <c r="F4" s="30" t="s">
        <v>19</v>
      </c>
      <c r="G4" s="30" t="s">
        <v>33</v>
      </c>
      <c r="H4" s="106" t="s">
        <v>19</v>
      </c>
      <c r="I4" s="106" t="s">
        <v>33</v>
      </c>
    </row>
    <row r="5" spans="1:9" x14ac:dyDescent="0.25">
      <c r="A5" s="7">
        <v>1</v>
      </c>
      <c r="B5" s="25" t="str">
        <f>'Расчетная таблица'!B17</f>
        <v>Загрузка страницы</v>
      </c>
      <c r="C5" s="25" t="str">
        <f>'Расчетная таблица'!C17</f>
        <v>Load_start_Page</v>
      </c>
      <c r="D5" s="26">
        <f>'Расчетная таблица'!D17*2</f>
        <v>872</v>
      </c>
      <c r="E5" s="80">
        <f>'Расчетная таблица'!E17</f>
        <v>0.15516014234875444</v>
      </c>
      <c r="F5" s="34">
        <f ca="1">'Расчетная таблица'!F17*2</f>
        <v>872</v>
      </c>
      <c r="G5" s="33">
        <f ca="1">'Расчетная таблица'!G17</f>
        <v>0</v>
      </c>
      <c r="H5" s="81">
        <f>VLOOKUP(C5,$B$28:K$44,8,0)</f>
        <v>812</v>
      </c>
      <c r="I5" s="82">
        <f t="shared" ref="I5:I14" si="0">1-D5/H5</f>
        <v>-7.3891625615763568E-2</v>
      </c>
    </row>
    <row r="6" spans="1:9" x14ac:dyDescent="0.25">
      <c r="A6" s="7">
        <v>2</v>
      </c>
      <c r="B6" s="83" t="str">
        <f>'Расчетная таблица'!B18</f>
        <v>Вход в систему</v>
      </c>
      <c r="C6" s="25" t="str">
        <f>'Расчетная таблица'!C18</f>
        <v>login_user</v>
      </c>
      <c r="D6" s="26">
        <f>'Расчетная таблица'!D18*2</f>
        <v>844</v>
      </c>
      <c r="E6" s="80">
        <f>'Расчетная таблица'!E18</f>
        <v>0.1501779359430605</v>
      </c>
      <c r="F6" s="34">
        <f ca="1">'Расчетная таблица'!F18*2</f>
        <v>872</v>
      </c>
      <c r="G6" s="33">
        <f ca="1">'Расчетная таблица'!G18</f>
        <v>3.2110091743119296E-2</v>
      </c>
      <c r="H6" s="81">
        <f>VLOOKUP(C6,$B$28:K$44,8,0)</f>
        <v>812</v>
      </c>
      <c r="I6" s="82">
        <f t="shared" si="0"/>
        <v>-3.9408866995073843E-2</v>
      </c>
    </row>
    <row r="7" spans="1:9" x14ac:dyDescent="0.25">
      <c r="A7" s="7">
        <v>3</v>
      </c>
      <c r="B7" s="25" t="str">
        <f>'Расчетная таблица'!B19</f>
        <v>Переход к поиску полета</v>
      </c>
      <c r="C7" s="25" t="str">
        <f>'Расчетная таблица'!C19</f>
        <v>goto_Flight</v>
      </c>
      <c r="D7" s="26">
        <f>'Расчетная таблица'!D19*2</f>
        <v>724</v>
      </c>
      <c r="E7" s="80">
        <f>'Расчетная таблица'!E19</f>
        <v>0.1288256227758007</v>
      </c>
      <c r="F7" s="34">
        <f ca="1">'Расчетная таблица'!F19*2</f>
        <v>724</v>
      </c>
      <c r="G7" s="33">
        <f ca="1">'Расчетная таблица'!G19</f>
        <v>0</v>
      </c>
      <c r="H7" s="81">
        <f>VLOOKUP(C7,$B$28:K$44,8,0)</f>
        <v>672</v>
      </c>
      <c r="I7" s="82">
        <f t="shared" si="0"/>
        <v>-7.7380952380952328E-2</v>
      </c>
    </row>
    <row r="8" spans="1:9" x14ac:dyDescent="0.25">
      <c r="A8" s="7">
        <v>4</v>
      </c>
      <c r="B8" s="83" t="str">
        <f>'Расчетная таблица'!B20</f>
        <v>Заполнение полей для поиска билета</v>
      </c>
      <c r="C8" s="25" t="str">
        <f>'Расчетная таблица'!C20</f>
        <v>Entry_Data_Flight</v>
      </c>
      <c r="D8" s="26">
        <f>'Расчетная таблица'!D20*2</f>
        <v>564</v>
      </c>
      <c r="E8" s="80">
        <f>'Расчетная таблица'!E20</f>
        <v>0.100355871886121</v>
      </c>
      <c r="F8" s="34">
        <f ca="1">'Расчетная таблица'!F20*2</f>
        <v>582</v>
      </c>
      <c r="G8" s="33">
        <f ca="1">'Расчетная таблица'!G20</f>
        <v>3.0927835051546393E-2</v>
      </c>
      <c r="H8" s="81">
        <f>VLOOKUP(C8,$B$28:K$44,8,0)</f>
        <v>546</v>
      </c>
      <c r="I8" s="82">
        <f t="shared" si="0"/>
        <v>-3.2967032967033072E-2</v>
      </c>
    </row>
    <row r="9" spans="1:9" x14ac:dyDescent="0.25">
      <c r="A9" s="7">
        <v>5</v>
      </c>
      <c r="B9" s="83" t="str">
        <f>'Расчетная таблица'!B21</f>
        <v>Выбор рейса из найденных</v>
      </c>
      <c r="C9" s="25" t="str">
        <f>'Расчетная таблица'!C21</f>
        <v>choise_ticket</v>
      </c>
      <c r="D9" s="26">
        <f>'Расчетная таблица'!D21*2</f>
        <v>502</v>
      </c>
      <c r="E9" s="80">
        <f>'Расчетная таблица'!E21</f>
        <v>8.9323843416370105E-2</v>
      </c>
      <c r="F9" s="34">
        <f ca="1">'Расчетная таблица'!F21*2</f>
        <v>506</v>
      </c>
      <c r="G9" s="33">
        <f ca="1">'Расчетная таблица'!G21</f>
        <v>7.905138339920903E-3</v>
      </c>
      <c r="H9" s="81">
        <f>VLOOKUP(C9,$B$28:K$44,8,0)</f>
        <v>474</v>
      </c>
      <c r="I9" s="82">
        <f t="shared" si="0"/>
        <v>-5.9071729957805852E-2</v>
      </c>
    </row>
    <row r="10" spans="1:9" x14ac:dyDescent="0.25">
      <c r="A10" s="7">
        <v>6</v>
      </c>
      <c r="B10" s="83" t="str">
        <f>'Расчетная таблица'!B22</f>
        <v>Оплата билета</v>
      </c>
      <c r="C10" s="25" t="str">
        <f>'Расчетная таблица'!C22</f>
        <v>Entry_Data_Ticket</v>
      </c>
      <c r="D10" s="26">
        <f>'Расчетная таблица'!D22*2</f>
        <v>350</v>
      </c>
      <c r="E10" s="80">
        <f>'Расчетная таблица'!E22</f>
        <v>6.2277580071174378E-2</v>
      </c>
      <c r="F10" s="34">
        <f ca="1">'Расчетная таблица'!F22*2</f>
        <v>360</v>
      </c>
      <c r="G10" s="33">
        <f ca="1">'Расчетная таблица'!G22</f>
        <v>2.777777777777779E-2</v>
      </c>
      <c r="H10" s="81">
        <f>VLOOKUP(C10,$B$28:K$44,8,0)</f>
        <v>330</v>
      </c>
      <c r="I10" s="82">
        <f t="shared" si="0"/>
        <v>-6.0606060606060552E-2</v>
      </c>
    </row>
    <row r="11" spans="1:9" x14ac:dyDescent="0.25">
      <c r="A11" s="7">
        <v>7</v>
      </c>
      <c r="B11" s="83" t="str">
        <f>'Расчетная таблица'!B23</f>
        <v>Просмотр квитанций</v>
      </c>
      <c r="C11" s="25" t="str">
        <f>'Расчетная таблица'!C23</f>
        <v>goto_Itinerary</v>
      </c>
      <c r="D11" s="26">
        <f>'Расчетная таблица'!D23*2</f>
        <v>318</v>
      </c>
      <c r="E11" s="80">
        <f>'Расчетная таблица'!E23</f>
        <v>5.6583629893238431E-2</v>
      </c>
      <c r="F11" s="34">
        <f ca="1">'Расчетная таблица'!F23*2</f>
        <v>316</v>
      </c>
      <c r="G11" s="33">
        <f ca="1">'Расчетная таблица'!G23</f>
        <v>-6.3291139240506666E-3</v>
      </c>
      <c r="H11" s="81">
        <f>VLOOKUP(C11,$B$28:K$44,8,0)</f>
        <v>298</v>
      </c>
      <c r="I11" s="82">
        <f t="shared" si="0"/>
        <v>-6.7114093959731447E-2</v>
      </c>
    </row>
    <row r="12" spans="1:9" x14ac:dyDescent="0.25">
      <c r="A12" s="7">
        <v>8</v>
      </c>
      <c r="B12" s="83" t="str">
        <f>'Расчетная таблица'!B24</f>
        <v>Отмена бронирования билета</v>
      </c>
      <c r="C12" s="25" t="str">
        <f>'Расчетная таблица'!C24</f>
        <v>Delete_first</v>
      </c>
      <c r="D12" s="26">
        <f>'Расчетная таблица'!D24*2</f>
        <v>146</v>
      </c>
      <c r="E12" s="80">
        <f>'Расчетная таблица'!E24</f>
        <v>2.5978647686832741E-2</v>
      </c>
      <c r="F12" s="34">
        <f ca="1">'Расчетная таблица'!F24*2</f>
        <v>142</v>
      </c>
      <c r="G12" s="33">
        <f ca="1">'Расчетная таблица'!G24</f>
        <v>-2.8169014084507005E-2</v>
      </c>
      <c r="H12" s="81">
        <f>VLOOKUP(C12,$B$28:K$44,8,0)</f>
        <v>123</v>
      </c>
      <c r="I12" s="82">
        <f t="shared" si="0"/>
        <v>-0.18699186991869921</v>
      </c>
    </row>
    <row r="13" spans="1:9" x14ac:dyDescent="0.25">
      <c r="A13" s="7">
        <v>9</v>
      </c>
      <c r="B13" s="25" t="str">
        <f>'Расчетная таблица'!B25</f>
        <v>Операция перехода на странцу "Home"</v>
      </c>
      <c r="C13" s="25" t="str">
        <f>'Расчетная таблица'!C25</f>
        <v>goto_home</v>
      </c>
      <c r="D13" s="26">
        <f>'Расчетная таблица'!D25*2</f>
        <v>648</v>
      </c>
      <c r="E13" s="80">
        <f>'Расчетная таблица'!E25</f>
        <v>0.11530249110320284</v>
      </c>
      <c r="F13" s="34">
        <f ca="1">'Расчетная таблица'!F25*2</f>
        <v>648</v>
      </c>
      <c r="G13" s="33">
        <f ca="1">'Расчетная таблица'!G25</f>
        <v>0</v>
      </c>
      <c r="H13" s="81">
        <f>VLOOKUP(C13,$B$28:K$44,8,0)</f>
        <v>597</v>
      </c>
      <c r="I13" s="82">
        <f t="shared" si="0"/>
        <v>-8.5427135678391997E-2</v>
      </c>
    </row>
    <row r="14" spans="1:9" x14ac:dyDescent="0.25">
      <c r="A14" s="7">
        <v>10</v>
      </c>
      <c r="B14" s="83" t="str">
        <f>'Расчетная таблица'!B26</f>
        <v>Выход из системы</v>
      </c>
      <c r="C14" s="25" t="str">
        <f>'Расчетная таблица'!C26</f>
        <v>Logout</v>
      </c>
      <c r="D14" s="26">
        <f>'Расчетная таблица'!D26*2</f>
        <v>652</v>
      </c>
      <c r="E14" s="80">
        <f>'Расчетная таблица'!E26</f>
        <v>0.11601423487544484</v>
      </c>
      <c r="F14" s="34">
        <f ca="1">'Расчетная таблица'!F26*2</f>
        <v>654</v>
      </c>
      <c r="G14" s="33">
        <f ca="1">'Расчетная таблица'!G26</f>
        <v>3.0581039755351869E-3</v>
      </c>
      <c r="H14" s="81">
        <f>VLOOKUP(C14,$B$28:K$44,8,0)</f>
        <v>611</v>
      </c>
      <c r="I14" s="82">
        <f t="shared" si="0"/>
        <v>-6.7103109656301063E-2</v>
      </c>
    </row>
    <row r="15" spans="1:9" ht="15" customHeight="1" x14ac:dyDescent="0.25">
      <c r="A15" s="117" t="s">
        <v>64</v>
      </c>
      <c r="B15" s="118"/>
      <c r="C15" s="119"/>
      <c r="D15" s="70">
        <f>SUM(D5:D14)</f>
        <v>5620</v>
      </c>
      <c r="E15" s="75">
        <f>'Расчетная таблица'!E27</f>
        <v>1</v>
      </c>
      <c r="F15" s="78">
        <f ca="1">SUM(F5:F14)</f>
        <v>5676</v>
      </c>
      <c r="G15" s="79">
        <f ca="1">'Расчетная таблица'!G27</f>
        <v>6.7280818879341901E-3</v>
      </c>
      <c r="H15" s="73">
        <f>SUM(H5:H14)</f>
        <v>5275</v>
      </c>
      <c r="I15" s="100">
        <f>AVERAGE(I5:I14)</f>
        <v>-7.4996247773581298E-2</v>
      </c>
    </row>
    <row r="17" spans="1:17" ht="27.75" customHeight="1" x14ac:dyDescent="0.25">
      <c r="A17" s="129" t="s">
        <v>1</v>
      </c>
      <c r="B17" s="129" t="s">
        <v>49</v>
      </c>
      <c r="C17" s="129" t="s">
        <v>50</v>
      </c>
      <c r="D17" s="129" t="s">
        <v>19</v>
      </c>
      <c r="E17" s="129"/>
      <c r="F17" s="129" t="s">
        <v>17</v>
      </c>
      <c r="H17" s="132" t="s">
        <v>187</v>
      </c>
      <c r="I17" s="132"/>
      <c r="J17" s="110" t="s">
        <v>184</v>
      </c>
      <c r="K17" s="110" t="s">
        <v>185</v>
      </c>
    </row>
    <row r="18" spans="1:17" ht="30" customHeight="1" x14ac:dyDescent="0.25">
      <c r="A18" s="129"/>
      <c r="B18" s="129"/>
      <c r="C18" s="129"/>
      <c r="D18" s="105" t="s">
        <v>16</v>
      </c>
      <c r="E18" s="105" t="s">
        <v>58</v>
      </c>
      <c r="F18" s="129"/>
      <c r="H18" s="133" t="s">
        <v>181</v>
      </c>
      <c r="I18" s="133"/>
      <c r="J18" s="7">
        <f>E25*3</f>
        <v>2418</v>
      </c>
      <c r="K18" s="7">
        <f>H15*3</f>
        <v>15825</v>
      </c>
    </row>
    <row r="19" spans="1:17" ht="30.75" customHeight="1" x14ac:dyDescent="0.25">
      <c r="A19" s="7">
        <v>1</v>
      </c>
      <c r="B19" s="20" t="str">
        <f>'Расчетная таблица'!B5</f>
        <v xml:space="preserve">Поиск авиабилета без покупки, просмотр истории </v>
      </c>
      <c r="C19" s="20" t="str">
        <f>'Расчетная таблица'!C5</f>
        <v>01_Search_Itinerary</v>
      </c>
      <c r="D19" s="39">
        <f>'Расчетная таблица'!J5*2</f>
        <v>146</v>
      </c>
      <c r="E19" s="46">
        <f>VLOOKUP(C19,$B$28:K$44,8,0)</f>
        <v>144</v>
      </c>
      <c r="F19" s="38">
        <f t="shared" ref="F19:F24" si="1">1-D19/E19</f>
        <v>-1.388888888888884E-2</v>
      </c>
      <c r="H19" s="137" t="s">
        <v>182</v>
      </c>
      <c r="I19" s="137"/>
      <c r="J19" s="7">
        <f>MIN(E29:E34)</f>
        <v>6.3390000000000004</v>
      </c>
      <c r="K19" s="7">
        <f>MIN(E35:E44)</f>
        <v>0.23799999999999999</v>
      </c>
    </row>
    <row r="20" spans="1:17" ht="30.75" customHeight="1" x14ac:dyDescent="0.25">
      <c r="A20" s="7">
        <v>2</v>
      </c>
      <c r="B20" s="20" t="str">
        <f>'Расчетная таблица'!B6</f>
        <v>Поиск и покупка авиабилета</v>
      </c>
      <c r="C20" s="20" t="str">
        <f>'Расчетная таблица'!C6</f>
        <v>02_Search_BuyTicket</v>
      </c>
      <c r="D20" s="39">
        <f>'Расчетная таблица'!J6*2</f>
        <v>360</v>
      </c>
      <c r="E20" s="46">
        <f>VLOOKUP(C20,$B$28:K$44,8,0)</f>
        <v>329</v>
      </c>
      <c r="F20" s="38">
        <f t="shared" si="1"/>
        <v>-9.4224924012157985E-2</v>
      </c>
      <c r="H20" s="133" t="s">
        <v>183</v>
      </c>
      <c r="I20" s="133"/>
      <c r="J20" s="7">
        <f>MAX(E29:E34)</f>
        <v>11.201000000000001</v>
      </c>
      <c r="K20" s="7">
        <f>MAX(E35:E44)</f>
        <v>2.5910000000000002</v>
      </c>
    </row>
    <row r="21" spans="1:17" ht="30.75" customHeight="1" x14ac:dyDescent="0.25">
      <c r="A21" s="7">
        <v>3</v>
      </c>
      <c r="B21" s="20" t="str">
        <f>'Расчетная таблица'!B7</f>
        <v>Переход на страницу поиска, просмотр истории продаж авиабилетов, удаление авиабилета</v>
      </c>
      <c r="C21" s="20" t="str">
        <f>'Расчетная таблица'!C7</f>
        <v>03_SearcH_Itinerary_Delete</v>
      </c>
      <c r="D21" s="39">
        <f>'Расчетная таблица'!J7*2</f>
        <v>142</v>
      </c>
      <c r="E21" s="46">
        <f>VLOOKUP(C21,$B$28:K$44,8,0)</f>
        <v>123</v>
      </c>
      <c r="F21" s="38">
        <f t="shared" si="1"/>
        <v>-0.15447154471544722</v>
      </c>
      <c r="H21" s="133" t="s">
        <v>188</v>
      </c>
      <c r="I21" s="133"/>
      <c r="J21" s="7">
        <f>MAX(F29:F34)</f>
        <v>18.988</v>
      </c>
      <c r="K21" s="7">
        <f>MAX(F35:F44)</f>
        <v>9.2629999999999999</v>
      </c>
    </row>
    <row r="22" spans="1:17" ht="30.75" customHeight="1" x14ac:dyDescent="0.25">
      <c r="A22" s="7">
        <v>4</v>
      </c>
      <c r="B22" s="20" t="str">
        <f>'Расчетная таблица'!B8</f>
        <v>Просмотр истории продаж авиабилетов</v>
      </c>
      <c r="C22" s="20" t="str">
        <f>'Расчетная таблица'!C8</f>
        <v>04_Itinerary</v>
      </c>
      <c r="D22" s="39">
        <f>'Расчетная таблица'!J8*2</f>
        <v>28</v>
      </c>
      <c r="E22" s="46">
        <f>VLOOKUP(C22,$B$28:K$44,8,0)</f>
        <v>28</v>
      </c>
      <c r="F22" s="38">
        <f t="shared" si="1"/>
        <v>0</v>
      </c>
      <c r="H22" s="131" t="s">
        <v>186</v>
      </c>
      <c r="I22" s="131"/>
      <c r="J22" s="7">
        <f>MAX(H29:H34)</f>
        <v>15.676</v>
      </c>
      <c r="K22" s="7">
        <f>MAX(H35:H44)</f>
        <v>4.7969999999999997</v>
      </c>
    </row>
    <row r="23" spans="1:17" ht="30.75" customHeight="1" x14ac:dyDescent="0.25">
      <c r="A23" s="7">
        <v>5</v>
      </c>
      <c r="B23" s="20" t="str">
        <f>'Расчетная таблица'!B9</f>
        <v>Поиск авиабилета</v>
      </c>
      <c r="C23" s="20" t="str">
        <f>'Расчетная таблица'!C9</f>
        <v>05_Search</v>
      </c>
      <c r="D23" s="39">
        <f>'Расчетная таблица'!J9*2</f>
        <v>76</v>
      </c>
      <c r="E23" s="46">
        <f>VLOOKUP(C23,$B$28:K$44,8,0)</f>
        <v>71</v>
      </c>
      <c r="F23" s="38">
        <f t="shared" si="1"/>
        <v>-7.0422535211267512E-2</v>
      </c>
      <c r="H23" s="130"/>
      <c r="I23" s="130"/>
    </row>
    <row r="24" spans="1:17" ht="30.75" customHeight="1" x14ac:dyDescent="0.25">
      <c r="A24" s="7">
        <v>6</v>
      </c>
      <c r="B24" s="20" t="str">
        <f>'Расчетная таблица'!B10</f>
        <v>Вход выход</v>
      </c>
      <c r="C24" s="20" t="str">
        <f>'Расчетная таблица'!C10</f>
        <v>06_login_logout</v>
      </c>
      <c r="D24" s="39">
        <f>'Расчетная таблица'!J10*2</f>
        <v>120</v>
      </c>
      <c r="E24" s="46">
        <f>VLOOKUP(C24,$B$28:K$44,8,0)</f>
        <v>111</v>
      </c>
      <c r="F24" s="38">
        <f t="shared" si="1"/>
        <v>-8.1081081081081141E-2</v>
      </c>
      <c r="H24" s="130"/>
      <c r="I24" s="130"/>
    </row>
    <row r="25" spans="1:17" x14ac:dyDescent="0.25">
      <c r="A25" s="125" t="s">
        <v>64</v>
      </c>
      <c r="B25" s="125"/>
      <c r="C25" s="125"/>
      <c r="D25" s="73">
        <f>SUM(D19:D24)</f>
        <v>872</v>
      </c>
      <c r="E25" s="73">
        <f>SUM(E19:E24)</f>
        <v>806</v>
      </c>
      <c r="F25" s="72">
        <f>AVERAGE(F19:F24)</f>
        <v>-6.9014828984807111E-2</v>
      </c>
    </row>
    <row r="27" spans="1:17" ht="15" x14ac:dyDescent="0.25">
      <c r="B27" s="134" t="s">
        <v>179</v>
      </c>
      <c r="C27" s="134"/>
      <c r="D27" s="134"/>
      <c r="E27" s="134"/>
      <c r="F27" s="134"/>
      <c r="G27" s="134"/>
      <c r="H27" s="134"/>
      <c r="I27" s="134"/>
      <c r="J27" s="134"/>
      <c r="K27" s="134"/>
      <c r="L27" s="107"/>
      <c r="M27" s="107"/>
      <c r="N27" s="107"/>
      <c r="O27" s="107"/>
      <c r="P27" s="107"/>
      <c r="Q27" s="107"/>
    </row>
    <row r="28" spans="1:17" ht="15" x14ac:dyDescent="0.25">
      <c r="B28" s="95" t="s">
        <v>73</v>
      </c>
      <c r="C28" s="95" t="s">
        <v>74</v>
      </c>
      <c r="D28" s="95" t="s">
        <v>75</v>
      </c>
      <c r="E28" s="95" t="s">
        <v>76</v>
      </c>
      <c r="F28" s="95" t="s">
        <v>77</v>
      </c>
      <c r="G28" s="95" t="s">
        <v>78</v>
      </c>
      <c r="H28" s="95" t="s">
        <v>79</v>
      </c>
      <c r="I28" s="95" t="s">
        <v>80</v>
      </c>
      <c r="J28" s="95" t="s">
        <v>81</v>
      </c>
      <c r="K28" s="95" t="s">
        <v>82</v>
      </c>
      <c r="L28"/>
      <c r="Q28" s="95"/>
    </row>
    <row r="29" spans="1:17" ht="15" x14ac:dyDescent="0.25">
      <c r="B29" s="95" t="s">
        <v>37</v>
      </c>
      <c r="C29" s="95" t="s">
        <v>80</v>
      </c>
      <c r="D29" s="95">
        <v>3.4990000000000001</v>
      </c>
      <c r="E29" s="95">
        <v>9.5709999999999997</v>
      </c>
      <c r="F29" s="95">
        <v>17.036000000000001</v>
      </c>
      <c r="G29" s="95">
        <v>2.6989999999999998</v>
      </c>
      <c r="H29" s="95">
        <v>13.385</v>
      </c>
      <c r="I29" s="95">
        <v>144</v>
      </c>
      <c r="J29" s="95">
        <v>0</v>
      </c>
      <c r="K29" s="95">
        <v>0</v>
      </c>
      <c r="L29"/>
    </row>
    <row r="30" spans="1:17" ht="15" x14ac:dyDescent="0.25">
      <c r="B30" s="95" t="s">
        <v>38</v>
      </c>
      <c r="C30" s="95" t="s">
        <v>80</v>
      </c>
      <c r="D30" s="95">
        <v>3.21</v>
      </c>
      <c r="E30" s="95">
        <v>8.2550000000000008</v>
      </c>
      <c r="F30" s="95">
        <v>14.551</v>
      </c>
      <c r="G30" s="95">
        <v>2.444</v>
      </c>
      <c r="H30" s="95">
        <v>11.521000000000001</v>
      </c>
      <c r="I30" s="95">
        <v>329</v>
      </c>
      <c r="J30" s="95">
        <v>0</v>
      </c>
      <c r="K30" s="95">
        <v>0</v>
      </c>
      <c r="L30"/>
    </row>
    <row r="31" spans="1:17" ht="15" x14ac:dyDescent="0.25">
      <c r="B31" s="95" t="s">
        <v>84</v>
      </c>
      <c r="C31" s="95" t="s">
        <v>80</v>
      </c>
      <c r="D31" s="95">
        <v>5.4470000000000001</v>
      </c>
      <c r="E31" s="95">
        <v>11.201000000000001</v>
      </c>
      <c r="F31" s="95">
        <v>18.498000000000001</v>
      </c>
      <c r="G31" s="95">
        <v>3.3330000000000002</v>
      </c>
      <c r="H31" s="95">
        <v>15.676</v>
      </c>
      <c r="I31" s="95">
        <v>123</v>
      </c>
      <c r="J31" s="95">
        <v>1</v>
      </c>
      <c r="K31" s="95">
        <v>0</v>
      </c>
    </row>
    <row r="32" spans="1:17" ht="15" x14ac:dyDescent="0.25">
      <c r="B32" s="95" t="s">
        <v>85</v>
      </c>
      <c r="C32" s="95" t="s">
        <v>80</v>
      </c>
      <c r="D32" s="95">
        <v>3.5619999999999998</v>
      </c>
      <c r="E32" s="95">
        <v>9.8279999999999994</v>
      </c>
      <c r="F32" s="95">
        <v>18.988</v>
      </c>
      <c r="G32" s="95">
        <v>3.4929999999999999</v>
      </c>
      <c r="H32" s="95">
        <v>13.994999999999999</v>
      </c>
      <c r="I32" s="95">
        <v>28</v>
      </c>
      <c r="J32" s="95">
        <v>0</v>
      </c>
      <c r="K32" s="95">
        <v>0</v>
      </c>
    </row>
    <row r="33" spans="2:17" ht="15" x14ac:dyDescent="0.25">
      <c r="B33" s="95" t="s">
        <v>41</v>
      </c>
      <c r="C33" s="95" t="s">
        <v>80</v>
      </c>
      <c r="D33" s="95">
        <v>2.177</v>
      </c>
      <c r="E33" s="95">
        <v>7.6879999999999997</v>
      </c>
      <c r="F33" s="95">
        <v>15.647</v>
      </c>
      <c r="G33" s="95">
        <v>2.609</v>
      </c>
      <c r="H33" s="95">
        <v>10.301</v>
      </c>
      <c r="I33" s="95">
        <v>71</v>
      </c>
      <c r="J33" s="95">
        <v>0</v>
      </c>
      <c r="K33" s="95">
        <v>0</v>
      </c>
    </row>
    <row r="34" spans="2:17" ht="15" x14ac:dyDescent="0.25">
      <c r="B34" s="95" t="s">
        <v>86</v>
      </c>
      <c r="C34" s="95" t="s">
        <v>80</v>
      </c>
      <c r="D34" s="95">
        <v>1.3149999999999999</v>
      </c>
      <c r="E34" s="95">
        <v>6.3390000000000004</v>
      </c>
      <c r="F34" s="95">
        <v>12.571</v>
      </c>
      <c r="G34" s="95">
        <v>2.44</v>
      </c>
      <c r="H34" s="95">
        <v>9.7870000000000008</v>
      </c>
      <c r="I34" s="95">
        <v>111</v>
      </c>
      <c r="J34" s="95">
        <v>0</v>
      </c>
      <c r="K34" s="95">
        <v>0</v>
      </c>
    </row>
    <row r="35" spans="2:17" ht="15" x14ac:dyDescent="0.25">
      <c r="B35" s="95" t="s">
        <v>51</v>
      </c>
      <c r="C35" s="95" t="s">
        <v>80</v>
      </c>
      <c r="D35" s="95">
        <v>0.129</v>
      </c>
      <c r="E35" s="95">
        <v>0.252</v>
      </c>
      <c r="F35" s="95">
        <v>1.2190000000000001</v>
      </c>
      <c r="G35" s="95">
        <v>9.9000000000000005E-2</v>
      </c>
      <c r="H35" s="95">
        <v>0.36199999999999999</v>
      </c>
      <c r="I35" s="95">
        <v>474</v>
      </c>
      <c r="J35" s="95">
        <v>0</v>
      </c>
      <c r="K35" s="95">
        <v>0</v>
      </c>
    </row>
    <row r="36" spans="2:17" ht="15" x14ac:dyDescent="0.25">
      <c r="B36" s="95" t="s">
        <v>52</v>
      </c>
      <c r="C36" s="95" t="s">
        <v>80</v>
      </c>
      <c r="D36" s="95">
        <v>0.156</v>
      </c>
      <c r="E36" s="95">
        <v>0.44700000000000001</v>
      </c>
      <c r="F36" s="95">
        <v>1.615</v>
      </c>
      <c r="G36" s="95">
        <v>0.223</v>
      </c>
      <c r="H36" s="95">
        <v>0.747</v>
      </c>
      <c r="I36" s="95">
        <v>123</v>
      </c>
      <c r="J36" s="95">
        <v>1</v>
      </c>
      <c r="K36" s="95">
        <v>0</v>
      </c>
    </row>
    <row r="37" spans="2:17" ht="15" x14ac:dyDescent="0.25">
      <c r="B37" s="95" t="s">
        <v>45</v>
      </c>
      <c r="C37" s="95" t="s">
        <v>80</v>
      </c>
      <c r="D37" s="95">
        <v>0.1</v>
      </c>
      <c r="E37" s="95">
        <v>0.254</v>
      </c>
      <c r="F37" s="95">
        <v>2.923</v>
      </c>
      <c r="G37" s="95">
        <v>0.22600000000000001</v>
      </c>
      <c r="H37" s="95">
        <v>0.378</v>
      </c>
      <c r="I37" s="95">
        <v>546</v>
      </c>
      <c r="J37" s="95">
        <v>0</v>
      </c>
      <c r="K37" s="95">
        <v>0</v>
      </c>
    </row>
    <row r="38" spans="2:17" ht="15" x14ac:dyDescent="0.25">
      <c r="B38" s="95" t="s">
        <v>53</v>
      </c>
      <c r="C38" s="95" t="s">
        <v>80</v>
      </c>
      <c r="D38" s="95">
        <v>0.14000000000000001</v>
      </c>
      <c r="E38" s="95">
        <v>0.23799999999999999</v>
      </c>
      <c r="F38" s="95">
        <v>0.629</v>
      </c>
      <c r="G38" s="95">
        <v>8.5999999999999993E-2</v>
      </c>
      <c r="H38" s="95">
        <v>0.33600000000000002</v>
      </c>
      <c r="I38" s="95">
        <v>330</v>
      </c>
      <c r="J38" s="95">
        <v>0</v>
      </c>
      <c r="K38" s="95">
        <v>0</v>
      </c>
    </row>
    <row r="39" spans="2:17" ht="15" x14ac:dyDescent="0.25">
      <c r="B39" s="95" t="s">
        <v>46</v>
      </c>
      <c r="C39" s="95" t="s">
        <v>80</v>
      </c>
      <c r="D39" s="95">
        <v>0.191</v>
      </c>
      <c r="E39" s="95">
        <v>1.458</v>
      </c>
      <c r="F39" s="95">
        <v>6.5389999999999997</v>
      </c>
      <c r="G39" s="95">
        <v>1.4850000000000001</v>
      </c>
      <c r="H39" s="95">
        <v>3.7440000000000002</v>
      </c>
      <c r="I39" s="95">
        <v>672</v>
      </c>
      <c r="J39" s="95">
        <v>0</v>
      </c>
      <c r="K39" s="95">
        <v>0</v>
      </c>
    </row>
    <row r="40" spans="2:17" ht="15" x14ac:dyDescent="0.25">
      <c r="B40" s="95" t="s">
        <v>43</v>
      </c>
      <c r="C40" s="95" t="s">
        <v>80</v>
      </c>
      <c r="D40" s="95">
        <v>0.14299999999999999</v>
      </c>
      <c r="E40" s="95">
        <v>1.66</v>
      </c>
      <c r="F40" s="95">
        <v>8.2200000000000006</v>
      </c>
      <c r="G40" s="95">
        <v>1.377</v>
      </c>
      <c r="H40" s="95">
        <v>3.6120000000000001</v>
      </c>
      <c r="I40" s="95">
        <v>597</v>
      </c>
      <c r="J40" s="95">
        <v>0</v>
      </c>
      <c r="K40" s="95">
        <v>0</v>
      </c>
    </row>
    <row r="41" spans="2:17" ht="15" x14ac:dyDescent="0.25">
      <c r="B41" s="95" t="s">
        <v>44</v>
      </c>
      <c r="C41" s="95" t="s">
        <v>80</v>
      </c>
      <c r="D41" s="95">
        <v>0.27100000000000002</v>
      </c>
      <c r="E41" s="95">
        <v>1.121</v>
      </c>
      <c r="F41" s="95">
        <v>6.39</v>
      </c>
      <c r="G41" s="95">
        <v>1.171</v>
      </c>
      <c r="H41" s="95">
        <v>3.0459999999999998</v>
      </c>
      <c r="I41" s="95">
        <v>298</v>
      </c>
      <c r="J41" s="95">
        <v>0</v>
      </c>
      <c r="K41" s="95">
        <v>0</v>
      </c>
    </row>
    <row r="42" spans="2:17" ht="15" x14ac:dyDescent="0.25">
      <c r="B42" s="95" t="s">
        <v>48</v>
      </c>
      <c r="C42" s="95" t="s">
        <v>80</v>
      </c>
      <c r="D42" s="95">
        <v>0.20300000000000001</v>
      </c>
      <c r="E42" s="95">
        <v>2.5910000000000002</v>
      </c>
      <c r="F42" s="95">
        <v>9.2629999999999999</v>
      </c>
      <c r="G42" s="95">
        <v>1.5760000000000001</v>
      </c>
      <c r="H42" s="95">
        <v>4.7969999999999997</v>
      </c>
      <c r="I42" s="95">
        <v>812</v>
      </c>
      <c r="J42" s="95">
        <v>0</v>
      </c>
      <c r="K42" s="95">
        <v>0</v>
      </c>
    </row>
    <row r="43" spans="2:17" ht="15" x14ac:dyDescent="0.25">
      <c r="B43" s="95" t="s">
        <v>47</v>
      </c>
      <c r="C43" s="95" t="s">
        <v>80</v>
      </c>
      <c r="D43" s="95">
        <v>0.23100000000000001</v>
      </c>
      <c r="E43" s="95">
        <v>2.2610000000000001</v>
      </c>
      <c r="F43" s="95">
        <v>9.2360000000000007</v>
      </c>
      <c r="G43" s="95">
        <v>1.2669999999999999</v>
      </c>
      <c r="H43" s="95">
        <v>3.786</v>
      </c>
      <c r="I43" s="95">
        <v>812</v>
      </c>
      <c r="J43" s="95">
        <v>0</v>
      </c>
      <c r="K43" s="95">
        <v>0</v>
      </c>
    </row>
    <row r="44" spans="2:17" ht="15" x14ac:dyDescent="0.25">
      <c r="B44" s="95" t="s">
        <v>42</v>
      </c>
      <c r="C44" s="95" t="s">
        <v>80</v>
      </c>
      <c r="D44" s="95">
        <v>0.16300000000000001</v>
      </c>
      <c r="E44" s="95">
        <v>0.65500000000000003</v>
      </c>
      <c r="F44" s="95">
        <v>5.2320000000000002</v>
      </c>
      <c r="G44" s="95">
        <v>0.83599999999999997</v>
      </c>
      <c r="H44" s="95">
        <v>1.855</v>
      </c>
      <c r="I44" s="95">
        <v>611</v>
      </c>
      <c r="J44" s="95">
        <v>0</v>
      </c>
      <c r="K44" s="95">
        <v>0</v>
      </c>
    </row>
    <row r="45" spans="2:17" ht="15" x14ac:dyDescent="0.25">
      <c r="B45" s="95"/>
      <c r="C45" s="95"/>
      <c r="D45" s="104"/>
      <c r="E45" s="104"/>
      <c r="F45" s="104"/>
      <c r="G45" s="104"/>
      <c r="H45" s="104"/>
      <c r="I45" s="95"/>
      <c r="J45" s="95"/>
      <c r="K45" s="95"/>
      <c r="P45" s="95"/>
      <c r="Q45" s="95"/>
    </row>
    <row r="47" spans="2:17" ht="15" x14ac:dyDescent="0.25">
      <c r="B47" s="95"/>
      <c r="C47" s="95"/>
      <c r="D47" s="95"/>
      <c r="E47" s="95"/>
      <c r="F47" s="95"/>
      <c r="G47" s="95"/>
      <c r="H47" s="95"/>
      <c r="I47" s="95"/>
      <c r="J47" s="95"/>
      <c r="K47" s="95"/>
    </row>
    <row r="48" spans="2:17" ht="15" x14ac:dyDescent="0.25">
      <c r="B48" s="95"/>
      <c r="C48" s="95"/>
      <c r="D48" s="95"/>
      <c r="E48" s="95"/>
      <c r="F48" s="95"/>
      <c r="G48" s="95"/>
      <c r="H48" s="95"/>
      <c r="I48" s="95"/>
      <c r="J48" s="95"/>
      <c r="K48" s="95"/>
    </row>
    <row r="49" spans="2:11" ht="15" x14ac:dyDescent="0.25">
      <c r="B49" s="95"/>
      <c r="C49" s="95"/>
      <c r="D49" s="95"/>
      <c r="E49" s="95"/>
      <c r="F49" s="95"/>
      <c r="G49" s="95"/>
      <c r="H49" s="95"/>
      <c r="I49" s="95"/>
      <c r="J49" s="95"/>
      <c r="K49" s="95"/>
    </row>
    <row r="50" spans="2:11" ht="15" x14ac:dyDescent="0.25">
      <c r="B50" s="95"/>
      <c r="C50" s="95"/>
      <c r="D50" s="95"/>
      <c r="E50" s="95"/>
      <c r="F50" s="95"/>
      <c r="G50" s="95"/>
      <c r="H50" s="95"/>
      <c r="I50" s="95"/>
      <c r="J50" s="95"/>
      <c r="K50" s="95"/>
    </row>
    <row r="51" spans="2:11" ht="15" x14ac:dyDescent="0.25">
      <c r="B51" s="95"/>
      <c r="C51" s="95"/>
      <c r="D51" s="95"/>
      <c r="E51" s="95"/>
      <c r="F51" s="95"/>
      <c r="G51" s="95"/>
      <c r="H51" s="95"/>
      <c r="I51" s="95"/>
      <c r="J51" s="95"/>
      <c r="K51" s="95"/>
    </row>
    <row r="52" spans="2:11" ht="15" x14ac:dyDescent="0.25">
      <c r="B52" s="95"/>
      <c r="C52" s="95"/>
      <c r="D52" s="95"/>
      <c r="E52" s="95"/>
      <c r="F52" s="95"/>
      <c r="G52" s="95"/>
      <c r="H52" s="95"/>
      <c r="I52" s="95"/>
      <c r="J52" s="95"/>
      <c r="K52" s="95"/>
    </row>
    <row r="53" spans="2:11" ht="15" x14ac:dyDescent="0.25">
      <c r="B53" s="95"/>
      <c r="C53" s="95"/>
      <c r="D53" s="95"/>
      <c r="E53" s="95"/>
      <c r="F53" s="95"/>
      <c r="G53" s="95"/>
      <c r="H53" s="95"/>
      <c r="I53" s="95"/>
      <c r="J53" s="95"/>
      <c r="K53" s="95"/>
    </row>
    <row r="54" spans="2:11" ht="15" x14ac:dyDescent="0.25">
      <c r="B54" s="95"/>
      <c r="C54" s="95"/>
      <c r="D54" s="95"/>
      <c r="E54" s="95"/>
      <c r="F54" s="95"/>
      <c r="G54" s="95"/>
      <c r="H54" s="95"/>
      <c r="I54" s="95"/>
      <c r="J54" s="95"/>
      <c r="K54" s="95"/>
    </row>
    <row r="55" spans="2:11" ht="15" x14ac:dyDescent="0.25">
      <c r="B55" s="95"/>
      <c r="C55" s="95"/>
      <c r="D55" s="95"/>
      <c r="E55" s="95"/>
      <c r="F55" s="95"/>
      <c r="G55" s="95"/>
      <c r="H55" s="95"/>
      <c r="I55" s="95"/>
      <c r="J55" s="95"/>
      <c r="K55" s="95"/>
    </row>
    <row r="56" spans="2:11" ht="15" x14ac:dyDescent="0.25">
      <c r="B56" s="95"/>
      <c r="C56" s="95"/>
      <c r="D56" s="95"/>
      <c r="E56" s="95"/>
      <c r="F56" s="95"/>
      <c r="G56" s="95"/>
      <c r="H56" s="95"/>
      <c r="I56" s="95"/>
      <c r="J56" s="95"/>
      <c r="K56" s="95"/>
    </row>
    <row r="57" spans="2:11" ht="15" x14ac:dyDescent="0.25">
      <c r="B57" s="95"/>
      <c r="C57" s="95"/>
      <c r="D57" s="95"/>
      <c r="E57" s="95"/>
      <c r="F57" s="95"/>
      <c r="G57" s="95"/>
      <c r="H57" s="95"/>
      <c r="I57" s="95"/>
      <c r="J57" s="95"/>
      <c r="K57" s="95"/>
    </row>
    <row r="58" spans="2:11" ht="15" x14ac:dyDescent="0.25">
      <c r="B58" s="95"/>
      <c r="C58" s="95"/>
      <c r="D58" s="95"/>
      <c r="E58" s="95"/>
      <c r="F58" s="95"/>
      <c r="G58" s="95"/>
      <c r="H58" s="95"/>
      <c r="I58" s="95"/>
      <c r="J58" s="95"/>
      <c r="K58" s="95"/>
    </row>
    <row r="59" spans="2:11" ht="15" x14ac:dyDescent="0.25">
      <c r="B59" s="95"/>
      <c r="C59" s="95"/>
      <c r="D59" s="95"/>
      <c r="E59" s="95"/>
      <c r="F59" s="95"/>
      <c r="G59" s="95"/>
      <c r="H59" s="95"/>
      <c r="I59" s="95"/>
      <c r="J59" s="95"/>
      <c r="K59" s="95"/>
    </row>
    <row r="60" spans="2:11" ht="15" x14ac:dyDescent="0.25">
      <c r="B60" s="95"/>
      <c r="C60" s="95"/>
      <c r="D60" s="95"/>
      <c r="E60" s="95"/>
      <c r="F60" s="95"/>
      <c r="G60" s="95"/>
      <c r="H60" s="95"/>
      <c r="I60" s="95"/>
      <c r="J60" s="95"/>
      <c r="K60" s="95"/>
    </row>
    <row r="61" spans="2:11" ht="15" x14ac:dyDescent="0.25">
      <c r="B61" s="95"/>
      <c r="C61" s="95"/>
      <c r="D61" s="95"/>
      <c r="E61" s="95"/>
      <c r="F61" s="95"/>
      <c r="G61" s="95"/>
      <c r="H61" s="95"/>
      <c r="I61" s="95"/>
      <c r="J61" s="95"/>
      <c r="K61" s="95"/>
    </row>
    <row r="62" spans="2:11" ht="15" x14ac:dyDescent="0.25">
      <c r="B62" s="95"/>
      <c r="C62" s="95"/>
      <c r="D62" s="95"/>
      <c r="E62" s="95"/>
      <c r="F62" s="95"/>
      <c r="G62" s="95"/>
      <c r="H62" s="95"/>
      <c r="I62" s="95"/>
      <c r="J62" s="95"/>
      <c r="K62" s="95"/>
    </row>
    <row r="63" spans="2:11" ht="15" x14ac:dyDescent="0.25">
      <c r="B63" s="95"/>
      <c r="C63" s="95"/>
      <c r="D63" s="95"/>
      <c r="E63" s="95"/>
      <c r="F63" s="95"/>
      <c r="G63" s="95"/>
      <c r="H63" s="95"/>
      <c r="I63" s="95"/>
      <c r="J63" s="95"/>
      <c r="K63" s="95"/>
    </row>
    <row r="64" spans="2:11" ht="15" x14ac:dyDescent="0.25">
      <c r="B64" s="95"/>
      <c r="C64" s="95"/>
      <c r="D64" s="95"/>
      <c r="E64" s="95"/>
      <c r="F64" s="95"/>
      <c r="G64" s="95"/>
      <c r="H64" s="95"/>
      <c r="I64" s="95"/>
      <c r="J64" s="95"/>
      <c r="K64" s="95"/>
    </row>
  </sheetData>
  <mergeCells count="23">
    <mergeCell ref="B17:B18"/>
    <mergeCell ref="C17:C18"/>
    <mergeCell ref="D17:E17"/>
    <mergeCell ref="F17:F18"/>
    <mergeCell ref="B27:K27"/>
    <mergeCell ref="A1:I1"/>
    <mergeCell ref="A3:A4"/>
    <mergeCell ref="B3:B4"/>
    <mergeCell ref="C3:C4"/>
    <mergeCell ref="D3:E3"/>
    <mergeCell ref="F3:G3"/>
    <mergeCell ref="H3:I3"/>
    <mergeCell ref="H18:I18"/>
    <mergeCell ref="H19:I19"/>
    <mergeCell ref="H20:I20"/>
    <mergeCell ref="A25:C25"/>
    <mergeCell ref="A15:C15"/>
    <mergeCell ref="A17:A18"/>
    <mergeCell ref="H23:I23"/>
    <mergeCell ref="H24:I24"/>
    <mergeCell ref="H22:I22"/>
    <mergeCell ref="H17:I17"/>
    <mergeCell ref="H21:I21"/>
  </mergeCells>
  <pageMargins left="0.7" right="0.7" top="0.75" bottom="0.75" header="0.3" footer="0.3"/>
  <pageSetup paperSize="9" scale="8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25" zoomScale="85" zoomScaleNormal="85" workbookViewId="0">
      <selection activeCell="H39" sqref="H39:H44"/>
    </sheetView>
  </sheetViews>
  <sheetFormatPr defaultRowHeight="12.75" x14ac:dyDescent="0.25"/>
  <cols>
    <col min="1" max="1" width="7.140625" style="17" customWidth="1"/>
    <col min="2" max="2" width="36.28515625" style="17" customWidth="1"/>
    <col min="3" max="3" width="22.85546875" style="17" bestFit="1" customWidth="1"/>
    <col min="4" max="4" width="16" style="17" customWidth="1"/>
    <col min="5" max="5" width="11.7109375" style="17" customWidth="1"/>
    <col min="6" max="6" width="16" style="17" customWidth="1"/>
    <col min="7" max="7" width="11.7109375" style="17" customWidth="1"/>
    <col min="8" max="8" width="16" style="17" customWidth="1"/>
    <col min="9" max="9" width="11.7109375" style="17" customWidth="1"/>
    <col min="10" max="16384" width="9.140625" style="17"/>
  </cols>
  <sheetData>
    <row r="1" spans="1:9" ht="18.75" x14ac:dyDescent="0.25">
      <c r="A1" s="120" t="s">
        <v>171</v>
      </c>
      <c r="B1" s="120"/>
      <c r="C1" s="120"/>
      <c r="D1" s="120"/>
      <c r="E1" s="120"/>
      <c r="F1" s="120"/>
      <c r="G1" s="120"/>
      <c r="H1" s="120"/>
      <c r="I1" s="120"/>
    </row>
    <row r="3" spans="1:9" ht="24.75" customHeight="1" x14ac:dyDescent="0.25">
      <c r="A3" s="129" t="s">
        <v>1</v>
      </c>
      <c r="B3" s="129" t="s">
        <v>18</v>
      </c>
      <c r="C3" s="129" t="s">
        <v>54</v>
      </c>
      <c r="D3" s="127" t="s">
        <v>32</v>
      </c>
      <c r="E3" s="127"/>
      <c r="F3" s="135" t="s">
        <v>31</v>
      </c>
      <c r="G3" s="136"/>
      <c r="H3" s="126" t="s">
        <v>57</v>
      </c>
      <c r="I3" s="126"/>
    </row>
    <row r="4" spans="1:9" s="21" customFormat="1" ht="36" customHeight="1" x14ac:dyDescent="0.25">
      <c r="A4" s="129"/>
      <c r="B4" s="129"/>
      <c r="C4" s="129"/>
      <c r="D4" s="31" t="s">
        <v>19</v>
      </c>
      <c r="E4" s="31" t="s">
        <v>34</v>
      </c>
      <c r="F4" s="30" t="s">
        <v>19</v>
      </c>
      <c r="G4" s="30" t="s">
        <v>33</v>
      </c>
      <c r="H4" s="106" t="s">
        <v>19</v>
      </c>
      <c r="I4" s="106" t="s">
        <v>33</v>
      </c>
    </row>
    <row r="5" spans="1:9" x14ac:dyDescent="0.25">
      <c r="A5" s="7">
        <v>1</v>
      </c>
      <c r="B5" s="25" t="str">
        <f>'Расчетная таблица'!B17</f>
        <v>Загрузка страницы</v>
      </c>
      <c r="C5" s="25" t="str">
        <f>'Расчетная таблица'!C17</f>
        <v>Load_start_Page</v>
      </c>
      <c r="D5" s="26">
        <f>'Расчетная таблица'!D17*4</f>
        <v>1744</v>
      </c>
      <c r="E5" s="80">
        <f>'Расчетная таблица'!E17</f>
        <v>0.15516014234875444</v>
      </c>
      <c r="F5" s="34">
        <f ca="1">'Расчетная таблица'!F17*4</f>
        <v>1744</v>
      </c>
      <c r="G5" s="33">
        <f ca="1">'Расчетная таблица'!G17</f>
        <v>0</v>
      </c>
      <c r="H5" s="81">
        <f>VLOOKUP(C5,$B$28:K$44,8,0)</f>
        <v>667</v>
      </c>
      <c r="I5" s="82">
        <f t="shared" ref="I5:I14" si="0">1-D5/H5</f>
        <v>-1.6146926536731634</v>
      </c>
    </row>
    <row r="6" spans="1:9" x14ac:dyDescent="0.25">
      <c r="A6" s="7">
        <v>2</v>
      </c>
      <c r="B6" s="83" t="str">
        <f>'Расчетная таблица'!B18</f>
        <v>Вход в систему</v>
      </c>
      <c r="C6" s="25" t="str">
        <f>'Расчетная таблица'!C18</f>
        <v>login_user</v>
      </c>
      <c r="D6" s="26">
        <f>'Расчетная таблица'!D18*4</f>
        <v>1688</v>
      </c>
      <c r="E6" s="80">
        <f>'Расчетная таблица'!E18</f>
        <v>0.1501779359430605</v>
      </c>
      <c r="F6" s="34">
        <f ca="1">'Расчетная таблица'!F18*4</f>
        <v>1744</v>
      </c>
      <c r="G6" s="33">
        <f ca="1">'Расчетная таблица'!G18</f>
        <v>3.2110091743119296E-2</v>
      </c>
      <c r="H6" s="81">
        <f>VLOOKUP(C6,$B$28:K$44,8,0)</f>
        <v>669</v>
      </c>
      <c r="I6" s="82">
        <f t="shared" si="0"/>
        <v>-1.5231689088191329</v>
      </c>
    </row>
    <row r="7" spans="1:9" x14ac:dyDescent="0.25">
      <c r="A7" s="7">
        <v>3</v>
      </c>
      <c r="B7" s="25" t="str">
        <f>'Расчетная таблица'!B19</f>
        <v>Переход к поиску полета</v>
      </c>
      <c r="C7" s="25" t="str">
        <f>'Расчетная таблица'!C19</f>
        <v>goto_Flight</v>
      </c>
      <c r="D7" s="26">
        <f>'Расчетная таблица'!D19*4</f>
        <v>1448</v>
      </c>
      <c r="E7" s="80">
        <f>'Расчетная таблица'!E19</f>
        <v>0.1288256227758007</v>
      </c>
      <c r="F7" s="34">
        <f ca="1">'Расчетная таблица'!F19*4</f>
        <v>1448</v>
      </c>
      <c r="G7" s="33">
        <f ca="1">'Расчетная таблица'!G19</f>
        <v>0</v>
      </c>
      <c r="H7" s="81">
        <f>VLOOKUP(C7,$B$28:K$44,8,0)</f>
        <v>541</v>
      </c>
      <c r="I7" s="82">
        <f t="shared" si="0"/>
        <v>-1.6765249537892792</v>
      </c>
    </row>
    <row r="8" spans="1:9" x14ac:dyDescent="0.25">
      <c r="A8" s="7">
        <v>4</v>
      </c>
      <c r="B8" s="83" t="str">
        <f>'Расчетная таблица'!B20</f>
        <v>Заполнение полей для поиска билета</v>
      </c>
      <c r="C8" s="25" t="str">
        <f>'Расчетная таблица'!C20</f>
        <v>Entry_Data_Flight</v>
      </c>
      <c r="D8" s="26">
        <f>'Расчетная таблица'!D20*4</f>
        <v>1128</v>
      </c>
      <c r="E8" s="80">
        <f>'Расчетная таблица'!E20</f>
        <v>0.100355871886121</v>
      </c>
      <c r="F8" s="34">
        <f ca="1">'Расчетная таблица'!F20*4</f>
        <v>1164</v>
      </c>
      <c r="G8" s="33">
        <f ca="1">'Расчетная таблица'!G20</f>
        <v>3.0927835051546393E-2</v>
      </c>
      <c r="H8" s="81">
        <f>VLOOKUP(C8,$B$28:K$44,8,0)</f>
        <v>443</v>
      </c>
      <c r="I8" s="82">
        <f t="shared" si="0"/>
        <v>-1.5462753950338599</v>
      </c>
    </row>
    <row r="9" spans="1:9" x14ac:dyDescent="0.25">
      <c r="A9" s="7">
        <v>5</v>
      </c>
      <c r="B9" s="83" t="str">
        <f>'Расчетная таблица'!B21</f>
        <v>Выбор рейса из найденных</v>
      </c>
      <c r="C9" s="25" t="str">
        <f>'Расчетная таблица'!C21</f>
        <v>choise_ticket</v>
      </c>
      <c r="D9" s="26">
        <f>'Расчетная таблица'!D21*4</f>
        <v>1004</v>
      </c>
      <c r="E9" s="80">
        <f>'Расчетная таблица'!E21</f>
        <v>8.9323843416370105E-2</v>
      </c>
      <c r="F9" s="34">
        <f ca="1">'Расчетная таблица'!F21*4</f>
        <v>1012</v>
      </c>
      <c r="G9" s="33">
        <f ca="1">'Расчетная таблица'!G21</f>
        <v>7.905138339920903E-3</v>
      </c>
      <c r="H9" s="81">
        <f>VLOOKUP(C9,$B$28:K$44,8,0)</f>
        <v>385</v>
      </c>
      <c r="I9" s="82">
        <f t="shared" si="0"/>
        <v>-1.6077922077922078</v>
      </c>
    </row>
    <row r="10" spans="1:9" x14ac:dyDescent="0.25">
      <c r="A10" s="7">
        <v>6</v>
      </c>
      <c r="B10" s="83" t="str">
        <f>'Расчетная таблица'!B22</f>
        <v>Оплата билета</v>
      </c>
      <c r="C10" s="25" t="str">
        <f>'Расчетная таблица'!C22</f>
        <v>Entry_Data_Ticket</v>
      </c>
      <c r="D10" s="26">
        <f>'Расчетная таблица'!D22*4</f>
        <v>700</v>
      </c>
      <c r="E10" s="80">
        <f>'Расчетная таблица'!E22</f>
        <v>6.2277580071174378E-2</v>
      </c>
      <c r="F10" s="34">
        <f ca="1">'Расчетная таблица'!F22*4</f>
        <v>720</v>
      </c>
      <c r="G10" s="33">
        <f ca="1">'Расчетная таблица'!G22</f>
        <v>2.777777777777779E-2</v>
      </c>
      <c r="H10" s="81">
        <f>VLOOKUP(C10,$B$28:K$44,8,0)</f>
        <v>243</v>
      </c>
      <c r="I10" s="82">
        <f t="shared" si="0"/>
        <v>-1.880658436213992</v>
      </c>
    </row>
    <row r="11" spans="1:9" x14ac:dyDescent="0.25">
      <c r="A11" s="7">
        <v>7</v>
      </c>
      <c r="B11" s="83" t="str">
        <f>'Расчетная таблица'!B23</f>
        <v>Просмотр квитанций</v>
      </c>
      <c r="C11" s="25" t="str">
        <f>'Расчетная таблица'!C23</f>
        <v>goto_Itinerary</v>
      </c>
      <c r="D11" s="26">
        <f>'Расчетная таблица'!D23*4</f>
        <v>636</v>
      </c>
      <c r="E11" s="80">
        <f>'Расчетная таблица'!E23</f>
        <v>5.6583629893238431E-2</v>
      </c>
      <c r="F11" s="34">
        <f ca="1">'Расчетная таблица'!F23*4</f>
        <v>632</v>
      </c>
      <c r="G11" s="33">
        <f ca="1">'Расчетная таблица'!G23</f>
        <v>-6.3291139240506666E-3</v>
      </c>
      <c r="H11" s="81">
        <f>VLOOKUP(C11,$B$28:K$44,8,0)</f>
        <v>287</v>
      </c>
      <c r="I11" s="82">
        <f t="shared" si="0"/>
        <v>-1.2160278745644599</v>
      </c>
    </row>
    <row r="12" spans="1:9" x14ac:dyDescent="0.25">
      <c r="A12" s="7">
        <v>8</v>
      </c>
      <c r="B12" s="83" t="str">
        <f>'Расчетная таблица'!B24</f>
        <v>Отмена бронирования билета</v>
      </c>
      <c r="C12" s="25" t="str">
        <f>'Расчетная таблица'!C24</f>
        <v>Delete_first</v>
      </c>
      <c r="D12" s="26">
        <f>'Расчетная таблица'!D24*4</f>
        <v>292</v>
      </c>
      <c r="E12" s="80">
        <f>'Расчетная таблица'!E24</f>
        <v>2.5978647686832741E-2</v>
      </c>
      <c r="F12" s="34">
        <f ca="1">'Расчетная таблица'!F24*4</f>
        <v>284</v>
      </c>
      <c r="G12" s="33">
        <f ca="1">'Расчетная таблица'!G24</f>
        <v>-2.8169014084507005E-2</v>
      </c>
      <c r="H12" s="81">
        <f>VLOOKUP(C12,$B$28:K$44,8,0)</f>
        <v>101</v>
      </c>
      <c r="I12" s="82">
        <f t="shared" si="0"/>
        <v>-1.891089108910891</v>
      </c>
    </row>
    <row r="13" spans="1:9" x14ac:dyDescent="0.25">
      <c r="A13" s="7">
        <v>9</v>
      </c>
      <c r="B13" s="25" t="str">
        <f>'Расчетная таблица'!B25</f>
        <v>Операция перехода на странцу "Home"</v>
      </c>
      <c r="C13" s="25" t="str">
        <f>'Расчетная таблица'!C25</f>
        <v>goto_home</v>
      </c>
      <c r="D13" s="26">
        <f>'Расчетная таблица'!D25*4</f>
        <v>1296</v>
      </c>
      <c r="E13" s="80">
        <f>'Расчетная таблица'!E25</f>
        <v>0.11530249110320284</v>
      </c>
      <c r="F13" s="34">
        <f ca="1">'Расчетная таблица'!F25*4</f>
        <v>1296</v>
      </c>
      <c r="G13" s="33">
        <f ca="1">'Расчетная таблица'!G25</f>
        <v>0</v>
      </c>
      <c r="H13" s="81">
        <f>VLOOKUP(C13,$B$28:K$44,8,0)</f>
        <v>486</v>
      </c>
      <c r="I13" s="82">
        <f t="shared" si="0"/>
        <v>-1.6666666666666665</v>
      </c>
    </row>
    <row r="14" spans="1:9" x14ac:dyDescent="0.25">
      <c r="A14" s="7">
        <v>10</v>
      </c>
      <c r="B14" s="83" t="str">
        <f>'Расчетная таблица'!B26</f>
        <v>Выход из системы</v>
      </c>
      <c r="C14" s="25" t="str">
        <f>'Расчетная таблица'!C26</f>
        <v>Logout</v>
      </c>
      <c r="D14" s="26">
        <f>'Расчетная таблица'!D26*4</f>
        <v>1304</v>
      </c>
      <c r="E14" s="80">
        <f>'Расчетная таблица'!E26</f>
        <v>0.11601423487544484</v>
      </c>
      <c r="F14" s="34">
        <f ca="1">'Расчетная таблица'!F26*4</f>
        <v>1308</v>
      </c>
      <c r="G14" s="33">
        <f ca="1">'Расчетная таблица'!G26</f>
        <v>3.0581039755351869E-3</v>
      </c>
      <c r="H14" s="81">
        <f>VLOOKUP(C14,$B$28:K$44,8,0)</f>
        <v>507</v>
      </c>
      <c r="I14" s="82">
        <f t="shared" si="0"/>
        <v>-1.5719921104536487</v>
      </c>
    </row>
    <row r="15" spans="1:9" ht="15" customHeight="1" x14ac:dyDescent="0.25">
      <c r="A15" s="117" t="s">
        <v>64</v>
      </c>
      <c r="B15" s="118"/>
      <c r="C15" s="119"/>
      <c r="D15" s="70">
        <f>'Расчетная таблица'!D27</f>
        <v>2810</v>
      </c>
      <c r="E15" s="75">
        <f>'Расчетная таблица'!E27</f>
        <v>1</v>
      </c>
      <c r="F15" s="78">
        <f ca="1">SUM(F5:F14)</f>
        <v>11352</v>
      </c>
      <c r="G15" s="79">
        <f ca="1">'Расчетная таблица'!G27</f>
        <v>6.7280818879341901E-3</v>
      </c>
      <c r="H15" s="73">
        <f>SUM(H5:H14)</f>
        <v>4329</v>
      </c>
      <c r="I15" s="100">
        <f>AVERAGE(I5:I14)</f>
        <v>-1.61948883159173</v>
      </c>
    </row>
    <row r="17" spans="1:20" ht="27.75" customHeight="1" x14ac:dyDescent="0.25">
      <c r="A17" s="129" t="s">
        <v>1</v>
      </c>
      <c r="B17" s="129" t="s">
        <v>49</v>
      </c>
      <c r="C17" s="129" t="s">
        <v>50</v>
      </c>
      <c r="D17" s="129" t="s">
        <v>19</v>
      </c>
      <c r="E17" s="129"/>
      <c r="F17" s="129" t="s">
        <v>17</v>
      </c>
      <c r="H17" s="132" t="s">
        <v>187</v>
      </c>
      <c r="I17" s="132"/>
      <c r="J17" s="110" t="s">
        <v>184</v>
      </c>
      <c r="K17" s="110" t="s">
        <v>185</v>
      </c>
    </row>
    <row r="18" spans="1:20" ht="30" customHeight="1" x14ac:dyDescent="0.25">
      <c r="A18" s="129"/>
      <c r="B18" s="129"/>
      <c r="C18" s="129"/>
      <c r="D18" s="105" t="s">
        <v>16</v>
      </c>
      <c r="E18" s="105" t="s">
        <v>58</v>
      </c>
      <c r="F18" s="129"/>
      <c r="H18" s="133" t="s">
        <v>181</v>
      </c>
      <c r="I18" s="133"/>
      <c r="J18" s="7">
        <f>E25*3</f>
        <v>2004</v>
      </c>
      <c r="K18" s="7">
        <f>H15*3</f>
        <v>12987</v>
      </c>
    </row>
    <row r="19" spans="1:20" ht="30.75" customHeight="1" x14ac:dyDescent="0.25">
      <c r="A19" s="7">
        <v>1</v>
      </c>
      <c r="B19" s="20" t="str">
        <f>'Расчетная таблица'!B5</f>
        <v xml:space="preserve">Поиск авиабилета без покупки, просмотр истории </v>
      </c>
      <c r="C19" s="20" t="str">
        <f>'Расчетная таблица'!C5</f>
        <v>01_Search_Itinerary</v>
      </c>
      <c r="D19" s="39">
        <f>'Расчетная таблица'!J5*4</f>
        <v>292</v>
      </c>
      <c r="E19" s="46">
        <f>VLOOKUP(C19,$B$28:K$44,8,0)</f>
        <v>141</v>
      </c>
      <c r="F19" s="38">
        <f t="shared" ref="F19:F24" si="1">1-D19/E19</f>
        <v>-1.0709219858156027</v>
      </c>
      <c r="H19" s="137" t="s">
        <v>182</v>
      </c>
      <c r="I19" s="137"/>
      <c r="J19" s="7">
        <f>MIN(E29:E34)</f>
        <v>29.373000000000001</v>
      </c>
      <c r="K19" s="7">
        <f>MIN(E35:E44)</f>
        <v>0.23300000000000001</v>
      </c>
    </row>
    <row r="20" spans="1:20" ht="30.75" customHeight="1" x14ac:dyDescent="0.25">
      <c r="A20" s="7">
        <v>2</v>
      </c>
      <c r="B20" s="20" t="str">
        <f>'Расчетная таблица'!B6</f>
        <v>Поиск и покупка авиабилета</v>
      </c>
      <c r="C20" s="20" t="str">
        <f>'Расчетная таблица'!C6</f>
        <v>02_Search_BuyTicket</v>
      </c>
      <c r="D20" s="39">
        <f>'Расчетная таблица'!J6*4</f>
        <v>720</v>
      </c>
      <c r="E20" s="46">
        <f>VLOOKUP(C20,$B$28:K$44,8,0)</f>
        <v>242</v>
      </c>
      <c r="F20" s="38">
        <f t="shared" si="1"/>
        <v>-1.9752066115702478</v>
      </c>
      <c r="H20" s="133" t="s">
        <v>183</v>
      </c>
      <c r="I20" s="133"/>
      <c r="J20" s="7">
        <f>MAX(E29:E34)</f>
        <v>44.987000000000002</v>
      </c>
      <c r="K20" s="7">
        <f>MAX(E35:E44)</f>
        <v>11.391</v>
      </c>
    </row>
    <row r="21" spans="1:20" ht="30.75" customHeight="1" x14ac:dyDescent="0.25">
      <c r="A21" s="7">
        <v>3</v>
      </c>
      <c r="B21" s="20" t="str">
        <f>'Расчетная таблица'!B7</f>
        <v>Переход на страницу поиска, просмотр истории продаж авиабилетов, удаление авиабилета</v>
      </c>
      <c r="C21" s="20" t="str">
        <f>'Расчетная таблица'!C7</f>
        <v>03_SearcH_Itinerary_Delete</v>
      </c>
      <c r="D21" s="39">
        <f>'Расчетная таблица'!J7*4</f>
        <v>284</v>
      </c>
      <c r="E21" s="46">
        <f>VLOOKUP(C21,$B$28:K$44,8,0)</f>
        <v>101</v>
      </c>
      <c r="F21" s="38">
        <f t="shared" si="1"/>
        <v>-1.8118811881188117</v>
      </c>
      <c r="H21" s="133" t="s">
        <v>188</v>
      </c>
      <c r="I21" s="133"/>
      <c r="J21" s="7">
        <f>MAX(F29:F34)</f>
        <v>58.457999999999998</v>
      </c>
      <c r="K21" s="7">
        <f>MAX(F35:F44)</f>
        <v>15.521000000000001</v>
      </c>
    </row>
    <row r="22" spans="1:20" ht="30.75" customHeight="1" x14ac:dyDescent="0.25">
      <c r="A22" s="7">
        <v>4</v>
      </c>
      <c r="B22" s="20" t="str">
        <f>'Расчетная таблица'!B8</f>
        <v>Просмотр истории продаж авиабилетов</v>
      </c>
      <c r="C22" s="20" t="str">
        <f>'Расчетная таблица'!C8</f>
        <v>04_Itinerary</v>
      </c>
      <c r="D22" s="39">
        <f>'Расчетная таблица'!J8*4</f>
        <v>56</v>
      </c>
      <c r="E22" s="46">
        <f>VLOOKUP(C22,$B$28:K$44,8,0)</f>
        <v>43</v>
      </c>
      <c r="F22" s="38">
        <f t="shared" si="1"/>
        <v>-0.30232558139534893</v>
      </c>
      <c r="H22" s="131" t="s">
        <v>186</v>
      </c>
      <c r="I22" s="131"/>
      <c r="J22" s="7">
        <f>MAX(H29:H34)</f>
        <v>50.491999999999997</v>
      </c>
      <c r="K22" s="7">
        <f>MAX(H35:H44)</f>
        <v>13.526999999999999</v>
      </c>
    </row>
    <row r="23" spans="1:20" ht="30.75" customHeight="1" x14ac:dyDescent="0.25">
      <c r="A23" s="7">
        <v>5</v>
      </c>
      <c r="B23" s="20" t="str">
        <f>'Расчетная таблица'!B9</f>
        <v>Поиск авиабилета</v>
      </c>
      <c r="C23" s="20" t="str">
        <f>'Расчетная таблица'!C9</f>
        <v>05_Search</v>
      </c>
      <c r="D23" s="39">
        <f>'Расчетная таблица'!J9*4</f>
        <v>152</v>
      </c>
      <c r="E23" s="46">
        <f>VLOOKUP(C23,$B$28:K$44,8,0)</f>
        <v>59</v>
      </c>
      <c r="F23" s="38">
        <f t="shared" si="1"/>
        <v>-1.5762711864406778</v>
      </c>
    </row>
    <row r="24" spans="1:20" ht="30.75" customHeight="1" x14ac:dyDescent="0.25">
      <c r="A24" s="7">
        <v>6</v>
      </c>
      <c r="B24" s="20" t="str">
        <f>'Расчетная таблица'!B10</f>
        <v>Вход выход</v>
      </c>
      <c r="C24" s="20" t="str">
        <f>'Расчетная таблица'!C10</f>
        <v>06_login_logout</v>
      </c>
      <c r="D24" s="39">
        <f>'Расчетная таблица'!J10*4</f>
        <v>240</v>
      </c>
      <c r="E24" s="46">
        <f>VLOOKUP(C24,$B$28:K$44,8,0)</f>
        <v>82</v>
      </c>
      <c r="F24" s="38">
        <f t="shared" si="1"/>
        <v>-1.9268292682926829</v>
      </c>
    </row>
    <row r="25" spans="1:20" x14ac:dyDescent="0.25">
      <c r="A25" s="125" t="s">
        <v>64</v>
      </c>
      <c r="B25" s="125"/>
      <c r="C25" s="125"/>
      <c r="D25" s="73">
        <f>SUM(D19:D24)</f>
        <v>1744</v>
      </c>
      <c r="E25" s="73">
        <f>SUM(E19:E24)</f>
        <v>668</v>
      </c>
      <c r="F25" s="72">
        <f>AVERAGE(F19:F24)</f>
        <v>-1.4439059702722286</v>
      </c>
    </row>
    <row r="27" spans="1:20" ht="15" x14ac:dyDescent="0.25">
      <c r="B27" s="134" t="s">
        <v>178</v>
      </c>
      <c r="C27" s="134"/>
      <c r="D27" s="134"/>
      <c r="E27" s="134"/>
      <c r="F27" s="134"/>
      <c r="G27" s="134"/>
      <c r="H27" s="134"/>
      <c r="I27" s="134"/>
      <c r="J27" s="134"/>
      <c r="K27" s="134"/>
      <c r="L27" s="107"/>
      <c r="M27" s="107"/>
      <c r="N27" s="107"/>
      <c r="O27" s="107"/>
      <c r="P27" s="107"/>
      <c r="Q27" s="107"/>
    </row>
    <row r="28" spans="1:20" ht="15" x14ac:dyDescent="0.25">
      <c r="B28" s="95" t="s">
        <v>73</v>
      </c>
      <c r="C28" s="95" t="s">
        <v>74</v>
      </c>
      <c r="D28" s="95" t="s">
        <v>75</v>
      </c>
      <c r="E28" s="95" t="s">
        <v>76</v>
      </c>
      <c r="F28" s="95" t="s">
        <v>77</v>
      </c>
      <c r="G28" s="95" t="s">
        <v>78</v>
      </c>
      <c r="H28" s="95" t="s">
        <v>79</v>
      </c>
      <c r="I28" s="95" t="s">
        <v>80</v>
      </c>
      <c r="J28" s="95" t="s">
        <v>81</v>
      </c>
      <c r="K28" s="95" t="s">
        <v>82</v>
      </c>
      <c r="P28" s="95"/>
      <c r="Q28" s="95"/>
    </row>
    <row r="29" spans="1:20" ht="15" x14ac:dyDescent="0.25">
      <c r="B29" s="95" t="s">
        <v>37</v>
      </c>
      <c r="C29" s="95" t="s">
        <v>81</v>
      </c>
      <c r="D29" s="95">
        <v>25.113</v>
      </c>
      <c r="E29" s="95">
        <v>34.884</v>
      </c>
      <c r="F29" s="95">
        <v>48.371000000000002</v>
      </c>
      <c r="G29" s="95">
        <v>4.0570000000000004</v>
      </c>
      <c r="H29" s="95">
        <v>39.051000000000002</v>
      </c>
      <c r="I29" s="95">
        <v>141</v>
      </c>
      <c r="J29" s="95">
        <v>0</v>
      </c>
      <c r="K29" s="95">
        <v>0</v>
      </c>
      <c r="M29" s="17">
        <f>1*D29</f>
        <v>25.113</v>
      </c>
      <c r="N29" s="17">
        <f t="shared" ref="N29:T44" si="2">1*E29</f>
        <v>34.884</v>
      </c>
      <c r="O29" s="17">
        <f t="shared" si="2"/>
        <v>48.371000000000002</v>
      </c>
      <c r="P29" s="17">
        <f t="shared" si="2"/>
        <v>4.0570000000000004</v>
      </c>
      <c r="Q29" s="17">
        <f t="shared" si="2"/>
        <v>39.051000000000002</v>
      </c>
      <c r="R29" s="17">
        <f t="shared" si="2"/>
        <v>141</v>
      </c>
      <c r="S29" s="17">
        <f t="shared" si="2"/>
        <v>0</v>
      </c>
      <c r="T29" s="17">
        <f t="shared" si="2"/>
        <v>0</v>
      </c>
    </row>
    <row r="30" spans="1:20" ht="15" x14ac:dyDescent="0.25">
      <c r="B30" s="95" t="s">
        <v>38</v>
      </c>
      <c r="C30" s="95" t="s">
        <v>81</v>
      </c>
      <c r="D30" s="95">
        <v>21.902000000000001</v>
      </c>
      <c r="E30" s="95">
        <v>31.396000000000001</v>
      </c>
      <c r="F30" s="95">
        <v>38.287999999999997</v>
      </c>
      <c r="G30" s="95">
        <v>2.5390000000000001</v>
      </c>
      <c r="H30" s="95">
        <v>34.457000000000001</v>
      </c>
      <c r="I30" s="95">
        <v>242</v>
      </c>
      <c r="J30" s="95">
        <v>0</v>
      </c>
      <c r="K30" s="95">
        <v>0</v>
      </c>
      <c r="M30" s="17">
        <f t="shared" ref="M30:M44" si="3">1*D30</f>
        <v>21.902000000000001</v>
      </c>
      <c r="N30" s="17">
        <f t="shared" si="2"/>
        <v>31.396000000000001</v>
      </c>
      <c r="O30" s="17">
        <f t="shared" si="2"/>
        <v>38.287999999999997</v>
      </c>
      <c r="P30" s="17">
        <f t="shared" si="2"/>
        <v>2.5390000000000001</v>
      </c>
      <c r="Q30" s="17">
        <f t="shared" si="2"/>
        <v>34.457000000000001</v>
      </c>
      <c r="R30" s="17">
        <f t="shared" si="2"/>
        <v>242</v>
      </c>
      <c r="S30" s="17">
        <f t="shared" si="2"/>
        <v>0</v>
      </c>
      <c r="T30" s="17">
        <f t="shared" si="2"/>
        <v>0</v>
      </c>
    </row>
    <row r="31" spans="1:20" ht="15" x14ac:dyDescent="0.25">
      <c r="B31" s="95" t="s">
        <v>84</v>
      </c>
      <c r="C31" s="95" t="s">
        <v>81</v>
      </c>
      <c r="D31" s="95">
        <v>22.236000000000001</v>
      </c>
      <c r="E31" s="95">
        <v>44.987000000000002</v>
      </c>
      <c r="F31" s="95">
        <v>58.457999999999998</v>
      </c>
      <c r="G31" s="95">
        <v>6.5540000000000003</v>
      </c>
      <c r="H31" s="95">
        <v>50.491999999999997</v>
      </c>
      <c r="I31" s="95">
        <v>101</v>
      </c>
      <c r="J31" s="95">
        <v>0</v>
      </c>
      <c r="K31" s="95">
        <v>0</v>
      </c>
      <c r="M31" s="17">
        <f t="shared" si="3"/>
        <v>22.236000000000001</v>
      </c>
      <c r="N31" s="17">
        <f t="shared" si="2"/>
        <v>44.987000000000002</v>
      </c>
      <c r="O31" s="17">
        <f t="shared" si="2"/>
        <v>58.457999999999998</v>
      </c>
      <c r="P31" s="17">
        <f t="shared" si="2"/>
        <v>6.5540000000000003</v>
      </c>
      <c r="Q31" s="17">
        <f t="shared" si="2"/>
        <v>50.491999999999997</v>
      </c>
      <c r="R31" s="17">
        <f t="shared" si="2"/>
        <v>101</v>
      </c>
      <c r="S31" s="17">
        <f t="shared" si="2"/>
        <v>0</v>
      </c>
      <c r="T31" s="17">
        <f t="shared" si="2"/>
        <v>0</v>
      </c>
    </row>
    <row r="32" spans="1:20" ht="15" x14ac:dyDescent="0.25">
      <c r="B32" s="95" t="s">
        <v>85</v>
      </c>
      <c r="C32" s="95" t="s">
        <v>80</v>
      </c>
      <c r="D32" s="95">
        <v>27.605</v>
      </c>
      <c r="E32" s="95">
        <v>40.558999999999997</v>
      </c>
      <c r="F32" s="95">
        <v>44.973999999999997</v>
      </c>
      <c r="G32" s="95">
        <v>3.133</v>
      </c>
      <c r="H32" s="95">
        <v>43.72</v>
      </c>
      <c r="I32" s="95">
        <v>43</v>
      </c>
      <c r="J32" s="95">
        <v>0</v>
      </c>
      <c r="K32" s="95">
        <v>0</v>
      </c>
      <c r="M32" s="17">
        <f t="shared" si="3"/>
        <v>27.605</v>
      </c>
      <c r="N32" s="17">
        <f t="shared" si="2"/>
        <v>40.558999999999997</v>
      </c>
      <c r="O32" s="17">
        <f t="shared" si="2"/>
        <v>44.973999999999997</v>
      </c>
      <c r="P32" s="17">
        <f t="shared" si="2"/>
        <v>3.133</v>
      </c>
      <c r="Q32" s="17">
        <f t="shared" si="2"/>
        <v>43.72</v>
      </c>
      <c r="R32" s="17">
        <f t="shared" si="2"/>
        <v>43</v>
      </c>
      <c r="S32" s="17">
        <f t="shared" si="2"/>
        <v>0</v>
      </c>
      <c r="T32" s="17">
        <f t="shared" si="2"/>
        <v>0</v>
      </c>
    </row>
    <row r="33" spans="2:20" ht="15" x14ac:dyDescent="0.25">
      <c r="B33" s="95" t="s">
        <v>41</v>
      </c>
      <c r="C33" s="95" t="s">
        <v>81</v>
      </c>
      <c r="D33" s="95">
        <v>21.257000000000001</v>
      </c>
      <c r="E33" s="95">
        <v>36.161999999999999</v>
      </c>
      <c r="F33" s="95">
        <v>43.686</v>
      </c>
      <c r="G33" s="95">
        <v>4.2859999999999996</v>
      </c>
      <c r="H33" s="95">
        <v>40.085999999999999</v>
      </c>
      <c r="I33" s="95">
        <v>59</v>
      </c>
      <c r="J33" s="95">
        <v>0</v>
      </c>
      <c r="K33" s="95">
        <v>0</v>
      </c>
      <c r="M33" s="17">
        <f t="shared" si="3"/>
        <v>21.257000000000001</v>
      </c>
      <c r="N33" s="17">
        <f t="shared" si="2"/>
        <v>36.161999999999999</v>
      </c>
      <c r="O33" s="17">
        <f t="shared" si="2"/>
        <v>43.686</v>
      </c>
      <c r="P33" s="17">
        <f t="shared" si="2"/>
        <v>4.2859999999999996</v>
      </c>
      <c r="Q33" s="17">
        <f t="shared" si="2"/>
        <v>40.085999999999999</v>
      </c>
      <c r="R33" s="17">
        <f t="shared" si="2"/>
        <v>59</v>
      </c>
      <c r="S33" s="17">
        <f t="shared" si="2"/>
        <v>0</v>
      </c>
      <c r="T33" s="17">
        <f t="shared" si="2"/>
        <v>0</v>
      </c>
    </row>
    <row r="34" spans="2:20" ht="15" x14ac:dyDescent="0.25">
      <c r="B34" s="95" t="s">
        <v>86</v>
      </c>
      <c r="C34" s="95" t="s">
        <v>81</v>
      </c>
      <c r="D34" s="95">
        <v>18.498999999999999</v>
      </c>
      <c r="E34" s="95">
        <v>29.373000000000001</v>
      </c>
      <c r="F34" s="95">
        <v>34.024999999999999</v>
      </c>
      <c r="G34" s="95">
        <v>2.8319999999999999</v>
      </c>
      <c r="H34" s="95">
        <v>32.246000000000002</v>
      </c>
      <c r="I34" s="95">
        <v>82</v>
      </c>
      <c r="J34" s="95">
        <v>0</v>
      </c>
      <c r="K34" s="95">
        <v>0</v>
      </c>
      <c r="M34" s="17">
        <f t="shared" si="3"/>
        <v>18.498999999999999</v>
      </c>
      <c r="N34" s="17">
        <f t="shared" si="2"/>
        <v>29.373000000000001</v>
      </c>
      <c r="O34" s="17">
        <f t="shared" si="2"/>
        <v>34.024999999999999</v>
      </c>
      <c r="P34" s="17">
        <f t="shared" si="2"/>
        <v>2.8319999999999999</v>
      </c>
      <c r="Q34" s="17">
        <f t="shared" si="2"/>
        <v>32.246000000000002</v>
      </c>
      <c r="R34" s="17">
        <f t="shared" si="2"/>
        <v>82</v>
      </c>
      <c r="S34" s="17">
        <f t="shared" si="2"/>
        <v>0</v>
      </c>
      <c r="T34" s="17">
        <f t="shared" si="2"/>
        <v>0</v>
      </c>
    </row>
    <row r="35" spans="2:20" ht="15" x14ac:dyDescent="0.25">
      <c r="B35" s="95" t="s">
        <v>51</v>
      </c>
      <c r="C35" s="95" t="s">
        <v>80</v>
      </c>
      <c r="D35" s="95">
        <v>0.14299999999999999</v>
      </c>
      <c r="E35" s="95">
        <v>0.24199999999999999</v>
      </c>
      <c r="F35" s="95">
        <v>0.78900000000000003</v>
      </c>
      <c r="G35" s="95">
        <v>7.5999999999999998E-2</v>
      </c>
      <c r="H35" s="95">
        <v>0.32200000000000001</v>
      </c>
      <c r="I35" s="95">
        <v>385</v>
      </c>
      <c r="J35" s="95">
        <v>0</v>
      </c>
      <c r="K35" s="95">
        <v>0</v>
      </c>
      <c r="M35" s="17">
        <f t="shared" si="3"/>
        <v>0.14299999999999999</v>
      </c>
      <c r="N35" s="17">
        <f t="shared" si="2"/>
        <v>0.24199999999999999</v>
      </c>
      <c r="O35" s="17">
        <f t="shared" si="2"/>
        <v>0.78900000000000003</v>
      </c>
      <c r="P35" s="17">
        <f t="shared" si="2"/>
        <v>7.5999999999999998E-2</v>
      </c>
      <c r="Q35" s="17">
        <f t="shared" si="2"/>
        <v>0.32200000000000001</v>
      </c>
      <c r="R35" s="17">
        <f t="shared" si="2"/>
        <v>385</v>
      </c>
      <c r="S35" s="17">
        <f t="shared" si="2"/>
        <v>0</v>
      </c>
      <c r="T35" s="17">
        <f t="shared" si="2"/>
        <v>0</v>
      </c>
    </row>
    <row r="36" spans="2:20" ht="15" x14ac:dyDescent="0.25">
      <c r="B36" s="95" t="s">
        <v>52</v>
      </c>
      <c r="C36" s="95" t="s">
        <v>80</v>
      </c>
      <c r="D36" s="95">
        <v>0.126</v>
      </c>
      <c r="E36" s="95">
        <v>0.52700000000000002</v>
      </c>
      <c r="F36" s="95">
        <v>5.5359999999999996</v>
      </c>
      <c r="G36" s="95">
        <v>0.79700000000000004</v>
      </c>
      <c r="H36" s="95">
        <v>0.58899999999999997</v>
      </c>
      <c r="I36" s="95">
        <v>101</v>
      </c>
      <c r="J36" s="95">
        <v>0</v>
      </c>
      <c r="K36" s="95">
        <v>0</v>
      </c>
      <c r="M36" s="17">
        <f t="shared" si="3"/>
        <v>0.126</v>
      </c>
      <c r="N36" s="17">
        <f t="shared" si="2"/>
        <v>0.52700000000000002</v>
      </c>
      <c r="O36" s="17">
        <f t="shared" si="2"/>
        <v>5.5359999999999996</v>
      </c>
      <c r="P36" s="17">
        <f t="shared" si="2"/>
        <v>0.79700000000000004</v>
      </c>
      <c r="Q36" s="17">
        <f t="shared" si="2"/>
        <v>0.58899999999999997</v>
      </c>
      <c r="R36" s="17">
        <f t="shared" si="2"/>
        <v>101</v>
      </c>
      <c r="S36" s="17">
        <f t="shared" si="2"/>
        <v>0</v>
      </c>
      <c r="T36" s="17">
        <f t="shared" si="2"/>
        <v>0</v>
      </c>
    </row>
    <row r="37" spans="2:20" ht="15" x14ac:dyDescent="0.25">
      <c r="B37" s="95" t="s">
        <v>45</v>
      </c>
      <c r="C37" s="95" t="s">
        <v>80</v>
      </c>
      <c r="D37" s="95">
        <v>0.109</v>
      </c>
      <c r="E37" s="95">
        <v>0.57499999999999996</v>
      </c>
      <c r="F37" s="95">
        <v>5.9240000000000004</v>
      </c>
      <c r="G37" s="95">
        <v>1.1459999999999999</v>
      </c>
      <c r="H37" s="95">
        <v>2.3730000000000002</v>
      </c>
      <c r="I37" s="95">
        <v>443</v>
      </c>
      <c r="J37" s="95">
        <v>0</v>
      </c>
      <c r="K37" s="95">
        <v>0</v>
      </c>
      <c r="M37" s="17">
        <f t="shared" si="3"/>
        <v>0.109</v>
      </c>
      <c r="N37" s="17">
        <f t="shared" si="2"/>
        <v>0.57499999999999996</v>
      </c>
      <c r="O37" s="17">
        <f t="shared" si="2"/>
        <v>5.9240000000000004</v>
      </c>
      <c r="P37" s="17">
        <f t="shared" si="2"/>
        <v>1.1459999999999999</v>
      </c>
      <c r="Q37" s="17">
        <f t="shared" si="2"/>
        <v>2.3730000000000002</v>
      </c>
      <c r="R37" s="17">
        <f t="shared" si="2"/>
        <v>443</v>
      </c>
      <c r="S37" s="17">
        <f t="shared" si="2"/>
        <v>0</v>
      </c>
      <c r="T37" s="17">
        <f t="shared" si="2"/>
        <v>0</v>
      </c>
    </row>
    <row r="38" spans="2:20" ht="15" x14ac:dyDescent="0.25">
      <c r="B38" s="95" t="s">
        <v>53</v>
      </c>
      <c r="C38" s="95" t="s">
        <v>80</v>
      </c>
      <c r="D38" s="95">
        <v>0.14000000000000001</v>
      </c>
      <c r="E38" s="95">
        <v>0.23300000000000001</v>
      </c>
      <c r="F38" s="95">
        <v>0.54700000000000004</v>
      </c>
      <c r="G38" s="95">
        <v>7.0000000000000007E-2</v>
      </c>
      <c r="H38" s="95">
        <v>0.32</v>
      </c>
      <c r="I38" s="95">
        <v>243</v>
      </c>
      <c r="J38" s="95">
        <v>0</v>
      </c>
      <c r="K38" s="95">
        <v>0</v>
      </c>
      <c r="M38" s="17">
        <f t="shared" si="3"/>
        <v>0.14000000000000001</v>
      </c>
      <c r="N38" s="17">
        <f t="shared" si="2"/>
        <v>0.23300000000000001</v>
      </c>
      <c r="O38" s="17">
        <f t="shared" si="2"/>
        <v>0.54700000000000004</v>
      </c>
      <c r="P38" s="17">
        <f t="shared" si="2"/>
        <v>7.0000000000000007E-2</v>
      </c>
      <c r="Q38" s="17">
        <f t="shared" si="2"/>
        <v>0.32</v>
      </c>
      <c r="R38" s="17">
        <f t="shared" si="2"/>
        <v>243</v>
      </c>
      <c r="S38" s="17">
        <f t="shared" si="2"/>
        <v>0</v>
      </c>
      <c r="T38" s="17">
        <f t="shared" si="2"/>
        <v>0</v>
      </c>
    </row>
    <row r="39" spans="2:20" ht="15" x14ac:dyDescent="0.25">
      <c r="B39" s="95" t="s">
        <v>46</v>
      </c>
      <c r="C39" s="95" t="s">
        <v>81</v>
      </c>
      <c r="D39" s="95">
        <v>0.26500000000000001</v>
      </c>
      <c r="E39" s="95">
        <v>5.931</v>
      </c>
      <c r="F39" s="95">
        <v>15.492000000000001</v>
      </c>
      <c r="G39" s="95">
        <v>5.4349999999999996</v>
      </c>
      <c r="H39" s="95">
        <v>12.835000000000001</v>
      </c>
      <c r="I39" s="95">
        <v>541</v>
      </c>
      <c r="J39" s="95">
        <v>0</v>
      </c>
      <c r="K39" s="95">
        <v>0</v>
      </c>
      <c r="M39" s="17">
        <f t="shared" si="3"/>
        <v>0.26500000000000001</v>
      </c>
      <c r="N39" s="17">
        <f t="shared" si="2"/>
        <v>5.931</v>
      </c>
      <c r="O39" s="17">
        <f t="shared" si="2"/>
        <v>15.492000000000001</v>
      </c>
      <c r="P39" s="17">
        <f t="shared" si="2"/>
        <v>5.4349999999999996</v>
      </c>
      <c r="Q39" s="17">
        <f t="shared" si="2"/>
        <v>12.835000000000001</v>
      </c>
      <c r="R39" s="17">
        <f t="shared" si="2"/>
        <v>541</v>
      </c>
      <c r="S39" s="17">
        <f t="shared" si="2"/>
        <v>0</v>
      </c>
      <c r="T39" s="17">
        <f t="shared" si="2"/>
        <v>0</v>
      </c>
    </row>
    <row r="40" spans="2:20" ht="15" x14ac:dyDescent="0.25">
      <c r="B40" s="95" t="s">
        <v>43</v>
      </c>
      <c r="C40" s="95" t="s">
        <v>81</v>
      </c>
      <c r="D40" s="95">
        <v>0.16400000000000001</v>
      </c>
      <c r="E40" s="95">
        <v>4.9749999999999996</v>
      </c>
      <c r="F40" s="95">
        <v>11.492000000000001</v>
      </c>
      <c r="G40" s="95">
        <v>3.4769999999999999</v>
      </c>
      <c r="H40" s="95">
        <v>9.0939999999999994</v>
      </c>
      <c r="I40" s="95">
        <v>486</v>
      </c>
      <c r="J40" s="95">
        <v>0</v>
      </c>
      <c r="K40" s="95">
        <v>0</v>
      </c>
      <c r="M40" s="17">
        <f t="shared" si="3"/>
        <v>0.16400000000000001</v>
      </c>
      <c r="N40" s="17">
        <f t="shared" si="2"/>
        <v>4.9749999999999996</v>
      </c>
      <c r="O40" s="17">
        <f t="shared" si="2"/>
        <v>11.492000000000001</v>
      </c>
      <c r="P40" s="17">
        <f t="shared" si="2"/>
        <v>3.4769999999999999</v>
      </c>
      <c r="Q40" s="17">
        <f t="shared" si="2"/>
        <v>9.0939999999999994</v>
      </c>
      <c r="R40" s="17">
        <f t="shared" si="2"/>
        <v>486</v>
      </c>
      <c r="S40" s="17">
        <f t="shared" si="2"/>
        <v>0</v>
      </c>
      <c r="T40" s="17">
        <f t="shared" si="2"/>
        <v>0</v>
      </c>
    </row>
    <row r="41" spans="2:20" ht="15" x14ac:dyDescent="0.25">
      <c r="B41" s="95" t="s">
        <v>44</v>
      </c>
      <c r="C41" s="95" t="s">
        <v>81</v>
      </c>
      <c r="D41" s="95">
        <v>0.32200000000000001</v>
      </c>
      <c r="E41" s="95">
        <v>4.6920000000000002</v>
      </c>
      <c r="F41" s="95">
        <v>15.297000000000001</v>
      </c>
      <c r="G41" s="95">
        <v>4.5869999999999997</v>
      </c>
      <c r="H41" s="95">
        <v>11.465999999999999</v>
      </c>
      <c r="I41" s="95">
        <v>287</v>
      </c>
      <c r="J41" s="95">
        <v>0</v>
      </c>
      <c r="K41" s="95">
        <v>0</v>
      </c>
      <c r="M41" s="17">
        <f t="shared" si="3"/>
        <v>0.32200000000000001</v>
      </c>
      <c r="N41" s="17">
        <f t="shared" si="2"/>
        <v>4.6920000000000002</v>
      </c>
      <c r="O41" s="17">
        <f t="shared" si="2"/>
        <v>15.297000000000001</v>
      </c>
      <c r="P41" s="17">
        <f t="shared" si="2"/>
        <v>4.5869999999999997</v>
      </c>
      <c r="Q41" s="17">
        <f t="shared" si="2"/>
        <v>11.465999999999999</v>
      </c>
      <c r="R41" s="17">
        <f t="shared" si="2"/>
        <v>287</v>
      </c>
      <c r="S41" s="17">
        <f t="shared" si="2"/>
        <v>0</v>
      </c>
      <c r="T41" s="17">
        <f t="shared" si="2"/>
        <v>0</v>
      </c>
    </row>
    <row r="42" spans="2:20" ht="15" x14ac:dyDescent="0.25">
      <c r="B42" s="95" t="s">
        <v>48</v>
      </c>
      <c r="C42" s="95" t="s">
        <v>81</v>
      </c>
      <c r="D42" s="95">
        <v>5.4969999999999999</v>
      </c>
      <c r="E42" s="95">
        <v>10.8</v>
      </c>
      <c r="F42" s="95">
        <v>15.521000000000001</v>
      </c>
      <c r="G42" s="95">
        <v>1.6950000000000001</v>
      </c>
      <c r="H42" s="95">
        <v>13.034000000000001</v>
      </c>
      <c r="I42" s="95">
        <v>667</v>
      </c>
      <c r="J42" s="95">
        <v>0</v>
      </c>
      <c r="K42" s="95">
        <v>0</v>
      </c>
      <c r="M42" s="17">
        <f t="shared" si="3"/>
        <v>5.4969999999999999</v>
      </c>
      <c r="N42" s="17">
        <f t="shared" si="2"/>
        <v>10.8</v>
      </c>
      <c r="O42" s="17">
        <f t="shared" si="2"/>
        <v>15.521000000000001</v>
      </c>
      <c r="P42" s="17">
        <f t="shared" si="2"/>
        <v>1.6950000000000001</v>
      </c>
      <c r="Q42" s="17">
        <f t="shared" si="2"/>
        <v>13.034000000000001</v>
      </c>
      <c r="R42" s="17">
        <f t="shared" si="2"/>
        <v>667</v>
      </c>
      <c r="S42" s="17">
        <f t="shared" si="2"/>
        <v>0</v>
      </c>
      <c r="T42" s="17">
        <f t="shared" si="2"/>
        <v>0</v>
      </c>
    </row>
    <row r="43" spans="2:20" ht="15" x14ac:dyDescent="0.25">
      <c r="B43" s="95" t="s">
        <v>47</v>
      </c>
      <c r="C43" s="95" t="s">
        <v>81</v>
      </c>
      <c r="D43" s="95">
        <v>2.0259999999999998</v>
      </c>
      <c r="E43" s="95">
        <v>11.391</v>
      </c>
      <c r="F43" s="95">
        <v>15.468999999999999</v>
      </c>
      <c r="G43" s="95">
        <v>1.8260000000000001</v>
      </c>
      <c r="H43" s="95">
        <v>13.526999999999999</v>
      </c>
      <c r="I43" s="95">
        <v>669</v>
      </c>
      <c r="J43" s="95">
        <v>0</v>
      </c>
      <c r="K43" s="95">
        <v>0</v>
      </c>
      <c r="M43" s="17">
        <f t="shared" si="3"/>
        <v>2.0259999999999998</v>
      </c>
      <c r="N43" s="17">
        <f t="shared" si="2"/>
        <v>11.391</v>
      </c>
      <c r="O43" s="17">
        <f t="shared" si="2"/>
        <v>15.468999999999999</v>
      </c>
      <c r="P43" s="17">
        <f t="shared" si="2"/>
        <v>1.8260000000000001</v>
      </c>
      <c r="Q43" s="17">
        <f t="shared" si="2"/>
        <v>13.526999999999999</v>
      </c>
      <c r="R43" s="17">
        <f t="shared" si="2"/>
        <v>669</v>
      </c>
      <c r="S43" s="17">
        <f t="shared" si="2"/>
        <v>0</v>
      </c>
      <c r="T43" s="17">
        <f t="shared" si="2"/>
        <v>0</v>
      </c>
    </row>
    <row r="44" spans="2:20" ht="15" x14ac:dyDescent="0.25">
      <c r="B44" s="95" t="s">
        <v>42</v>
      </c>
      <c r="C44" s="95" t="s">
        <v>81</v>
      </c>
      <c r="D44" s="95">
        <v>0.156</v>
      </c>
      <c r="E44" s="95">
        <v>2.0339999999999998</v>
      </c>
      <c r="F44" s="95">
        <v>10.888</v>
      </c>
      <c r="G44" s="95">
        <v>3.1520000000000001</v>
      </c>
      <c r="H44" s="95">
        <v>8.0459999999999994</v>
      </c>
      <c r="I44" s="95">
        <v>507</v>
      </c>
      <c r="J44" s="95">
        <v>0</v>
      </c>
      <c r="K44" s="95">
        <v>0</v>
      </c>
      <c r="M44" s="17">
        <f t="shared" si="3"/>
        <v>0.156</v>
      </c>
      <c r="N44" s="17">
        <f t="shared" si="2"/>
        <v>2.0339999999999998</v>
      </c>
      <c r="O44" s="17">
        <f t="shared" si="2"/>
        <v>10.888</v>
      </c>
      <c r="P44" s="17">
        <f t="shared" si="2"/>
        <v>3.1520000000000001</v>
      </c>
      <c r="Q44" s="17">
        <f t="shared" si="2"/>
        <v>8.0459999999999994</v>
      </c>
      <c r="R44" s="17">
        <f t="shared" si="2"/>
        <v>507</v>
      </c>
      <c r="S44" s="17">
        <f t="shared" si="2"/>
        <v>0</v>
      </c>
      <c r="T44" s="17">
        <f t="shared" si="2"/>
        <v>0</v>
      </c>
    </row>
    <row r="45" spans="2:20" ht="15" x14ac:dyDescent="0.25">
      <c r="B45" s="95"/>
      <c r="C45" s="95"/>
      <c r="D45" s="104"/>
      <c r="E45" s="104"/>
      <c r="F45" s="104"/>
      <c r="G45" s="104"/>
      <c r="H45" s="104"/>
      <c r="I45" s="95"/>
      <c r="J45" s="95"/>
      <c r="K45" s="95"/>
      <c r="P45" s="95"/>
      <c r="Q45" s="95"/>
    </row>
  </sheetData>
  <mergeCells count="21">
    <mergeCell ref="B27:K27"/>
    <mergeCell ref="A25:C25"/>
    <mergeCell ref="A15:C15"/>
    <mergeCell ref="A17:A18"/>
    <mergeCell ref="B17:B18"/>
    <mergeCell ref="C17:C18"/>
    <mergeCell ref="D17:E17"/>
    <mergeCell ref="F17:F18"/>
    <mergeCell ref="H17:I17"/>
    <mergeCell ref="H18:I18"/>
    <mergeCell ref="H19:I19"/>
    <mergeCell ref="H20:I20"/>
    <mergeCell ref="H21:I21"/>
    <mergeCell ref="H22:I22"/>
    <mergeCell ref="A1:I1"/>
    <mergeCell ref="A3:A4"/>
    <mergeCell ref="B3:B4"/>
    <mergeCell ref="C3:C4"/>
    <mergeCell ref="D3:E3"/>
    <mergeCell ref="F3:G3"/>
    <mergeCell ref="H3:I3"/>
  </mergeCells>
  <pageMargins left="0.7" right="0.7" top="0.75" bottom="0.75" header="0.3" footer="0.3"/>
  <pageSetup paperSize="9" scale="8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opLeftCell="A23" zoomScale="85" zoomScaleNormal="85" workbookViewId="0">
      <selection activeCell="E19" sqref="E19:F24"/>
    </sheetView>
  </sheetViews>
  <sheetFormatPr defaultRowHeight="12.75" x14ac:dyDescent="0.25"/>
  <cols>
    <col min="1" max="1" width="7.140625" style="17" customWidth="1"/>
    <col min="2" max="2" width="36.28515625" style="17" customWidth="1"/>
    <col min="3" max="3" width="22.85546875" style="17" bestFit="1" customWidth="1"/>
    <col min="4" max="4" width="16" style="17" customWidth="1"/>
    <col min="5" max="5" width="11.7109375" style="17" customWidth="1"/>
    <col min="6" max="6" width="16" style="17" customWidth="1"/>
    <col min="7" max="7" width="11.7109375" style="17" customWidth="1"/>
    <col min="8" max="8" width="16" style="17" customWidth="1"/>
    <col min="9" max="9" width="11.7109375" style="17" customWidth="1"/>
    <col min="10" max="16384" width="9.140625" style="17"/>
  </cols>
  <sheetData>
    <row r="1" spans="1:9" ht="18.75" x14ac:dyDescent="0.25">
      <c r="A1" s="120" t="s">
        <v>170</v>
      </c>
      <c r="B1" s="120"/>
      <c r="C1" s="120"/>
      <c r="D1" s="120"/>
      <c r="E1" s="120"/>
      <c r="F1" s="120"/>
      <c r="G1" s="120"/>
      <c r="H1" s="120"/>
      <c r="I1" s="120"/>
    </row>
    <row r="3" spans="1:9" ht="24.75" customHeight="1" x14ac:dyDescent="0.25">
      <c r="A3" s="129" t="s">
        <v>1</v>
      </c>
      <c r="B3" s="129" t="s">
        <v>18</v>
      </c>
      <c r="C3" s="129" t="s">
        <v>54</v>
      </c>
      <c r="D3" s="127" t="s">
        <v>32</v>
      </c>
      <c r="E3" s="127"/>
      <c r="F3" s="135" t="s">
        <v>31</v>
      </c>
      <c r="G3" s="136"/>
      <c r="H3" s="126" t="s">
        <v>57</v>
      </c>
      <c r="I3" s="126"/>
    </row>
    <row r="4" spans="1:9" s="21" customFormat="1" ht="36" customHeight="1" x14ac:dyDescent="0.25">
      <c r="A4" s="129"/>
      <c r="B4" s="129"/>
      <c r="C4" s="129"/>
      <c r="D4" s="31" t="s">
        <v>19</v>
      </c>
      <c r="E4" s="31" t="s">
        <v>34</v>
      </c>
      <c r="F4" s="30" t="s">
        <v>19</v>
      </c>
      <c r="G4" s="30" t="s">
        <v>33</v>
      </c>
      <c r="H4" s="106" t="s">
        <v>19</v>
      </c>
      <c r="I4" s="106" t="s">
        <v>33</v>
      </c>
    </row>
    <row r="5" spans="1:9" x14ac:dyDescent="0.25">
      <c r="A5" s="7">
        <v>1</v>
      </c>
      <c r="B5" s="25" t="str">
        <f>'Расчетная таблица'!B17</f>
        <v>Загрузка страницы</v>
      </c>
      <c r="C5" s="25" t="str">
        <f>'Расчетная таблица'!C17</f>
        <v>Load_start_Page</v>
      </c>
      <c r="D5" s="108">
        <f>'Расчетная таблица'!D17*2*0.5*3</f>
        <v>1308</v>
      </c>
      <c r="E5" s="80">
        <f>'Расчетная таблица'!E17</f>
        <v>0.15516014234875444</v>
      </c>
      <c r="F5" s="34">
        <f ca="1">'Расчетная таблица'!F17*2*0.5*3</f>
        <v>1308</v>
      </c>
      <c r="G5" s="33">
        <f ca="1">'Расчетная таблица'!G17</f>
        <v>0</v>
      </c>
      <c r="H5" s="81">
        <f>VLOOKUP(C5,$B$90:K$106,8,0)</f>
        <v>1305</v>
      </c>
      <c r="I5" s="82">
        <f t="shared" ref="I5:I14" si="0">1-D5/H5</f>
        <v>-2.2988505747125743E-3</v>
      </c>
    </row>
    <row r="6" spans="1:9" x14ac:dyDescent="0.25">
      <c r="A6" s="7">
        <v>2</v>
      </c>
      <c r="B6" s="83" t="str">
        <f>'Расчетная таблица'!B18</f>
        <v>Вход в систему</v>
      </c>
      <c r="C6" s="25" t="str">
        <f>'Расчетная таблица'!C18</f>
        <v>login_user</v>
      </c>
      <c r="D6" s="108">
        <f>'Расчетная таблица'!D18*2*0.5*3</f>
        <v>1266</v>
      </c>
      <c r="E6" s="80">
        <f>'Расчетная таблица'!E18</f>
        <v>0.1501779359430605</v>
      </c>
      <c r="F6" s="34">
        <f ca="1">'Расчетная таблица'!F18*2*0.5*3</f>
        <v>1308</v>
      </c>
      <c r="G6" s="33">
        <f ca="1">'Расчетная таблица'!G18</f>
        <v>3.2110091743119296E-2</v>
      </c>
      <c r="H6" s="81">
        <f>VLOOKUP(C6,$B$90:K$106,8,0)</f>
        <v>1305</v>
      </c>
      <c r="I6" s="82">
        <f t="shared" si="0"/>
        <v>2.9885057471264354E-2</v>
      </c>
    </row>
    <row r="7" spans="1:9" x14ac:dyDescent="0.25">
      <c r="A7" s="7">
        <v>3</v>
      </c>
      <c r="B7" s="25" t="str">
        <f>'Расчетная таблица'!B19</f>
        <v>Переход к поиску полета</v>
      </c>
      <c r="C7" s="25" t="str">
        <f>'Расчетная таблица'!C19</f>
        <v>goto_Flight</v>
      </c>
      <c r="D7" s="108">
        <f>'Расчетная таблица'!D19*2*0.5*3</f>
        <v>1086</v>
      </c>
      <c r="E7" s="80">
        <f>'Расчетная таблица'!E19</f>
        <v>0.1288256227758007</v>
      </c>
      <c r="F7" s="34">
        <f ca="1">'Расчетная таблица'!F19*2*0.5*3</f>
        <v>1086</v>
      </c>
      <c r="G7" s="33">
        <f ca="1">'Расчетная таблица'!G19</f>
        <v>0</v>
      </c>
      <c r="H7" s="81">
        <f>VLOOKUP(C7,$B$90:K$106,8,0)</f>
        <v>1082</v>
      </c>
      <c r="I7" s="82">
        <f t="shared" si="0"/>
        <v>-3.6968576709797141E-3</v>
      </c>
    </row>
    <row r="8" spans="1:9" x14ac:dyDescent="0.25">
      <c r="A8" s="7">
        <v>4</v>
      </c>
      <c r="B8" s="83" t="str">
        <f>'Расчетная таблица'!B20</f>
        <v>Заполнение полей для поиска билета</v>
      </c>
      <c r="C8" s="25" t="str">
        <f>'Расчетная таблица'!C20</f>
        <v>Entry_Data_Flight</v>
      </c>
      <c r="D8" s="108">
        <f>'Расчетная таблица'!D20*2*0.5*3</f>
        <v>846</v>
      </c>
      <c r="E8" s="80">
        <f>'Расчетная таблица'!E20</f>
        <v>0.100355871886121</v>
      </c>
      <c r="F8" s="34">
        <f ca="1">'Расчетная таблица'!F20*2*0.5*3</f>
        <v>873</v>
      </c>
      <c r="G8" s="33">
        <f ca="1">'Расчетная таблица'!G20</f>
        <v>3.0927835051546393E-2</v>
      </c>
      <c r="H8" s="81">
        <f>VLOOKUP(C8,$B$90:K$106,8,0)</f>
        <v>870</v>
      </c>
      <c r="I8" s="82">
        <f t="shared" si="0"/>
        <v>2.7586206896551779E-2</v>
      </c>
    </row>
    <row r="9" spans="1:9" x14ac:dyDescent="0.25">
      <c r="A9" s="7">
        <v>5</v>
      </c>
      <c r="B9" s="83" t="str">
        <f>'Расчетная таблица'!B21</f>
        <v>Выбор рейса из найденных</v>
      </c>
      <c r="C9" s="25" t="str">
        <f>'Расчетная таблица'!C21</f>
        <v>choise_ticket</v>
      </c>
      <c r="D9" s="108">
        <f>'Расчетная таблица'!D21*2*0.5*3</f>
        <v>753</v>
      </c>
      <c r="E9" s="80">
        <f>'Расчетная таблица'!E21</f>
        <v>8.9323843416370105E-2</v>
      </c>
      <c r="F9" s="34">
        <f ca="1">'Расчетная таблица'!F21*2*0.5*3</f>
        <v>759</v>
      </c>
      <c r="G9" s="33">
        <f ca="1">'Расчетная таблица'!G21</f>
        <v>7.905138339920903E-3</v>
      </c>
      <c r="H9" s="81">
        <f>VLOOKUP(C9,$B$90:K$106,8,0)</f>
        <v>758</v>
      </c>
      <c r="I9" s="82">
        <f t="shared" si="0"/>
        <v>6.5963060686016206E-3</v>
      </c>
    </row>
    <row r="10" spans="1:9" x14ac:dyDescent="0.25">
      <c r="A10" s="7">
        <v>6</v>
      </c>
      <c r="B10" s="83" t="str">
        <f>'Расчетная таблица'!B22</f>
        <v>Оплата билета</v>
      </c>
      <c r="C10" s="25" t="str">
        <f>'Расчетная таблица'!C22</f>
        <v>Entry_Data_Ticket</v>
      </c>
      <c r="D10" s="108">
        <f>'Расчетная таблица'!D22*2*0.5*3</f>
        <v>525</v>
      </c>
      <c r="E10" s="80">
        <f>'Расчетная таблица'!E22</f>
        <v>6.2277580071174378E-2</v>
      </c>
      <c r="F10" s="34">
        <f ca="1">'Расчетная таблица'!F22*2*0.5*3</f>
        <v>540</v>
      </c>
      <c r="G10" s="33">
        <f ca="1">'Расчетная таблица'!G22</f>
        <v>2.777777777777779E-2</v>
      </c>
      <c r="H10" s="81">
        <f>VLOOKUP(C10,$B$90:K$106,8,0)</f>
        <v>540</v>
      </c>
      <c r="I10" s="82">
        <f t="shared" si="0"/>
        <v>2.777777777777779E-2</v>
      </c>
    </row>
    <row r="11" spans="1:9" x14ac:dyDescent="0.25">
      <c r="A11" s="7">
        <v>7</v>
      </c>
      <c r="B11" s="83" t="str">
        <f>'Расчетная таблица'!B23</f>
        <v>Просмотр квитанций</v>
      </c>
      <c r="C11" s="25" t="str">
        <f>'Расчетная таблица'!C23</f>
        <v>goto_Itinerary</v>
      </c>
      <c r="D11" s="108">
        <f>'Расчетная таблица'!D23*2*0.5*3</f>
        <v>477</v>
      </c>
      <c r="E11" s="80">
        <f>'Расчетная таблица'!E23</f>
        <v>5.6583629893238431E-2</v>
      </c>
      <c r="F11" s="34">
        <f ca="1">'Расчетная таблица'!F23*2*0.5*3</f>
        <v>474</v>
      </c>
      <c r="G11" s="33">
        <f ca="1">'Расчетная таблица'!G23</f>
        <v>-6.3291139240506666E-3</v>
      </c>
      <c r="H11" s="81">
        <f>VLOOKUP(C11,$B$90:K$106,8,0)</f>
        <v>473</v>
      </c>
      <c r="I11" s="82">
        <f t="shared" si="0"/>
        <v>-8.4566596194504129E-3</v>
      </c>
    </row>
    <row r="12" spans="1:9" x14ac:dyDescent="0.25">
      <c r="A12" s="7">
        <v>8</v>
      </c>
      <c r="B12" s="83" t="str">
        <f>'Расчетная таблица'!B24</f>
        <v>Отмена бронирования билета</v>
      </c>
      <c r="C12" s="25" t="str">
        <f>'Расчетная таблица'!C24</f>
        <v>Delete_first</v>
      </c>
      <c r="D12" s="108">
        <f>'Расчетная таблица'!D24*2*0.5*3</f>
        <v>219</v>
      </c>
      <c r="E12" s="80">
        <f>'Расчетная таблица'!E24</f>
        <v>2.5978647686832741E-2</v>
      </c>
      <c r="F12" s="34">
        <f ca="1">'Расчетная таблица'!F24*2*0.5*3</f>
        <v>213</v>
      </c>
      <c r="G12" s="33">
        <f ca="1">'Расчетная таблица'!G24</f>
        <v>-2.8169014084507005E-2</v>
      </c>
      <c r="H12" s="81">
        <f>VLOOKUP(C12,$B$90:K$106,8,0)</f>
        <v>209</v>
      </c>
      <c r="I12" s="82">
        <f t="shared" si="0"/>
        <v>-4.7846889952153138E-2</v>
      </c>
    </row>
    <row r="13" spans="1:9" x14ac:dyDescent="0.25">
      <c r="A13" s="7">
        <v>9</v>
      </c>
      <c r="B13" s="25" t="str">
        <f>'Расчетная таблица'!B25</f>
        <v>Операция перехода на странцу "Home"</v>
      </c>
      <c r="C13" s="25" t="str">
        <f>'Расчетная таблица'!C25</f>
        <v>goto_home</v>
      </c>
      <c r="D13" s="108">
        <f>'Расчетная таблица'!D25*2*0.5*3</f>
        <v>972</v>
      </c>
      <c r="E13" s="80">
        <f>'Расчетная таблица'!E25</f>
        <v>0.11530249110320284</v>
      </c>
      <c r="F13" s="34">
        <f ca="1">'Расчетная таблица'!F25*2*0.5*3</f>
        <v>972</v>
      </c>
      <c r="G13" s="33">
        <f ca="1">'Расчетная таблица'!G25</f>
        <v>0</v>
      </c>
      <c r="H13" s="81">
        <f>VLOOKUP(C13,$B$90:K$106,8,0)</f>
        <v>970</v>
      </c>
      <c r="I13" s="82">
        <f t="shared" si="0"/>
        <v>-2.0618556701030855E-3</v>
      </c>
    </row>
    <row r="14" spans="1:9" x14ac:dyDescent="0.25">
      <c r="A14" s="7">
        <v>10</v>
      </c>
      <c r="B14" s="83" t="str">
        <f>'Расчетная таблица'!B26</f>
        <v>Выход из системы</v>
      </c>
      <c r="C14" s="25" t="str">
        <f>'Расчетная таблица'!C26</f>
        <v>Logout</v>
      </c>
      <c r="D14" s="108">
        <f>'Расчетная таблица'!D26*2*0.5*3</f>
        <v>978</v>
      </c>
      <c r="E14" s="80">
        <f>'Расчетная таблица'!E26</f>
        <v>0.11601423487544484</v>
      </c>
      <c r="F14" s="34">
        <f ca="1">'Расчетная таблица'!F26*2*0.5*3</f>
        <v>981</v>
      </c>
      <c r="G14" s="33">
        <f ca="1">'Расчетная таблица'!G26</f>
        <v>3.0581039755351869E-3</v>
      </c>
      <c r="H14" s="81">
        <f>VLOOKUP(C14,$B$90:K$106,8,0)</f>
        <v>981</v>
      </c>
      <c r="I14" s="82">
        <f t="shared" si="0"/>
        <v>3.0581039755351869E-3</v>
      </c>
    </row>
    <row r="15" spans="1:9" ht="15" customHeight="1" x14ac:dyDescent="0.25">
      <c r="A15" s="117" t="s">
        <v>64</v>
      </c>
      <c r="B15" s="118"/>
      <c r="C15" s="119"/>
      <c r="D15" s="70">
        <f>'Расчетная таблица'!D27</f>
        <v>2810</v>
      </c>
      <c r="E15" s="75">
        <f>'Расчетная таблица'!E27</f>
        <v>1</v>
      </c>
      <c r="F15" s="78">
        <f ca="1">'Расчетная таблица'!F27</f>
        <v>2838</v>
      </c>
      <c r="G15" s="79">
        <f ca="1">'Расчетная таблица'!G27</f>
        <v>6.7280818879341901E-3</v>
      </c>
      <c r="H15" s="73">
        <f>SUM(H5:H14)</f>
        <v>8493</v>
      </c>
      <c r="I15" s="100">
        <f>AVERAGE(I5:I14)</f>
        <v>3.0542338702331806E-3</v>
      </c>
    </row>
    <row r="17" spans="1:17" ht="27.75" customHeight="1" x14ac:dyDescent="0.25">
      <c r="A17" s="129" t="s">
        <v>1</v>
      </c>
      <c r="B17" s="129" t="s">
        <v>49</v>
      </c>
      <c r="C17" s="129" t="s">
        <v>50</v>
      </c>
      <c r="D17" s="129" t="s">
        <v>19</v>
      </c>
      <c r="E17" s="129"/>
      <c r="F17" s="129" t="s">
        <v>17</v>
      </c>
      <c r="H17" s="132" t="s">
        <v>187</v>
      </c>
      <c r="I17" s="132"/>
      <c r="J17" s="110" t="s">
        <v>184</v>
      </c>
      <c r="K17" s="110" t="s">
        <v>185</v>
      </c>
    </row>
    <row r="18" spans="1:17" ht="30" customHeight="1" x14ac:dyDescent="0.25">
      <c r="A18" s="129"/>
      <c r="B18" s="129"/>
      <c r="C18" s="129"/>
      <c r="D18" s="105" t="s">
        <v>16</v>
      </c>
      <c r="E18" s="105" t="s">
        <v>58</v>
      </c>
      <c r="F18" s="129"/>
      <c r="H18" s="133" t="s">
        <v>181</v>
      </c>
      <c r="I18" s="133"/>
      <c r="J18" s="3">
        <f>E25</f>
        <v>1302</v>
      </c>
      <c r="K18" s="3">
        <f>H15</f>
        <v>8493</v>
      </c>
    </row>
    <row r="19" spans="1:17" ht="30.75" customHeight="1" x14ac:dyDescent="0.25">
      <c r="A19" s="7">
        <v>1</v>
      </c>
      <c r="B19" s="20" t="str">
        <f>'Расчетная таблица'!B5</f>
        <v xml:space="preserve">Поиск авиабилета без покупки, просмотр истории </v>
      </c>
      <c r="C19" s="20" t="str">
        <f>'Расчетная таблица'!C5</f>
        <v>01_Search_Itinerary</v>
      </c>
      <c r="D19" s="39">
        <f>'Расчетная таблица'!J5*2*0.5*3</f>
        <v>219</v>
      </c>
      <c r="E19" s="46">
        <f>VLOOKUP(C19,$B$90:K$106,8,0)</f>
        <v>218</v>
      </c>
      <c r="F19" s="38">
        <f t="shared" ref="F19:F24" si="1">1-D19/E19</f>
        <v>-4.5871559633028358E-3</v>
      </c>
      <c r="H19" s="137" t="s">
        <v>182</v>
      </c>
      <c r="I19" s="137"/>
      <c r="J19" s="7">
        <f>MIN($E$90:$E$95)</f>
        <v>0.871</v>
      </c>
      <c r="K19" s="7">
        <f>MIN($E$97:$E$106)</f>
        <v>0.18</v>
      </c>
    </row>
    <row r="20" spans="1:17" ht="30.75" customHeight="1" x14ac:dyDescent="0.25">
      <c r="A20" s="7">
        <v>2</v>
      </c>
      <c r="B20" s="20" t="str">
        <f>'Расчетная таблица'!B6</f>
        <v>Поиск и покупка авиабилета</v>
      </c>
      <c r="C20" s="20" t="str">
        <f>'Расчетная таблица'!C6</f>
        <v>02_Search_BuyTicket</v>
      </c>
      <c r="D20" s="39">
        <f>'Расчетная таблица'!J6*2*0.5*3</f>
        <v>540</v>
      </c>
      <c r="E20" s="46">
        <f>VLOOKUP(C20,$B$90:K$106,8,0)</f>
        <v>540</v>
      </c>
      <c r="F20" s="38">
        <f t="shared" si="1"/>
        <v>0</v>
      </c>
      <c r="H20" s="133" t="s">
        <v>183</v>
      </c>
      <c r="I20" s="133"/>
      <c r="J20" s="7">
        <f>MAX($E$90:$E$95)</f>
        <v>2.3340000000000001</v>
      </c>
      <c r="K20" s="7">
        <f>MAX($E$97:$E$106)</f>
        <v>0.47199999999999998</v>
      </c>
    </row>
    <row r="21" spans="1:17" ht="30.75" customHeight="1" x14ac:dyDescent="0.25">
      <c r="A21" s="7">
        <v>3</v>
      </c>
      <c r="B21" s="20" t="str">
        <f>'Расчетная таблица'!B7</f>
        <v>Переход на страницу поиска, просмотр истории продаж авиабилетов, удаление авиабилета</v>
      </c>
      <c r="C21" s="20" t="str">
        <f>'Расчетная таблица'!C7</f>
        <v>03_SearcH_Itinerary_Delete</v>
      </c>
      <c r="D21" s="39">
        <f>'Расчетная таблица'!J7*2*0.5*3</f>
        <v>213</v>
      </c>
      <c r="E21" s="46">
        <f>VLOOKUP(C21,$B$90:K$106,8,0)</f>
        <v>208</v>
      </c>
      <c r="F21" s="38">
        <f t="shared" si="1"/>
        <v>-2.4038461538461453E-2</v>
      </c>
      <c r="H21" s="133" t="s">
        <v>188</v>
      </c>
      <c r="I21" s="133"/>
      <c r="J21" s="7">
        <f>MAX(F90:F95)</f>
        <v>2.9409999999999998</v>
      </c>
      <c r="K21" s="7">
        <f>MAX(F97:F106)</f>
        <v>1.052</v>
      </c>
    </row>
    <row r="22" spans="1:17" ht="30.75" customHeight="1" x14ac:dyDescent="0.25">
      <c r="A22" s="7">
        <v>4</v>
      </c>
      <c r="B22" s="20" t="str">
        <f>'Расчетная таблица'!B8</f>
        <v>Просмотр истории продаж авиабилетов</v>
      </c>
      <c r="C22" s="20" t="str">
        <f>'Расчетная таблица'!C8</f>
        <v>04_Itinerary</v>
      </c>
      <c r="D22" s="39">
        <f>'Расчетная таблица'!J8*2*0.5*3</f>
        <v>42</v>
      </c>
      <c r="E22" s="46">
        <f>VLOOKUP(C22,$B$90:K$106,8,0)</f>
        <v>43</v>
      </c>
      <c r="F22" s="38">
        <f t="shared" si="1"/>
        <v>2.3255813953488413E-2</v>
      </c>
      <c r="H22" s="131" t="s">
        <v>186</v>
      </c>
      <c r="I22" s="131"/>
      <c r="J22" s="7">
        <f>MAX(H90:H95)</f>
        <v>2.5990000000000002</v>
      </c>
      <c r="K22" s="7">
        <f>MAX(H97:H106)</f>
        <v>0.57899999999999996</v>
      </c>
    </row>
    <row r="23" spans="1:17" ht="30.75" customHeight="1" x14ac:dyDescent="0.25">
      <c r="A23" s="7">
        <v>5</v>
      </c>
      <c r="B23" s="20" t="str">
        <f>'Расчетная таблица'!B9</f>
        <v>Поиск авиабилета</v>
      </c>
      <c r="C23" s="20" t="str">
        <f>'Расчетная таблица'!C9</f>
        <v>05_Search</v>
      </c>
      <c r="D23" s="39">
        <f>'Расчетная таблица'!J9*2*0.5*3</f>
        <v>114</v>
      </c>
      <c r="E23" s="46">
        <f>VLOOKUP(C23,$B$90:K$106,8,0)</f>
        <v>113</v>
      </c>
      <c r="F23" s="38">
        <f t="shared" si="1"/>
        <v>-8.8495575221239076E-3</v>
      </c>
    </row>
    <row r="24" spans="1:17" ht="30.75" customHeight="1" x14ac:dyDescent="0.25">
      <c r="A24" s="7">
        <v>6</v>
      </c>
      <c r="B24" s="20" t="str">
        <f>'Расчетная таблица'!B10</f>
        <v>Вход выход</v>
      </c>
      <c r="C24" s="20" t="str">
        <f>'Расчетная таблица'!C10</f>
        <v>06_login_logout</v>
      </c>
      <c r="D24" s="39">
        <f>'Расчетная таблица'!J10*2*0.5*3</f>
        <v>180</v>
      </c>
      <c r="E24" s="46">
        <f>VLOOKUP(C24,$B$90:K$106,8,0)</f>
        <v>180</v>
      </c>
      <c r="F24" s="38">
        <f t="shared" si="1"/>
        <v>0</v>
      </c>
    </row>
    <row r="25" spans="1:17" ht="14.25" customHeight="1" x14ac:dyDescent="0.25">
      <c r="A25" s="125" t="s">
        <v>64</v>
      </c>
      <c r="B25" s="125"/>
      <c r="C25" s="125"/>
      <c r="D25" s="73">
        <f>SUM(D19:D24)</f>
        <v>1308</v>
      </c>
      <c r="E25" s="73">
        <f>SUM(E19:E24)</f>
        <v>1302</v>
      </c>
      <c r="F25" s="72">
        <f>AVERAGE(F19:F24)</f>
        <v>-2.3698935117332973E-3</v>
      </c>
    </row>
    <row r="27" spans="1:17" ht="15" hidden="1" x14ac:dyDescent="0.25">
      <c r="B27" s="138" t="s">
        <v>169</v>
      </c>
      <c r="C27" s="138"/>
      <c r="D27" s="138"/>
      <c r="E27" s="138"/>
      <c r="F27" s="138"/>
      <c r="G27" s="138"/>
      <c r="H27" s="138"/>
      <c r="I27" s="138"/>
      <c r="J27" s="138"/>
      <c r="K27" s="138"/>
      <c r="L27" s="107"/>
      <c r="M27" s="107"/>
      <c r="N27" s="107"/>
      <c r="O27" s="107"/>
      <c r="P27" s="107"/>
      <c r="Q27" s="107"/>
    </row>
    <row r="28" spans="1:17" ht="15" hidden="1" x14ac:dyDescent="0.25">
      <c r="B28" s="95" t="s">
        <v>73</v>
      </c>
      <c r="C28" s="95" t="s">
        <v>74</v>
      </c>
      <c r="D28" s="95" t="s">
        <v>75</v>
      </c>
      <c r="E28" s="95" t="s">
        <v>76</v>
      </c>
      <c r="F28" s="95" t="s">
        <v>77</v>
      </c>
      <c r="G28" s="95" t="s">
        <v>78</v>
      </c>
      <c r="H28" s="95" t="s">
        <v>79</v>
      </c>
      <c r="I28" s="95" t="s">
        <v>80</v>
      </c>
      <c r="J28" s="95" t="s">
        <v>81</v>
      </c>
      <c r="K28" s="95" t="s">
        <v>82</v>
      </c>
      <c r="P28" s="95"/>
      <c r="Q28" s="95"/>
    </row>
    <row r="29" spans="1:17" ht="15" hidden="1" x14ac:dyDescent="0.25">
      <c r="B29" s="95" t="s">
        <v>37</v>
      </c>
      <c r="C29" s="95" t="s">
        <v>80</v>
      </c>
      <c r="D29" s="95">
        <v>1.996</v>
      </c>
      <c r="E29" s="95">
        <v>4.0270000000000001</v>
      </c>
      <c r="F29" s="95">
        <v>9.1300000000000008</v>
      </c>
      <c r="G29" s="95">
        <v>1.359</v>
      </c>
      <c r="H29" s="95">
        <v>5.95</v>
      </c>
      <c r="I29" s="95">
        <v>327</v>
      </c>
      <c r="J29" s="95">
        <v>0</v>
      </c>
      <c r="K29" s="95">
        <v>0</v>
      </c>
    </row>
    <row r="30" spans="1:17" ht="15" hidden="1" x14ac:dyDescent="0.25">
      <c r="B30" s="95" t="s">
        <v>38</v>
      </c>
      <c r="C30" s="95" t="s">
        <v>80</v>
      </c>
      <c r="D30" s="95">
        <v>1.746</v>
      </c>
      <c r="E30" s="95">
        <v>3.6840000000000002</v>
      </c>
      <c r="F30" s="95">
        <v>9.0549999999999997</v>
      </c>
      <c r="G30" s="95">
        <v>1.1890000000000001</v>
      </c>
      <c r="H30" s="95">
        <v>5.3860000000000001</v>
      </c>
      <c r="I30" s="95">
        <v>1078</v>
      </c>
      <c r="J30" s="95">
        <v>0</v>
      </c>
      <c r="K30" s="95">
        <v>0</v>
      </c>
    </row>
    <row r="31" spans="1:17" ht="15" hidden="1" x14ac:dyDescent="0.25">
      <c r="B31" s="95" t="s">
        <v>84</v>
      </c>
      <c r="C31" s="95" t="s">
        <v>80</v>
      </c>
      <c r="D31" s="95">
        <v>1.8049999999999999</v>
      </c>
      <c r="E31" s="95">
        <v>4.34</v>
      </c>
      <c r="F31" s="95">
        <v>9.2449999999999992</v>
      </c>
      <c r="G31" s="95">
        <v>1.6559999999999999</v>
      </c>
      <c r="H31" s="95">
        <v>6.7359999999999998</v>
      </c>
      <c r="I31" s="95">
        <v>311</v>
      </c>
      <c r="J31" s="95">
        <v>5</v>
      </c>
      <c r="K31" s="95">
        <v>0</v>
      </c>
    </row>
    <row r="32" spans="1:17" ht="15" hidden="1" x14ac:dyDescent="0.25">
      <c r="B32" s="95" t="s">
        <v>85</v>
      </c>
      <c r="C32" s="95" t="s">
        <v>80</v>
      </c>
      <c r="D32" s="95">
        <v>1.1299999999999999</v>
      </c>
      <c r="E32" s="95">
        <v>3.5739999999999998</v>
      </c>
      <c r="F32" s="95">
        <v>8.3320000000000007</v>
      </c>
      <c r="G32" s="95">
        <v>1.3859999999999999</v>
      </c>
      <c r="H32" s="95">
        <v>5.4219999999999997</v>
      </c>
      <c r="I32" s="95">
        <v>85</v>
      </c>
      <c r="J32" s="95">
        <v>0</v>
      </c>
      <c r="K32" s="95">
        <v>0</v>
      </c>
    </row>
    <row r="33" spans="2:11" ht="15" hidden="1" x14ac:dyDescent="0.25">
      <c r="B33" s="95" t="s">
        <v>41</v>
      </c>
      <c r="C33" s="95" t="s">
        <v>80</v>
      </c>
      <c r="D33" s="95">
        <v>0.99199999999999999</v>
      </c>
      <c r="E33" s="95">
        <v>2.7010000000000001</v>
      </c>
      <c r="F33" s="95">
        <v>8.7469999999999999</v>
      </c>
      <c r="G33" s="95">
        <v>1.425</v>
      </c>
      <c r="H33" s="95">
        <v>4.75</v>
      </c>
      <c r="I33" s="95">
        <v>226</v>
      </c>
      <c r="J33" s="95">
        <v>0</v>
      </c>
      <c r="K33" s="95">
        <v>0</v>
      </c>
    </row>
    <row r="34" spans="2:11" ht="15" hidden="1" x14ac:dyDescent="0.25">
      <c r="B34" s="95" t="s">
        <v>86</v>
      </c>
      <c r="C34" s="95" t="s">
        <v>80</v>
      </c>
      <c r="D34" s="95">
        <v>0.69799999999999995</v>
      </c>
      <c r="E34" s="95">
        <v>2.3940000000000001</v>
      </c>
      <c r="F34" s="95">
        <v>7.5289999999999999</v>
      </c>
      <c r="G34" s="95">
        <v>1.3340000000000001</v>
      </c>
      <c r="H34" s="95">
        <v>4.306</v>
      </c>
      <c r="I34" s="95">
        <v>359</v>
      </c>
      <c r="J34" s="95">
        <v>0</v>
      </c>
      <c r="K34" s="95">
        <v>0</v>
      </c>
    </row>
    <row r="35" spans="2:11" ht="15" hidden="1" x14ac:dyDescent="0.25">
      <c r="B35" s="95" t="s">
        <v>51</v>
      </c>
      <c r="C35" s="95" t="s">
        <v>80</v>
      </c>
      <c r="D35" s="95">
        <v>0.14000000000000001</v>
      </c>
      <c r="E35" s="95">
        <v>0.23499999999999999</v>
      </c>
      <c r="F35" s="95">
        <v>0.80200000000000005</v>
      </c>
      <c r="G35" s="95">
        <v>7.0000000000000007E-2</v>
      </c>
      <c r="H35" s="95">
        <v>0.312</v>
      </c>
      <c r="I35" s="95">
        <v>1405</v>
      </c>
      <c r="J35" s="95">
        <v>0</v>
      </c>
      <c r="K35" s="95">
        <v>0</v>
      </c>
    </row>
    <row r="36" spans="2:11" ht="15" hidden="1" x14ac:dyDescent="0.25">
      <c r="B36" s="95" t="s">
        <v>52</v>
      </c>
      <c r="C36" s="95" t="s">
        <v>80</v>
      </c>
      <c r="D36" s="95">
        <v>0.127</v>
      </c>
      <c r="E36" s="95">
        <v>0.40400000000000003</v>
      </c>
      <c r="F36" s="95">
        <v>1.43</v>
      </c>
      <c r="G36" s="95">
        <v>0.157</v>
      </c>
      <c r="H36" s="95">
        <v>0.58899999999999997</v>
      </c>
      <c r="I36" s="95">
        <v>311</v>
      </c>
      <c r="J36" s="95">
        <v>5</v>
      </c>
      <c r="K36" s="95">
        <v>0</v>
      </c>
    </row>
    <row r="37" spans="2:11" ht="15" hidden="1" x14ac:dyDescent="0.25">
      <c r="B37" s="95" t="s">
        <v>45</v>
      </c>
      <c r="C37" s="95" t="s">
        <v>80</v>
      </c>
      <c r="D37" s="95">
        <v>9.5000000000000001E-2</v>
      </c>
      <c r="E37" s="95">
        <v>0.19500000000000001</v>
      </c>
      <c r="F37" s="95">
        <v>0.58699999999999997</v>
      </c>
      <c r="G37" s="95">
        <v>6.3E-2</v>
      </c>
      <c r="H37" s="95">
        <v>0.27100000000000002</v>
      </c>
      <c r="I37" s="95">
        <v>1629</v>
      </c>
      <c r="J37" s="95">
        <v>0</v>
      </c>
      <c r="K37" s="95">
        <v>0</v>
      </c>
    </row>
    <row r="38" spans="2:11" ht="15" hidden="1" x14ac:dyDescent="0.25">
      <c r="B38" s="95" t="s">
        <v>53</v>
      </c>
      <c r="C38" s="95" t="s">
        <v>80</v>
      </c>
      <c r="D38" s="95">
        <v>0.13700000000000001</v>
      </c>
      <c r="E38" s="95">
        <v>0.22900000000000001</v>
      </c>
      <c r="F38" s="95">
        <v>0.64300000000000002</v>
      </c>
      <c r="G38" s="95">
        <v>6.4000000000000001E-2</v>
      </c>
      <c r="H38" s="95">
        <v>0.3</v>
      </c>
      <c r="I38" s="95">
        <v>1078</v>
      </c>
      <c r="J38" s="95">
        <v>0</v>
      </c>
      <c r="K38" s="95">
        <v>0</v>
      </c>
    </row>
    <row r="39" spans="2:11" ht="15" hidden="1" x14ac:dyDescent="0.25">
      <c r="B39" s="95" t="s">
        <v>46</v>
      </c>
      <c r="C39" s="95" t="s">
        <v>80</v>
      </c>
      <c r="D39" s="95">
        <v>0.20300000000000001</v>
      </c>
      <c r="E39" s="95">
        <v>0.49</v>
      </c>
      <c r="F39" s="95">
        <v>4.3490000000000002</v>
      </c>
      <c r="G39" s="95">
        <v>0.41</v>
      </c>
      <c r="H39" s="95">
        <v>0.71</v>
      </c>
      <c r="I39" s="95">
        <v>1947</v>
      </c>
      <c r="J39" s="95">
        <v>0</v>
      </c>
      <c r="K39" s="95">
        <v>0</v>
      </c>
    </row>
    <row r="40" spans="2:11" ht="15" hidden="1" x14ac:dyDescent="0.25">
      <c r="B40" s="95" t="s">
        <v>43</v>
      </c>
      <c r="C40" s="95" t="s">
        <v>80</v>
      </c>
      <c r="D40" s="95">
        <v>0.156</v>
      </c>
      <c r="E40" s="95">
        <v>0.67100000000000004</v>
      </c>
      <c r="F40" s="95">
        <v>4.4820000000000002</v>
      </c>
      <c r="G40" s="95">
        <v>0.70699999999999996</v>
      </c>
      <c r="H40" s="95">
        <v>1.7350000000000001</v>
      </c>
      <c r="I40" s="95">
        <v>1720</v>
      </c>
      <c r="J40" s="95">
        <v>0</v>
      </c>
      <c r="K40" s="95">
        <v>0</v>
      </c>
    </row>
    <row r="41" spans="2:11" ht="15" hidden="1" x14ac:dyDescent="0.25">
      <c r="B41" s="95" t="s">
        <v>44</v>
      </c>
      <c r="C41" s="95" t="s">
        <v>80</v>
      </c>
      <c r="D41" s="95">
        <v>0.28499999999999998</v>
      </c>
      <c r="E41" s="95">
        <v>0.61299999999999999</v>
      </c>
      <c r="F41" s="95">
        <v>3.4750000000000001</v>
      </c>
      <c r="G41" s="95">
        <v>0.31900000000000001</v>
      </c>
      <c r="H41" s="95">
        <v>0.9</v>
      </c>
      <c r="I41" s="95">
        <v>730</v>
      </c>
      <c r="J41" s="95">
        <v>0</v>
      </c>
      <c r="K41" s="95">
        <v>0</v>
      </c>
    </row>
    <row r="42" spans="2:11" ht="15" hidden="1" x14ac:dyDescent="0.25">
      <c r="B42" s="95" t="s">
        <v>48</v>
      </c>
      <c r="C42" s="95" t="s">
        <v>80</v>
      </c>
      <c r="D42" s="95">
        <v>0.156</v>
      </c>
      <c r="E42" s="95">
        <v>0.92900000000000005</v>
      </c>
      <c r="F42" s="95">
        <v>5.8339999999999996</v>
      </c>
      <c r="G42" s="95">
        <v>0.94699999999999995</v>
      </c>
      <c r="H42" s="95">
        <v>2.4140000000000001</v>
      </c>
      <c r="I42" s="95">
        <v>2391</v>
      </c>
      <c r="J42" s="95">
        <v>0</v>
      </c>
      <c r="K42" s="95">
        <v>0</v>
      </c>
    </row>
    <row r="43" spans="2:11" ht="15" hidden="1" x14ac:dyDescent="0.25">
      <c r="B43" s="95" t="s">
        <v>47</v>
      </c>
      <c r="C43" s="95" t="s">
        <v>80</v>
      </c>
      <c r="D43" s="95">
        <v>0.17</v>
      </c>
      <c r="E43" s="95">
        <v>0.82099999999999995</v>
      </c>
      <c r="F43" s="95">
        <v>4.25</v>
      </c>
      <c r="G43" s="95">
        <v>0.66</v>
      </c>
      <c r="H43" s="95">
        <v>1.8</v>
      </c>
      <c r="I43" s="95">
        <v>2393</v>
      </c>
      <c r="J43" s="95">
        <v>0</v>
      </c>
      <c r="K43" s="95">
        <v>0</v>
      </c>
    </row>
    <row r="44" spans="2:11" ht="15" hidden="1" x14ac:dyDescent="0.25">
      <c r="B44" s="95" t="s">
        <v>42</v>
      </c>
      <c r="C44" s="95" t="s">
        <v>80</v>
      </c>
      <c r="D44" s="95">
        <v>0.156</v>
      </c>
      <c r="E44" s="95">
        <v>0.36</v>
      </c>
      <c r="F44" s="95">
        <v>4.0519999999999996</v>
      </c>
      <c r="G44" s="95">
        <v>0.33500000000000002</v>
      </c>
      <c r="H44" s="95">
        <v>0.45400000000000001</v>
      </c>
      <c r="I44" s="95">
        <v>1849</v>
      </c>
      <c r="J44" s="95">
        <v>0</v>
      </c>
      <c r="K44" s="95">
        <v>0</v>
      </c>
    </row>
    <row r="45" spans="2:11" ht="12" hidden="1" customHeight="1" x14ac:dyDescent="0.25"/>
    <row r="46" spans="2:11" hidden="1" x14ac:dyDescent="0.25">
      <c r="B46" s="138" t="s">
        <v>177</v>
      </c>
      <c r="C46" s="138"/>
      <c r="D46" s="138"/>
      <c r="E46" s="138"/>
      <c r="F46" s="138"/>
      <c r="G46" s="138"/>
      <c r="H46" s="138"/>
      <c r="I46" s="138"/>
      <c r="J46" s="138"/>
      <c r="K46" s="138"/>
    </row>
    <row r="47" spans="2:11" ht="15" hidden="1" x14ac:dyDescent="0.25">
      <c r="B47" s="95" t="s">
        <v>73</v>
      </c>
      <c r="C47" s="95" t="s">
        <v>74</v>
      </c>
      <c r="D47" s="95" t="s">
        <v>75</v>
      </c>
      <c r="E47" s="95" t="s">
        <v>76</v>
      </c>
      <c r="F47" s="95" t="s">
        <v>77</v>
      </c>
      <c r="G47" s="95" t="s">
        <v>78</v>
      </c>
      <c r="H47" s="95" t="s">
        <v>79</v>
      </c>
      <c r="I47" s="95" t="s">
        <v>80</v>
      </c>
      <c r="J47" s="95" t="s">
        <v>81</v>
      </c>
      <c r="K47" s="95" t="s">
        <v>82</v>
      </c>
    </row>
    <row r="48" spans="2:11" ht="15" hidden="1" x14ac:dyDescent="0.25">
      <c r="B48" s="95" t="s">
        <v>37</v>
      </c>
      <c r="C48" s="95" t="s">
        <v>80</v>
      </c>
      <c r="D48" s="95">
        <v>17.026</v>
      </c>
      <c r="E48" s="95">
        <v>19.111000000000001</v>
      </c>
      <c r="F48" s="95">
        <v>24.158999999999999</v>
      </c>
      <c r="G48" s="95">
        <v>1.3560000000000001</v>
      </c>
      <c r="H48" s="95">
        <v>21.077000000000002</v>
      </c>
      <c r="I48" s="95">
        <v>327</v>
      </c>
      <c r="J48" s="95">
        <v>0</v>
      </c>
      <c r="K48" s="95">
        <v>0</v>
      </c>
    </row>
    <row r="49" spans="2:11" ht="15" hidden="1" x14ac:dyDescent="0.25">
      <c r="B49" s="95" t="s">
        <v>38</v>
      </c>
      <c r="C49" s="95" t="s">
        <v>80</v>
      </c>
      <c r="D49" s="95">
        <v>14.762</v>
      </c>
      <c r="E49" s="95">
        <v>16.760999999999999</v>
      </c>
      <c r="F49" s="95">
        <v>22.184000000000001</v>
      </c>
      <c r="G49" s="95">
        <v>1.1930000000000001</v>
      </c>
      <c r="H49" s="95">
        <v>18.454000000000001</v>
      </c>
      <c r="I49" s="95">
        <v>1078</v>
      </c>
      <c r="J49" s="95">
        <v>0</v>
      </c>
      <c r="K49" s="95">
        <v>0</v>
      </c>
    </row>
    <row r="50" spans="2:11" ht="15" hidden="1" x14ac:dyDescent="0.25">
      <c r="B50" s="95" t="s">
        <v>84</v>
      </c>
      <c r="C50" s="95" t="s">
        <v>80</v>
      </c>
      <c r="D50" s="95">
        <v>28.844999999999999</v>
      </c>
      <c r="E50" s="95">
        <v>31.518999999999998</v>
      </c>
      <c r="F50" s="95">
        <v>36.298999999999999</v>
      </c>
      <c r="G50" s="95">
        <v>1.6830000000000001</v>
      </c>
      <c r="H50" s="95">
        <v>33.963000000000001</v>
      </c>
      <c r="I50" s="95">
        <v>311</v>
      </c>
      <c r="J50" s="95">
        <v>5</v>
      </c>
      <c r="K50" s="95">
        <v>0</v>
      </c>
    </row>
    <row r="51" spans="2:11" ht="15" hidden="1" x14ac:dyDescent="0.25">
      <c r="B51" s="95" t="s">
        <v>85</v>
      </c>
      <c r="C51" s="95" t="s">
        <v>80</v>
      </c>
      <c r="D51" s="95">
        <v>21.15</v>
      </c>
      <c r="E51" s="95">
        <v>23.684000000000001</v>
      </c>
      <c r="F51" s="95">
        <v>28.574000000000002</v>
      </c>
      <c r="G51" s="95">
        <v>1.38</v>
      </c>
      <c r="H51" s="95">
        <v>25.527999999999999</v>
      </c>
      <c r="I51" s="95">
        <v>85</v>
      </c>
      <c r="J51" s="95">
        <v>0</v>
      </c>
      <c r="K51" s="95">
        <v>0</v>
      </c>
    </row>
    <row r="52" spans="2:11" ht="15" hidden="1" x14ac:dyDescent="0.25">
      <c r="B52" s="95" t="s">
        <v>41</v>
      </c>
      <c r="C52" s="95" t="s">
        <v>80</v>
      </c>
      <c r="D52" s="95">
        <v>26.047000000000001</v>
      </c>
      <c r="E52" s="95">
        <v>27.809000000000001</v>
      </c>
      <c r="F52" s="95">
        <v>33.820999999999998</v>
      </c>
      <c r="G52" s="95">
        <v>1.425</v>
      </c>
      <c r="H52" s="95">
        <v>29.855</v>
      </c>
      <c r="I52" s="95">
        <v>226</v>
      </c>
      <c r="J52" s="95">
        <v>0</v>
      </c>
      <c r="K52" s="95">
        <v>0</v>
      </c>
    </row>
    <row r="53" spans="2:11" ht="15" hidden="1" x14ac:dyDescent="0.25">
      <c r="B53" s="95" t="s">
        <v>86</v>
      </c>
      <c r="C53" s="95" t="s">
        <v>80</v>
      </c>
      <c r="D53" s="95">
        <v>15.705</v>
      </c>
      <c r="E53" s="95">
        <v>17.475000000000001</v>
      </c>
      <c r="F53" s="95">
        <v>22.765999999999998</v>
      </c>
      <c r="G53" s="95">
        <v>1.353</v>
      </c>
      <c r="H53" s="95">
        <v>19.417000000000002</v>
      </c>
      <c r="I53" s="95">
        <v>359</v>
      </c>
      <c r="J53" s="95">
        <v>0</v>
      </c>
      <c r="K53" s="95">
        <v>0</v>
      </c>
    </row>
    <row r="54" spans="2:11" ht="15" hidden="1" x14ac:dyDescent="0.25">
      <c r="B54" s="95" t="s">
        <v>51</v>
      </c>
      <c r="C54" s="95" t="s">
        <v>80</v>
      </c>
      <c r="D54" s="95">
        <v>0.14000000000000001</v>
      </c>
      <c r="E54" s="95">
        <v>0.23499999999999999</v>
      </c>
      <c r="F54" s="95">
        <v>0.80200000000000005</v>
      </c>
      <c r="G54" s="95">
        <v>7.0000000000000007E-2</v>
      </c>
      <c r="H54" s="95">
        <v>0.312</v>
      </c>
      <c r="I54" s="95">
        <v>1405</v>
      </c>
      <c r="J54" s="95">
        <v>0</v>
      </c>
      <c r="K54" s="95">
        <v>0</v>
      </c>
    </row>
    <row r="55" spans="2:11" ht="15" hidden="1" x14ac:dyDescent="0.25">
      <c r="B55" s="95" t="s">
        <v>52</v>
      </c>
      <c r="C55" s="95" t="s">
        <v>80</v>
      </c>
      <c r="D55" s="95">
        <v>0.127</v>
      </c>
      <c r="E55" s="95">
        <v>0.40400000000000003</v>
      </c>
      <c r="F55" s="95">
        <v>1.43</v>
      </c>
      <c r="G55" s="95">
        <v>0.157</v>
      </c>
      <c r="H55" s="95">
        <v>0.58899999999999997</v>
      </c>
      <c r="I55" s="95">
        <v>311</v>
      </c>
      <c r="J55" s="95">
        <v>5</v>
      </c>
      <c r="K55" s="95">
        <v>0</v>
      </c>
    </row>
    <row r="56" spans="2:11" ht="15" hidden="1" x14ac:dyDescent="0.25">
      <c r="B56" s="95" t="s">
        <v>45</v>
      </c>
      <c r="C56" s="95" t="s">
        <v>80</v>
      </c>
      <c r="D56" s="95">
        <v>9.5000000000000001E-2</v>
      </c>
      <c r="E56" s="95">
        <v>0.19500000000000001</v>
      </c>
      <c r="F56" s="95">
        <v>0.58699999999999997</v>
      </c>
      <c r="G56" s="95">
        <v>6.3E-2</v>
      </c>
      <c r="H56" s="95">
        <v>0.27100000000000002</v>
      </c>
      <c r="I56" s="95">
        <v>1629</v>
      </c>
      <c r="J56" s="95">
        <v>0</v>
      </c>
      <c r="K56" s="95">
        <v>0</v>
      </c>
    </row>
    <row r="57" spans="2:11" ht="15" hidden="1" x14ac:dyDescent="0.25">
      <c r="B57" s="95" t="s">
        <v>53</v>
      </c>
      <c r="C57" s="95" t="s">
        <v>80</v>
      </c>
      <c r="D57" s="95">
        <v>0.13700000000000001</v>
      </c>
      <c r="E57" s="95">
        <v>0.22900000000000001</v>
      </c>
      <c r="F57" s="95">
        <v>0.64300000000000002</v>
      </c>
      <c r="G57" s="95">
        <v>6.4000000000000001E-2</v>
      </c>
      <c r="H57" s="95">
        <v>0.3</v>
      </c>
      <c r="I57" s="95">
        <v>1078</v>
      </c>
      <c r="J57" s="95">
        <v>0</v>
      </c>
      <c r="K57" s="95">
        <v>0</v>
      </c>
    </row>
    <row r="58" spans="2:11" ht="15" hidden="1" x14ac:dyDescent="0.25">
      <c r="B58" s="95" t="s">
        <v>46</v>
      </c>
      <c r="C58" s="95" t="s">
        <v>80</v>
      </c>
      <c r="D58" s="95">
        <v>0.20300000000000001</v>
      </c>
      <c r="E58" s="95">
        <v>0.49</v>
      </c>
      <c r="F58" s="95">
        <v>4.3490000000000002</v>
      </c>
      <c r="G58" s="95">
        <v>0.41</v>
      </c>
      <c r="H58" s="95">
        <v>0.71</v>
      </c>
      <c r="I58" s="95">
        <v>1947</v>
      </c>
      <c r="J58" s="95">
        <v>0</v>
      </c>
      <c r="K58" s="95">
        <v>0</v>
      </c>
    </row>
    <row r="59" spans="2:11" ht="15" hidden="1" x14ac:dyDescent="0.25">
      <c r="B59" s="95" t="s">
        <v>43</v>
      </c>
      <c r="C59" s="95" t="s">
        <v>80</v>
      </c>
      <c r="D59" s="95">
        <v>0.156</v>
      </c>
      <c r="E59" s="95">
        <v>0.67100000000000004</v>
      </c>
      <c r="F59" s="95">
        <v>4.4820000000000002</v>
      </c>
      <c r="G59" s="95">
        <v>0.70699999999999996</v>
      </c>
      <c r="H59" s="95">
        <v>1.7350000000000001</v>
      </c>
      <c r="I59" s="95">
        <v>1720</v>
      </c>
      <c r="J59" s="95">
        <v>0</v>
      </c>
      <c r="K59" s="95">
        <v>0</v>
      </c>
    </row>
    <row r="60" spans="2:11" ht="15" hidden="1" x14ac:dyDescent="0.25">
      <c r="B60" s="95" t="s">
        <v>44</v>
      </c>
      <c r="C60" s="95" t="s">
        <v>80</v>
      </c>
      <c r="D60" s="95">
        <v>0.28499999999999998</v>
      </c>
      <c r="E60" s="95">
        <v>0.61299999999999999</v>
      </c>
      <c r="F60" s="95">
        <v>3.4750000000000001</v>
      </c>
      <c r="G60" s="95">
        <v>0.31900000000000001</v>
      </c>
      <c r="H60" s="95">
        <v>0.9</v>
      </c>
      <c r="I60" s="95">
        <v>730</v>
      </c>
      <c r="J60" s="95">
        <v>0</v>
      </c>
      <c r="K60" s="95">
        <v>0</v>
      </c>
    </row>
    <row r="61" spans="2:11" ht="15" hidden="1" x14ac:dyDescent="0.25">
      <c r="B61" s="95" t="s">
        <v>48</v>
      </c>
      <c r="C61" s="95" t="s">
        <v>80</v>
      </c>
      <c r="D61" s="95">
        <v>0.156</v>
      </c>
      <c r="E61" s="95">
        <v>0.92900000000000005</v>
      </c>
      <c r="F61" s="95">
        <v>5.8339999999999996</v>
      </c>
      <c r="G61" s="95">
        <v>0.94699999999999995</v>
      </c>
      <c r="H61" s="95">
        <v>2.4140000000000001</v>
      </c>
      <c r="I61" s="95">
        <v>2391</v>
      </c>
      <c r="J61" s="95">
        <v>0</v>
      </c>
      <c r="K61" s="95">
        <v>0</v>
      </c>
    </row>
    <row r="62" spans="2:11" ht="15" hidden="1" x14ac:dyDescent="0.25">
      <c r="B62" s="95" t="s">
        <v>47</v>
      </c>
      <c r="C62" s="95" t="s">
        <v>80</v>
      </c>
      <c r="D62" s="95">
        <v>0.17</v>
      </c>
      <c r="E62" s="95">
        <v>0.82099999999999995</v>
      </c>
      <c r="F62" s="95">
        <v>4.25</v>
      </c>
      <c r="G62" s="95">
        <v>0.66</v>
      </c>
      <c r="H62" s="95">
        <v>1.8</v>
      </c>
      <c r="I62" s="95">
        <v>2393</v>
      </c>
      <c r="J62" s="95">
        <v>0</v>
      </c>
      <c r="K62" s="95">
        <v>0</v>
      </c>
    </row>
    <row r="63" spans="2:11" ht="15" hidden="1" x14ac:dyDescent="0.25">
      <c r="B63" s="95" t="s">
        <v>42</v>
      </c>
      <c r="C63" s="95" t="s">
        <v>80</v>
      </c>
      <c r="D63" s="95">
        <v>0.156</v>
      </c>
      <c r="E63" s="95">
        <v>0.36</v>
      </c>
      <c r="F63" s="95">
        <v>4.0519999999999996</v>
      </c>
      <c r="G63" s="95">
        <v>0.33500000000000002</v>
      </c>
      <c r="H63" s="95">
        <v>0.45400000000000001</v>
      </c>
      <c r="I63" s="95">
        <v>1849</v>
      </c>
      <c r="J63" s="95">
        <v>0</v>
      </c>
      <c r="K63" s="95">
        <v>0</v>
      </c>
    </row>
    <row r="64" spans="2:11" hidden="1" x14ac:dyDescent="0.25"/>
    <row r="65" spans="2:11" hidden="1" x14ac:dyDescent="0.25">
      <c r="B65" s="138" t="s">
        <v>176</v>
      </c>
      <c r="C65" s="138"/>
      <c r="D65" s="138"/>
      <c r="E65" s="138"/>
      <c r="F65" s="138"/>
      <c r="G65" s="138"/>
      <c r="H65" s="138"/>
      <c r="I65" s="138"/>
      <c r="J65" s="138"/>
      <c r="K65" s="138"/>
    </row>
    <row r="66" spans="2:11" ht="15" hidden="1" x14ac:dyDescent="0.25">
      <c r="B66" s="95" t="s">
        <v>73</v>
      </c>
      <c r="C66" s="95" t="s">
        <v>74</v>
      </c>
      <c r="D66" s="95" t="s">
        <v>75</v>
      </c>
      <c r="E66" s="95" t="s">
        <v>76</v>
      </c>
      <c r="F66" s="95" t="s">
        <v>77</v>
      </c>
      <c r="G66" s="95" t="s">
        <v>78</v>
      </c>
      <c r="H66" s="95" t="s">
        <v>79</v>
      </c>
      <c r="I66" s="95" t="s">
        <v>80</v>
      </c>
      <c r="J66" s="95" t="s">
        <v>81</v>
      </c>
      <c r="K66" s="95" t="s">
        <v>82</v>
      </c>
    </row>
    <row r="67" spans="2:11" ht="15" hidden="1" x14ac:dyDescent="0.25">
      <c r="B67" s="95" t="s">
        <v>37</v>
      </c>
      <c r="C67" s="95" t="s">
        <v>80</v>
      </c>
      <c r="D67" s="95">
        <v>1.996</v>
      </c>
      <c r="E67" s="95">
        <v>4.0069999999999997</v>
      </c>
      <c r="F67" s="95">
        <v>9.1300000000000008</v>
      </c>
      <c r="G67" s="95">
        <v>1.3480000000000001</v>
      </c>
      <c r="H67" s="95">
        <v>5.9059999999999997</v>
      </c>
      <c r="I67" s="95">
        <v>363</v>
      </c>
      <c r="J67" s="95">
        <v>0</v>
      </c>
      <c r="K67" s="95">
        <v>0</v>
      </c>
    </row>
    <row r="68" spans="2:11" ht="15" hidden="1" x14ac:dyDescent="0.25">
      <c r="B68" s="95" t="s">
        <v>38</v>
      </c>
      <c r="C68" s="95" t="s">
        <v>80</v>
      </c>
      <c r="D68" s="95">
        <v>1.71</v>
      </c>
      <c r="E68" s="95">
        <v>3.6760000000000002</v>
      </c>
      <c r="F68" s="95">
        <v>9.0549999999999997</v>
      </c>
      <c r="G68" s="95">
        <v>1.2110000000000001</v>
      </c>
      <c r="H68" s="95">
        <v>5.3970000000000002</v>
      </c>
      <c r="I68" s="95">
        <v>1188</v>
      </c>
      <c r="J68" s="95">
        <v>0</v>
      </c>
      <c r="K68" s="95">
        <v>0</v>
      </c>
    </row>
    <row r="69" spans="2:11" ht="15" hidden="1" x14ac:dyDescent="0.25">
      <c r="B69" s="95" t="s">
        <v>84</v>
      </c>
      <c r="C69" s="95" t="s">
        <v>80</v>
      </c>
      <c r="D69" s="95">
        <v>1.8049999999999999</v>
      </c>
      <c r="E69" s="95">
        <v>4.2789999999999999</v>
      </c>
      <c r="F69" s="95">
        <v>9.2449999999999992</v>
      </c>
      <c r="G69" s="95">
        <v>1.645</v>
      </c>
      <c r="H69" s="95">
        <v>6.6609999999999996</v>
      </c>
      <c r="I69" s="95">
        <v>345</v>
      </c>
      <c r="J69" s="95">
        <v>5</v>
      </c>
      <c r="K69" s="95">
        <v>0</v>
      </c>
    </row>
    <row r="70" spans="2:11" ht="15" hidden="1" x14ac:dyDescent="0.25">
      <c r="B70" s="95" t="s">
        <v>85</v>
      </c>
      <c r="C70" s="95" t="s">
        <v>80</v>
      </c>
      <c r="D70" s="95">
        <v>1.1299999999999999</v>
      </c>
      <c r="E70" s="95">
        <v>3.5230000000000001</v>
      </c>
      <c r="F70" s="95">
        <v>8.3320000000000007</v>
      </c>
      <c r="G70" s="95">
        <v>1.4179999999999999</v>
      </c>
      <c r="H70" s="95">
        <v>5.4219999999999997</v>
      </c>
      <c r="I70" s="95">
        <v>96</v>
      </c>
      <c r="J70" s="95">
        <v>0</v>
      </c>
      <c r="K70" s="95">
        <v>0</v>
      </c>
    </row>
    <row r="71" spans="2:11" ht="15" hidden="1" x14ac:dyDescent="0.25">
      <c r="B71" s="95" t="s">
        <v>41</v>
      </c>
      <c r="C71" s="95" t="s">
        <v>80</v>
      </c>
      <c r="D71" s="95">
        <v>0.99199999999999999</v>
      </c>
      <c r="E71" s="95">
        <v>2.6789999999999998</v>
      </c>
      <c r="F71" s="95">
        <v>8.7469999999999999</v>
      </c>
      <c r="G71" s="95">
        <v>1.4259999999999999</v>
      </c>
      <c r="H71" s="95">
        <v>4.7619999999999996</v>
      </c>
      <c r="I71" s="95">
        <v>248</v>
      </c>
      <c r="J71" s="95">
        <v>0</v>
      </c>
      <c r="K71" s="95">
        <v>0</v>
      </c>
    </row>
    <row r="72" spans="2:11" ht="15" hidden="1" x14ac:dyDescent="0.25">
      <c r="B72" s="95" t="s">
        <v>86</v>
      </c>
      <c r="C72" s="95" t="s">
        <v>80</v>
      </c>
      <c r="D72" s="95">
        <v>0.69799999999999995</v>
      </c>
      <c r="E72" s="95">
        <v>2.4049999999999998</v>
      </c>
      <c r="F72" s="95">
        <v>7.5289999999999999</v>
      </c>
      <c r="G72" s="95">
        <v>1.351</v>
      </c>
      <c r="H72" s="95">
        <v>4.3159999999999998</v>
      </c>
      <c r="I72" s="95">
        <v>394</v>
      </c>
      <c r="J72" s="95">
        <v>0</v>
      </c>
      <c r="K72" s="95">
        <v>0</v>
      </c>
    </row>
    <row r="73" spans="2:11" ht="15" hidden="1" x14ac:dyDescent="0.25">
      <c r="B73" s="95" t="s">
        <v>87</v>
      </c>
      <c r="C73" s="95" t="s">
        <v>88</v>
      </c>
      <c r="D73" s="95">
        <v>0.69799999999999995</v>
      </c>
      <c r="E73" s="95">
        <v>3.5110000000000001</v>
      </c>
      <c r="F73" s="95">
        <v>9.2449999999999992</v>
      </c>
      <c r="G73" s="95">
        <v>1.4750000000000001</v>
      </c>
      <c r="H73" s="95">
        <v>5.5010000000000003</v>
      </c>
      <c r="I73" s="95">
        <v>2634</v>
      </c>
      <c r="J73" s="95">
        <v>5</v>
      </c>
      <c r="K73" s="95">
        <v>0</v>
      </c>
    </row>
    <row r="74" spans="2:11" ht="15" hidden="1" x14ac:dyDescent="0.25">
      <c r="B74" s="95" t="s">
        <v>51</v>
      </c>
      <c r="C74" s="95" t="s">
        <v>80</v>
      </c>
      <c r="D74" s="95">
        <v>0.14000000000000001</v>
      </c>
      <c r="E74" s="95">
        <v>0.23499999999999999</v>
      </c>
      <c r="F74" s="95">
        <v>0.80200000000000005</v>
      </c>
      <c r="G74" s="95">
        <v>6.9000000000000006E-2</v>
      </c>
      <c r="H74" s="95">
        <v>0.312</v>
      </c>
      <c r="I74" s="95">
        <v>1551</v>
      </c>
      <c r="J74" s="95">
        <v>0</v>
      </c>
      <c r="K74" s="95">
        <v>0</v>
      </c>
    </row>
    <row r="75" spans="2:11" ht="15" hidden="1" x14ac:dyDescent="0.25">
      <c r="B75" s="95" t="s">
        <v>52</v>
      </c>
      <c r="C75" s="95" t="s">
        <v>80</v>
      </c>
      <c r="D75" s="95">
        <v>0.127</v>
      </c>
      <c r="E75" s="95">
        <v>0.40400000000000003</v>
      </c>
      <c r="F75" s="95">
        <v>1.43</v>
      </c>
      <c r="G75" s="95">
        <v>0.152</v>
      </c>
      <c r="H75" s="95">
        <v>0.58199999999999996</v>
      </c>
      <c r="I75" s="95">
        <v>345</v>
      </c>
      <c r="J75" s="95">
        <v>5</v>
      </c>
      <c r="K75" s="95">
        <v>0</v>
      </c>
    </row>
    <row r="76" spans="2:11" ht="15" hidden="1" x14ac:dyDescent="0.25">
      <c r="B76" s="95" t="s">
        <v>45</v>
      </c>
      <c r="C76" s="95" t="s">
        <v>80</v>
      </c>
      <c r="D76" s="95">
        <v>9.5000000000000001E-2</v>
      </c>
      <c r="E76" s="95">
        <v>0.19500000000000001</v>
      </c>
      <c r="F76" s="95">
        <v>0.58699999999999997</v>
      </c>
      <c r="G76" s="95">
        <v>6.3E-2</v>
      </c>
      <c r="H76" s="95">
        <v>0.27</v>
      </c>
      <c r="I76" s="95">
        <v>1799</v>
      </c>
      <c r="J76" s="95">
        <v>0</v>
      </c>
      <c r="K76" s="95">
        <v>0</v>
      </c>
    </row>
    <row r="77" spans="2:11" ht="15" hidden="1" x14ac:dyDescent="0.25">
      <c r="B77" s="95" t="s">
        <v>53</v>
      </c>
      <c r="C77" s="95" t="s">
        <v>80</v>
      </c>
      <c r="D77" s="95">
        <v>0.13700000000000001</v>
      </c>
      <c r="E77" s="95">
        <v>0.23</v>
      </c>
      <c r="F77" s="95">
        <v>0.64300000000000002</v>
      </c>
      <c r="G77" s="95">
        <v>6.4000000000000001E-2</v>
      </c>
      <c r="H77" s="95">
        <v>0.308</v>
      </c>
      <c r="I77" s="95">
        <v>1188</v>
      </c>
      <c r="J77" s="95">
        <v>0</v>
      </c>
      <c r="K77" s="95">
        <v>0</v>
      </c>
    </row>
    <row r="78" spans="2:11" ht="15" hidden="1" x14ac:dyDescent="0.25">
      <c r="B78" s="95" t="s">
        <v>46</v>
      </c>
      <c r="C78" s="95" t="s">
        <v>80</v>
      </c>
      <c r="D78" s="95">
        <v>0.20300000000000001</v>
      </c>
      <c r="E78" s="95">
        <v>0.48699999999999999</v>
      </c>
      <c r="F78" s="95">
        <v>4.3490000000000002</v>
      </c>
      <c r="G78" s="95">
        <v>0.40400000000000003</v>
      </c>
      <c r="H78" s="95">
        <v>0.70099999999999996</v>
      </c>
      <c r="I78" s="95">
        <v>2149</v>
      </c>
      <c r="J78" s="95">
        <v>0</v>
      </c>
      <c r="K78" s="95">
        <v>0</v>
      </c>
    </row>
    <row r="79" spans="2:11" ht="15" hidden="1" x14ac:dyDescent="0.25">
      <c r="B79" s="95" t="s">
        <v>43</v>
      </c>
      <c r="C79" s="95" t="s">
        <v>80</v>
      </c>
      <c r="D79" s="95">
        <v>0.156</v>
      </c>
      <c r="E79" s="95">
        <v>0.66600000000000004</v>
      </c>
      <c r="F79" s="95">
        <v>4.4820000000000002</v>
      </c>
      <c r="G79" s="95">
        <v>0.71399999999999997</v>
      </c>
      <c r="H79" s="95">
        <v>1.7</v>
      </c>
      <c r="I79" s="95">
        <v>1901</v>
      </c>
      <c r="J79" s="95">
        <v>0</v>
      </c>
      <c r="K79" s="95">
        <v>0</v>
      </c>
    </row>
    <row r="80" spans="2:11" ht="15" hidden="1" x14ac:dyDescent="0.25">
      <c r="B80" s="95" t="s">
        <v>44</v>
      </c>
      <c r="C80" s="95" t="s">
        <v>80</v>
      </c>
      <c r="D80" s="95">
        <v>0.28499999999999998</v>
      </c>
      <c r="E80" s="95">
        <v>0.621</v>
      </c>
      <c r="F80" s="95">
        <v>4.58</v>
      </c>
      <c r="G80" s="95">
        <v>0.36699999999999999</v>
      </c>
      <c r="H80" s="95">
        <v>0.90100000000000002</v>
      </c>
      <c r="I80" s="95">
        <v>809</v>
      </c>
      <c r="J80" s="95">
        <v>0</v>
      </c>
      <c r="K80" s="95">
        <v>0</v>
      </c>
    </row>
    <row r="81" spans="2:11" ht="15" hidden="1" x14ac:dyDescent="0.25">
      <c r="B81" s="95" t="s">
        <v>48</v>
      </c>
      <c r="C81" s="95" t="s">
        <v>80</v>
      </c>
      <c r="D81" s="95">
        <v>0.156</v>
      </c>
      <c r="E81" s="95">
        <v>0.91700000000000004</v>
      </c>
      <c r="F81" s="95">
        <v>5.8339999999999996</v>
      </c>
      <c r="G81" s="95">
        <v>0.94699999999999995</v>
      </c>
      <c r="H81" s="95">
        <v>2.4060000000000001</v>
      </c>
      <c r="I81" s="95">
        <v>2639</v>
      </c>
      <c r="J81" s="95">
        <v>0</v>
      </c>
      <c r="K81" s="95">
        <v>0</v>
      </c>
    </row>
    <row r="82" spans="2:11" ht="15" hidden="1" x14ac:dyDescent="0.25">
      <c r="B82" s="95" t="s">
        <v>47</v>
      </c>
      <c r="C82" s="95" t="s">
        <v>80</v>
      </c>
      <c r="D82" s="95">
        <v>0.17</v>
      </c>
      <c r="E82" s="95">
        <v>0.81899999999999995</v>
      </c>
      <c r="F82" s="95">
        <v>4.25</v>
      </c>
      <c r="G82" s="95">
        <v>0.66500000000000004</v>
      </c>
      <c r="H82" s="95">
        <v>1.8</v>
      </c>
      <c r="I82" s="95">
        <v>2639</v>
      </c>
      <c r="J82" s="95">
        <v>0</v>
      </c>
      <c r="K82" s="95">
        <v>0</v>
      </c>
    </row>
    <row r="83" spans="2:11" ht="15" hidden="1" x14ac:dyDescent="0.25">
      <c r="B83" s="95" t="s">
        <v>42</v>
      </c>
      <c r="C83" s="95" t="s">
        <v>80</v>
      </c>
      <c r="D83" s="95">
        <v>0.154</v>
      </c>
      <c r="E83" s="95">
        <v>0.36199999999999999</v>
      </c>
      <c r="F83" s="95">
        <v>4.0519999999999996</v>
      </c>
      <c r="G83" s="95">
        <v>0.33400000000000002</v>
      </c>
      <c r="H83" s="95">
        <v>0.45500000000000002</v>
      </c>
      <c r="I83" s="95">
        <v>2041</v>
      </c>
      <c r="J83" s="95">
        <v>0</v>
      </c>
      <c r="K83" s="95">
        <v>0</v>
      </c>
    </row>
    <row r="84" spans="2:11" ht="15" hidden="1" x14ac:dyDescent="0.25">
      <c r="B84" s="95" t="s">
        <v>174</v>
      </c>
      <c r="C84" s="95" t="s">
        <v>88</v>
      </c>
      <c r="D84" s="95">
        <v>0</v>
      </c>
      <c r="E84" s="95">
        <v>0</v>
      </c>
      <c r="F84" s="95">
        <v>0</v>
      </c>
      <c r="G84" s="95">
        <v>0</v>
      </c>
      <c r="H84" s="95">
        <v>0</v>
      </c>
      <c r="I84" s="95">
        <v>18</v>
      </c>
      <c r="J84" s="95">
        <v>0</v>
      </c>
      <c r="K84" s="95">
        <v>0</v>
      </c>
    </row>
    <row r="85" spans="2:11" ht="15" hidden="1" x14ac:dyDescent="0.25">
      <c r="B85" s="95" t="s">
        <v>175</v>
      </c>
      <c r="C85" s="95" t="s">
        <v>88</v>
      </c>
      <c r="D85" s="95">
        <v>1E-3</v>
      </c>
      <c r="E85" s="95">
        <v>1E-3</v>
      </c>
      <c r="F85" s="95">
        <v>2E-3</v>
      </c>
      <c r="G85" s="95">
        <v>0</v>
      </c>
      <c r="H85" s="95">
        <v>2E-3</v>
      </c>
      <c r="I85" s="95">
        <v>18</v>
      </c>
      <c r="J85" s="95">
        <v>0</v>
      </c>
      <c r="K85" s="95">
        <v>0</v>
      </c>
    </row>
    <row r="86" spans="2:11" hidden="1" x14ac:dyDescent="0.25"/>
    <row r="87" spans="2:11" hidden="1" x14ac:dyDescent="0.25"/>
    <row r="88" spans="2:11" x14ac:dyDescent="0.25">
      <c r="B88" s="138" t="s">
        <v>180</v>
      </c>
      <c r="C88" s="138"/>
      <c r="D88" s="138"/>
      <c r="E88" s="138"/>
      <c r="F88" s="138"/>
      <c r="G88" s="138"/>
      <c r="H88" s="138"/>
      <c r="I88" s="138"/>
      <c r="J88" s="138"/>
      <c r="K88" s="138"/>
    </row>
    <row r="89" spans="2:11" ht="15" x14ac:dyDescent="0.25">
      <c r="B89" s="95" t="s">
        <v>73</v>
      </c>
      <c r="C89" s="95" t="s">
        <v>74</v>
      </c>
      <c r="D89" s="95" t="s">
        <v>75</v>
      </c>
      <c r="E89" s="95" t="s">
        <v>76</v>
      </c>
      <c r="F89" s="95" t="s">
        <v>77</v>
      </c>
      <c r="G89" s="95" t="s">
        <v>78</v>
      </c>
      <c r="H89" s="95" t="s">
        <v>79</v>
      </c>
      <c r="I89" s="95" t="s">
        <v>80</v>
      </c>
      <c r="J89" s="95" t="s">
        <v>81</v>
      </c>
      <c r="K89" s="95" t="s">
        <v>82</v>
      </c>
    </row>
    <row r="90" spans="2:11" ht="15" x14ac:dyDescent="0.25">
      <c r="B90" s="95" t="s">
        <v>37</v>
      </c>
      <c r="C90" s="95" t="s">
        <v>80</v>
      </c>
      <c r="D90" s="95">
        <v>1.901</v>
      </c>
      <c r="E90" s="95">
        <v>2.3340000000000001</v>
      </c>
      <c r="F90" s="95">
        <v>2.9409999999999998</v>
      </c>
      <c r="G90" s="95">
        <v>0.186</v>
      </c>
      <c r="H90" s="95">
        <v>2.5990000000000002</v>
      </c>
      <c r="I90" s="95">
        <v>218</v>
      </c>
      <c r="J90" s="95">
        <v>0</v>
      </c>
      <c r="K90" s="95">
        <v>0</v>
      </c>
    </row>
    <row r="91" spans="2:11" ht="15" x14ac:dyDescent="0.25">
      <c r="B91" s="95" t="s">
        <v>38</v>
      </c>
      <c r="C91" s="95" t="s">
        <v>80</v>
      </c>
      <c r="D91" s="95">
        <v>1.7450000000000001</v>
      </c>
      <c r="E91" s="95">
        <v>2.161</v>
      </c>
      <c r="F91" s="95">
        <v>2.8290000000000002</v>
      </c>
      <c r="G91" s="95">
        <v>0.17</v>
      </c>
      <c r="H91" s="95">
        <v>2.3959999999999999</v>
      </c>
      <c r="I91" s="95">
        <v>540</v>
      </c>
      <c r="J91" s="95">
        <v>0</v>
      </c>
      <c r="K91" s="95">
        <v>0</v>
      </c>
    </row>
    <row r="92" spans="2:11" ht="15" x14ac:dyDescent="0.25">
      <c r="B92" s="95" t="s">
        <v>84</v>
      </c>
      <c r="C92" s="95" t="s">
        <v>80</v>
      </c>
      <c r="D92" s="95">
        <v>1.6910000000000001</v>
      </c>
      <c r="E92" s="95">
        <v>2.069</v>
      </c>
      <c r="F92" s="95">
        <v>2.915</v>
      </c>
      <c r="G92" s="95">
        <v>0.217</v>
      </c>
      <c r="H92" s="95">
        <v>2.3490000000000002</v>
      </c>
      <c r="I92" s="95">
        <v>208</v>
      </c>
      <c r="J92" s="95">
        <v>3</v>
      </c>
      <c r="K92" s="95">
        <v>0</v>
      </c>
    </row>
    <row r="93" spans="2:11" ht="15" x14ac:dyDescent="0.25">
      <c r="B93" s="95" t="s">
        <v>85</v>
      </c>
      <c r="C93" s="95" t="s">
        <v>80</v>
      </c>
      <c r="D93" s="95">
        <v>1.1659999999999999</v>
      </c>
      <c r="E93" s="95">
        <v>1.3759999999999999</v>
      </c>
      <c r="F93" s="95">
        <v>1.8939999999999999</v>
      </c>
      <c r="G93" s="95">
        <v>0.17299999999999999</v>
      </c>
      <c r="H93" s="95">
        <v>1.591</v>
      </c>
      <c r="I93" s="95">
        <v>43</v>
      </c>
      <c r="J93" s="95">
        <v>0</v>
      </c>
      <c r="K93" s="95">
        <v>0</v>
      </c>
    </row>
    <row r="94" spans="2:11" ht="15" x14ac:dyDescent="0.25">
      <c r="B94" s="95" t="s">
        <v>41</v>
      </c>
      <c r="C94" s="95" t="s">
        <v>80</v>
      </c>
      <c r="D94" s="95">
        <v>0.94299999999999995</v>
      </c>
      <c r="E94" s="95">
        <v>1.1319999999999999</v>
      </c>
      <c r="F94" s="95">
        <v>1.7470000000000001</v>
      </c>
      <c r="G94" s="95">
        <v>0.13900000000000001</v>
      </c>
      <c r="H94" s="95">
        <v>1.304</v>
      </c>
      <c r="I94" s="95">
        <v>113</v>
      </c>
      <c r="J94" s="95">
        <v>0</v>
      </c>
      <c r="K94" s="95">
        <v>0</v>
      </c>
    </row>
    <row r="95" spans="2:11" ht="15" x14ac:dyDescent="0.25">
      <c r="B95" s="95" t="s">
        <v>86</v>
      </c>
      <c r="C95" s="95" t="s">
        <v>80</v>
      </c>
      <c r="D95" s="95">
        <v>0.73899999999999999</v>
      </c>
      <c r="E95" s="95">
        <v>0.871</v>
      </c>
      <c r="F95" s="95">
        <v>1.276</v>
      </c>
      <c r="G95" s="95">
        <v>8.8999999999999996E-2</v>
      </c>
      <c r="H95" s="95">
        <v>0.97899999999999998</v>
      </c>
      <c r="I95" s="95">
        <v>180</v>
      </c>
      <c r="J95" s="95">
        <v>0</v>
      </c>
      <c r="K95" s="95">
        <v>0</v>
      </c>
    </row>
    <row r="96" spans="2:11" ht="15" x14ac:dyDescent="0.25">
      <c r="B96" s="95" t="s">
        <v>87</v>
      </c>
      <c r="C96" s="95" t="s">
        <v>88</v>
      </c>
      <c r="D96" s="95">
        <v>0.73899999999999999</v>
      </c>
      <c r="E96" s="95">
        <v>1.8819999999999999</v>
      </c>
      <c r="F96" s="95">
        <v>2.9409999999999998</v>
      </c>
      <c r="G96" s="95">
        <v>0.54700000000000004</v>
      </c>
      <c r="H96" s="95">
        <v>2.407</v>
      </c>
      <c r="I96" s="95">
        <v>1302</v>
      </c>
      <c r="J96" s="95">
        <v>3</v>
      </c>
      <c r="K96" s="95">
        <v>0</v>
      </c>
    </row>
    <row r="97" spans="2:11" ht="15" x14ac:dyDescent="0.25">
      <c r="B97" s="95" t="s">
        <v>51</v>
      </c>
      <c r="C97" s="95" t="s">
        <v>80</v>
      </c>
      <c r="D97" s="95">
        <v>0.158</v>
      </c>
      <c r="E97" s="95">
        <v>0.215</v>
      </c>
      <c r="F97" s="95">
        <v>0.38300000000000001</v>
      </c>
      <c r="G97" s="95">
        <v>3.1E-2</v>
      </c>
      <c r="H97" s="95">
        <v>0.25600000000000001</v>
      </c>
      <c r="I97" s="95">
        <v>758</v>
      </c>
      <c r="J97" s="95">
        <v>0</v>
      </c>
      <c r="K97" s="95">
        <v>0</v>
      </c>
    </row>
    <row r="98" spans="2:11" ht="15" x14ac:dyDescent="0.25">
      <c r="B98" s="95" t="s">
        <v>52</v>
      </c>
      <c r="C98" s="95" t="s">
        <v>80</v>
      </c>
      <c r="D98" s="95">
        <v>0.14799999999999999</v>
      </c>
      <c r="E98" s="95">
        <v>0.36499999999999999</v>
      </c>
      <c r="F98" s="95">
        <v>1.052</v>
      </c>
      <c r="G98" s="95">
        <v>9.1999999999999998E-2</v>
      </c>
      <c r="H98" s="95">
        <v>0.46899999999999997</v>
      </c>
      <c r="I98" s="95">
        <v>209</v>
      </c>
      <c r="J98" s="95">
        <v>3</v>
      </c>
      <c r="K98" s="95">
        <v>0</v>
      </c>
    </row>
    <row r="99" spans="2:11" ht="15" x14ac:dyDescent="0.25">
      <c r="B99" s="95" t="s">
        <v>45</v>
      </c>
      <c r="C99" s="95" t="s">
        <v>80</v>
      </c>
      <c r="D99" s="95">
        <v>0.11799999999999999</v>
      </c>
      <c r="E99" s="95">
        <v>0.18</v>
      </c>
      <c r="F99" s="95">
        <v>0.374</v>
      </c>
      <c r="G99" s="95">
        <v>0.04</v>
      </c>
      <c r="H99" s="95">
        <v>0.23300000000000001</v>
      </c>
      <c r="I99" s="95">
        <v>870</v>
      </c>
      <c r="J99" s="95">
        <v>0</v>
      </c>
      <c r="K99" s="95">
        <v>0</v>
      </c>
    </row>
    <row r="100" spans="2:11" ht="15" x14ac:dyDescent="0.25">
      <c r="B100" s="95" t="s">
        <v>53</v>
      </c>
      <c r="C100" s="95" t="s">
        <v>80</v>
      </c>
      <c r="D100" s="95">
        <v>0.13500000000000001</v>
      </c>
      <c r="E100" s="95">
        <v>0.20699999999999999</v>
      </c>
      <c r="F100" s="95">
        <v>0.42499999999999999</v>
      </c>
      <c r="G100" s="95">
        <v>2.8000000000000001E-2</v>
      </c>
      <c r="H100" s="95">
        <v>0.23899999999999999</v>
      </c>
      <c r="I100" s="95">
        <v>540</v>
      </c>
      <c r="J100" s="95">
        <v>0</v>
      </c>
      <c r="K100" s="95">
        <v>0</v>
      </c>
    </row>
    <row r="101" spans="2:11" ht="15" x14ac:dyDescent="0.25">
      <c r="B101" s="95" t="s">
        <v>46</v>
      </c>
      <c r="C101" s="95" t="s">
        <v>80</v>
      </c>
      <c r="D101" s="95">
        <v>0.23</v>
      </c>
      <c r="E101" s="95">
        <v>0.35199999999999998</v>
      </c>
      <c r="F101" s="95">
        <v>0.95399999999999996</v>
      </c>
      <c r="G101" s="95">
        <v>6.8000000000000005E-2</v>
      </c>
      <c r="H101" s="95">
        <v>0.441</v>
      </c>
      <c r="I101" s="95">
        <v>1082</v>
      </c>
      <c r="J101" s="95">
        <v>0</v>
      </c>
      <c r="K101" s="95">
        <v>0</v>
      </c>
    </row>
    <row r="102" spans="2:11" ht="15" x14ac:dyDescent="0.25">
      <c r="B102" s="95" t="s">
        <v>43</v>
      </c>
      <c r="C102" s="95" t="s">
        <v>80</v>
      </c>
      <c r="D102" s="95">
        <v>0.18</v>
      </c>
      <c r="E102" s="95">
        <v>0.29499999999999998</v>
      </c>
      <c r="F102" s="95">
        <v>0.83499999999999996</v>
      </c>
      <c r="G102" s="95">
        <v>6.2E-2</v>
      </c>
      <c r="H102" s="95">
        <v>0.38600000000000001</v>
      </c>
      <c r="I102" s="95">
        <v>970</v>
      </c>
      <c r="J102" s="95">
        <v>0</v>
      </c>
      <c r="K102" s="95">
        <v>0</v>
      </c>
    </row>
    <row r="103" spans="2:11" ht="15" x14ac:dyDescent="0.25">
      <c r="B103" s="95" t="s">
        <v>44</v>
      </c>
      <c r="C103" s="95" t="s">
        <v>80</v>
      </c>
      <c r="D103" s="95">
        <v>0.28999999999999998</v>
      </c>
      <c r="E103" s="95">
        <v>0.47199999999999998</v>
      </c>
      <c r="F103" s="95">
        <v>0.95199999999999996</v>
      </c>
      <c r="G103" s="95">
        <v>9.1999999999999998E-2</v>
      </c>
      <c r="H103" s="95">
        <v>0.57899999999999996</v>
      </c>
      <c r="I103" s="95">
        <v>473</v>
      </c>
      <c r="J103" s="95">
        <v>0</v>
      </c>
      <c r="K103" s="95">
        <v>0</v>
      </c>
    </row>
    <row r="104" spans="2:11" ht="15" x14ac:dyDescent="0.25">
      <c r="B104" s="95" t="s">
        <v>48</v>
      </c>
      <c r="C104" s="95" t="s">
        <v>80</v>
      </c>
      <c r="D104" s="95">
        <v>0.19700000000000001</v>
      </c>
      <c r="E104" s="95">
        <v>0.27700000000000002</v>
      </c>
      <c r="F104" s="95">
        <v>0.65</v>
      </c>
      <c r="G104" s="95">
        <v>4.8000000000000001E-2</v>
      </c>
      <c r="H104" s="95">
        <v>0.33600000000000002</v>
      </c>
      <c r="I104" s="95">
        <v>1305</v>
      </c>
      <c r="J104" s="95">
        <v>0</v>
      </c>
      <c r="K104" s="95">
        <v>0</v>
      </c>
    </row>
    <row r="105" spans="2:11" ht="15" x14ac:dyDescent="0.25">
      <c r="B105" s="95" t="s">
        <v>47</v>
      </c>
      <c r="C105" s="95" t="s">
        <v>80</v>
      </c>
      <c r="D105" s="95">
        <v>0.20499999999999999</v>
      </c>
      <c r="E105" s="95">
        <v>0.32400000000000001</v>
      </c>
      <c r="F105" s="95">
        <v>0.79600000000000004</v>
      </c>
      <c r="G105" s="95">
        <v>6.4000000000000001E-2</v>
      </c>
      <c r="H105" s="95">
        <v>0.41399999999999998</v>
      </c>
      <c r="I105" s="95">
        <v>1305</v>
      </c>
      <c r="J105" s="95">
        <v>0</v>
      </c>
      <c r="K105" s="95">
        <v>0</v>
      </c>
    </row>
    <row r="106" spans="2:11" ht="15" x14ac:dyDescent="0.25">
      <c r="B106" s="95" t="s">
        <v>42</v>
      </c>
      <c r="C106" s="95" t="s">
        <v>80</v>
      </c>
      <c r="D106" s="95">
        <v>0.185</v>
      </c>
      <c r="E106" s="95">
        <v>0.27700000000000002</v>
      </c>
      <c r="F106" s="95">
        <v>0.51600000000000001</v>
      </c>
      <c r="G106" s="95">
        <v>5.1999999999999998E-2</v>
      </c>
      <c r="H106" s="95">
        <v>0.35</v>
      </c>
      <c r="I106" s="95">
        <v>981</v>
      </c>
      <c r="J106" s="95">
        <v>0</v>
      </c>
      <c r="K106" s="95">
        <v>0</v>
      </c>
    </row>
  </sheetData>
  <mergeCells count="24">
    <mergeCell ref="A15:C15"/>
    <mergeCell ref="A17:A18"/>
    <mergeCell ref="B17:B18"/>
    <mergeCell ref="C17:C18"/>
    <mergeCell ref="D17:E17"/>
    <mergeCell ref="A1:I1"/>
    <mergeCell ref="A3:A4"/>
    <mergeCell ref="B3:B4"/>
    <mergeCell ref="C3:C4"/>
    <mergeCell ref="D3:E3"/>
    <mergeCell ref="F3:G3"/>
    <mergeCell ref="H3:I3"/>
    <mergeCell ref="B88:K88"/>
    <mergeCell ref="H17:I17"/>
    <mergeCell ref="H18:I18"/>
    <mergeCell ref="H19:I19"/>
    <mergeCell ref="H20:I20"/>
    <mergeCell ref="H21:I21"/>
    <mergeCell ref="H22:I22"/>
    <mergeCell ref="B46:K46"/>
    <mergeCell ref="B65:K65"/>
    <mergeCell ref="A25:C25"/>
    <mergeCell ref="B27:K27"/>
    <mergeCell ref="F17:F18"/>
  </mergeCells>
  <pageMargins left="0.7" right="0.7" top="0.75" bottom="0.75" header="0.3" footer="0.3"/>
  <pageSetup paperSize="9"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Расчетная таблица</vt:lpstr>
      <vt:lpstr>Транзакции в профилях</vt:lpstr>
      <vt:lpstr>Итог Confirm Param</vt:lpstr>
      <vt:lpstr>Итог MaxLoad_2step</vt:lpstr>
      <vt:lpstr>Итог PeakLoad_3step</vt:lpstr>
      <vt:lpstr>Итог Stable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SusPecT</dc:creator>
  <cp:lastModifiedBy>SusPecT</cp:lastModifiedBy>
  <cp:lastPrinted>2020-07-24T13:31:43Z</cp:lastPrinted>
  <dcterms:created xsi:type="dcterms:W3CDTF">2020-07-12T11:01:20Z</dcterms:created>
  <dcterms:modified xsi:type="dcterms:W3CDTF">2020-08-02T18:08:38Z</dcterms:modified>
</cp:coreProperties>
</file>