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aw_tools\gyf_sc22\"/>
    </mc:Choice>
  </mc:AlternateContent>
  <xr:revisionPtr revIDLastSave="0" documentId="13_ncr:1_{A4D4093E-5D35-4F6A-A229-8261F6FFF798}" xr6:coauthVersionLast="47" xr6:coauthVersionMax="47" xr10:uidLastSave="{00000000-0000-0000-0000-000000000000}"/>
  <bookViews>
    <workbookView xWindow="360" yWindow="345" windowWidth="19185" windowHeight="10200" xr2:uid="{3FE0A4A0-E709-4DF0-8F8B-DDC54A7074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92" i="1"/>
  <c r="D92" i="1"/>
  <c r="C92" i="1"/>
  <c r="B92" i="1"/>
  <c r="B91" i="1"/>
  <c r="B90" i="1"/>
  <c r="B89" i="1"/>
  <c r="G89" i="1"/>
  <c r="F89" i="1"/>
  <c r="E89" i="1"/>
  <c r="D89" i="1"/>
  <c r="C89" i="1"/>
  <c r="V13" i="1"/>
  <c r="U43" i="1" s="1"/>
  <c r="H85" i="1" s="1"/>
  <c r="V12" i="1"/>
  <c r="T42" i="1" s="1"/>
  <c r="H71" i="1" s="1"/>
  <c r="T57" i="1" s="1"/>
  <c r="V11" i="1"/>
  <c r="V10" i="1"/>
  <c r="U40" i="1" s="1"/>
  <c r="H82" i="1" s="1"/>
  <c r="V9" i="1"/>
  <c r="U39" i="1" s="1"/>
  <c r="H81" i="1" s="1"/>
  <c r="V8" i="1"/>
  <c r="T38" i="1" s="1"/>
  <c r="H67" i="1" s="1"/>
  <c r="T53" i="1" s="1"/>
  <c r="V7" i="1"/>
  <c r="T37" i="1" s="1"/>
  <c r="H66" i="1" s="1"/>
  <c r="T52" i="1" s="1"/>
  <c r="V6" i="1"/>
  <c r="U36" i="1" s="1"/>
  <c r="V5" i="1"/>
  <c r="T35" i="1" s="1"/>
  <c r="V4" i="1"/>
  <c r="T41" i="1"/>
  <c r="H70" i="1" s="1"/>
  <c r="T56" i="1" s="1"/>
  <c r="U41" i="1"/>
  <c r="U56" i="1" s="1"/>
  <c r="Y5" i="1"/>
  <c r="X35" i="1" s="1"/>
  <c r="Y6" i="1"/>
  <c r="W36" i="1" s="1"/>
  <c r="I65" i="1" s="1"/>
  <c r="W51" i="1" s="1"/>
  <c r="Y7" i="1"/>
  <c r="W37" i="1" s="1"/>
  <c r="I66" i="1" s="1"/>
  <c r="W52" i="1" s="1"/>
  <c r="Y8" i="1"/>
  <c r="W38" i="1" s="1"/>
  <c r="I67" i="1" s="1"/>
  <c r="W53" i="1" s="1"/>
  <c r="Y9" i="1"/>
  <c r="X39" i="1" s="1"/>
  <c r="Y10" i="1"/>
  <c r="W40" i="1" s="1"/>
  <c r="I69" i="1" s="1"/>
  <c r="W55" i="1" s="1"/>
  <c r="Y11" i="1"/>
  <c r="W41" i="1" s="1"/>
  <c r="Y12" i="1"/>
  <c r="W42" i="1" s="1"/>
  <c r="Y13" i="1"/>
  <c r="X43" i="1" s="1"/>
  <c r="Y4" i="1"/>
  <c r="X34" i="1" s="1"/>
  <c r="M20" i="1"/>
  <c r="U38" i="1" l="1"/>
  <c r="U53" i="1" s="1"/>
  <c r="W43" i="1"/>
  <c r="I72" i="1" s="1"/>
  <c r="W58" i="1" s="1"/>
  <c r="T36" i="1"/>
  <c r="H65" i="1" s="1"/>
  <c r="T51" i="1" s="1"/>
  <c r="U55" i="1"/>
  <c r="W35" i="1"/>
  <c r="I64" i="1" s="1"/>
  <c r="W50" i="1" s="1"/>
  <c r="W34" i="1"/>
  <c r="I63" i="1" s="1"/>
  <c r="W49" i="1" s="1"/>
  <c r="X36" i="1"/>
  <c r="X51" i="1" s="1"/>
  <c r="Y51" i="1" s="1"/>
  <c r="X42" i="1"/>
  <c r="X41" i="1"/>
  <c r="X56" i="1" s="1"/>
  <c r="X40" i="1"/>
  <c r="X55" i="1" s="1"/>
  <c r="Y55" i="1" s="1"/>
  <c r="U35" i="1"/>
  <c r="H77" i="1" s="1"/>
  <c r="U58" i="1"/>
  <c r="I77" i="1"/>
  <c r="X50" i="1"/>
  <c r="I70" i="1"/>
  <c r="W56" i="1" s="1"/>
  <c r="I81" i="1"/>
  <c r="X54" i="1"/>
  <c r="X58" i="1"/>
  <c r="Y58" i="1" s="1"/>
  <c r="I85" i="1"/>
  <c r="H64" i="1"/>
  <c r="T50" i="1" s="1"/>
  <c r="H78" i="1"/>
  <c r="U51" i="1"/>
  <c r="V51" i="1" s="1"/>
  <c r="I76" i="1"/>
  <c r="X49" i="1"/>
  <c r="I71" i="1"/>
  <c r="W57" i="1" s="1"/>
  <c r="V56" i="1"/>
  <c r="V53" i="1"/>
  <c r="U54" i="1"/>
  <c r="H83" i="1"/>
  <c r="W39" i="1"/>
  <c r="I68" i="1" s="1"/>
  <c r="W54" i="1" s="1"/>
  <c r="X38" i="1"/>
  <c r="X37" i="1"/>
  <c r="Y37" i="1" s="1"/>
  <c r="T40" i="1"/>
  <c r="H69" i="1" s="1"/>
  <c r="T55" i="1" s="1"/>
  <c r="T39" i="1"/>
  <c r="H68" i="1" s="1"/>
  <c r="T54" i="1" s="1"/>
  <c r="I82" i="1"/>
  <c r="Y34" i="1"/>
  <c r="Y40" i="1"/>
  <c r="Y43" i="1"/>
  <c r="V36" i="1"/>
  <c r="V41" i="1"/>
  <c r="T43" i="1"/>
  <c r="U42" i="1"/>
  <c r="V38" i="1"/>
  <c r="U37" i="1"/>
  <c r="T34" i="1"/>
  <c r="H63" i="1" s="1"/>
  <c r="T49" i="1" s="1"/>
  <c r="U34" i="1"/>
  <c r="D22" i="1"/>
  <c r="C22" i="1"/>
  <c r="B22" i="1"/>
  <c r="D21" i="1"/>
  <c r="B21" i="1"/>
  <c r="C21" i="1"/>
  <c r="S7" i="1"/>
  <c r="P7" i="1"/>
  <c r="M7" i="1"/>
  <c r="J7" i="1"/>
  <c r="G7" i="1"/>
  <c r="D7" i="1"/>
  <c r="S6" i="1"/>
  <c r="P6" i="1"/>
  <c r="M6" i="1"/>
  <c r="J6" i="1"/>
  <c r="G6" i="1"/>
  <c r="D6" i="1"/>
  <c r="S5" i="1"/>
  <c r="P5" i="1"/>
  <c r="M5" i="1"/>
  <c r="J5" i="1"/>
  <c r="G5" i="1"/>
  <c r="D5" i="1"/>
  <c r="D19" i="1"/>
  <c r="C19" i="1"/>
  <c r="B19" i="1"/>
  <c r="D20" i="1"/>
  <c r="C20" i="1"/>
  <c r="B20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S21" i="1"/>
  <c r="R21" i="1"/>
  <c r="Q21" i="1"/>
  <c r="P21" i="1"/>
  <c r="O21" i="1"/>
  <c r="N21" i="1"/>
  <c r="M21" i="1"/>
  <c r="L21" i="1"/>
  <c r="K21" i="1"/>
  <c r="H21" i="1"/>
  <c r="I21" i="1"/>
  <c r="J21" i="1"/>
  <c r="G21" i="1"/>
  <c r="F21" i="1"/>
  <c r="S20" i="1"/>
  <c r="R20" i="1"/>
  <c r="Q20" i="1"/>
  <c r="P20" i="1"/>
  <c r="O20" i="1"/>
  <c r="N20" i="1"/>
  <c r="L20" i="1"/>
  <c r="K20" i="1"/>
  <c r="J20" i="1"/>
  <c r="I20" i="1"/>
  <c r="H20" i="1"/>
  <c r="G20" i="1"/>
  <c r="F20" i="1"/>
  <c r="S19" i="1"/>
  <c r="R19" i="1"/>
  <c r="Q19" i="1"/>
  <c r="P19" i="1"/>
  <c r="O19" i="1"/>
  <c r="N19" i="1"/>
  <c r="M19" i="1"/>
  <c r="L19" i="1"/>
  <c r="K19" i="1"/>
  <c r="J19" i="1"/>
  <c r="I19" i="1"/>
  <c r="H19" i="1"/>
  <c r="S4" i="1"/>
  <c r="P4" i="1"/>
  <c r="M4" i="1"/>
  <c r="J4" i="1"/>
  <c r="G4" i="1"/>
  <c r="G19" i="1"/>
  <c r="F19" i="1"/>
  <c r="D4" i="1"/>
  <c r="C28" i="1"/>
  <c r="B28" i="1"/>
  <c r="D28" i="1"/>
  <c r="D27" i="1"/>
  <c r="C27" i="1"/>
  <c r="B27" i="1"/>
  <c r="D26" i="1"/>
  <c r="C26" i="1"/>
  <c r="B26" i="1"/>
  <c r="D25" i="1"/>
  <c r="C25" i="1"/>
  <c r="B25" i="1"/>
  <c r="S28" i="1"/>
  <c r="R28" i="1"/>
  <c r="Q28" i="1"/>
  <c r="S27" i="1"/>
  <c r="R27" i="1"/>
  <c r="Q27" i="1"/>
  <c r="S26" i="1"/>
  <c r="R26" i="1"/>
  <c r="Q26" i="1"/>
  <c r="S25" i="1"/>
  <c r="R25" i="1"/>
  <c r="S9" i="1"/>
  <c r="S10" i="1"/>
  <c r="S11" i="1"/>
  <c r="S12" i="1"/>
  <c r="S13" i="1"/>
  <c r="S8" i="1"/>
  <c r="Q25" i="1"/>
  <c r="S24" i="1"/>
  <c r="R24" i="1"/>
  <c r="Q24" i="1"/>
  <c r="S23" i="1"/>
  <c r="R23" i="1"/>
  <c r="Q23" i="1"/>
  <c r="D24" i="1"/>
  <c r="C24" i="1"/>
  <c r="B24" i="1"/>
  <c r="D23" i="1"/>
  <c r="C23" i="1"/>
  <c r="B23" i="1"/>
  <c r="P9" i="1"/>
  <c r="P10" i="1"/>
  <c r="P11" i="1"/>
  <c r="P12" i="1"/>
  <c r="P13" i="1"/>
  <c r="P8" i="1"/>
  <c r="O23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N23" i="1"/>
  <c r="K23" i="1"/>
  <c r="M9" i="1"/>
  <c r="M10" i="1"/>
  <c r="M11" i="1"/>
  <c r="M12" i="1"/>
  <c r="M13" i="1"/>
  <c r="M8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J24" i="1"/>
  <c r="J28" i="1"/>
  <c r="I28" i="1"/>
  <c r="H28" i="1"/>
  <c r="J27" i="1"/>
  <c r="I27" i="1"/>
  <c r="H27" i="1"/>
  <c r="J26" i="1"/>
  <c r="I26" i="1"/>
  <c r="H26" i="1"/>
  <c r="J25" i="1"/>
  <c r="I25" i="1"/>
  <c r="H25" i="1"/>
  <c r="I24" i="1"/>
  <c r="H24" i="1"/>
  <c r="J23" i="1"/>
  <c r="I23" i="1"/>
  <c r="H23" i="1"/>
  <c r="G9" i="1"/>
  <c r="J9" i="1"/>
  <c r="G10" i="1"/>
  <c r="J10" i="1"/>
  <c r="G11" i="1"/>
  <c r="J11" i="1"/>
  <c r="G12" i="1"/>
  <c r="J12" i="1"/>
  <c r="G13" i="1"/>
  <c r="J13" i="1"/>
  <c r="G28" i="1"/>
  <c r="F28" i="1"/>
  <c r="G27" i="1"/>
  <c r="F27" i="1"/>
  <c r="G26" i="1"/>
  <c r="F26" i="1"/>
  <c r="G25" i="1"/>
  <c r="F25" i="1"/>
  <c r="G24" i="1"/>
  <c r="F24" i="1"/>
  <c r="D10" i="1"/>
  <c r="D11" i="1"/>
  <c r="D12" i="1"/>
  <c r="D13" i="1"/>
  <c r="D9" i="1"/>
  <c r="G23" i="1"/>
  <c r="F23" i="1"/>
  <c r="J8" i="1"/>
  <c r="G8" i="1"/>
  <c r="D8" i="1"/>
  <c r="V55" i="1" l="1"/>
  <c r="Y49" i="1"/>
  <c r="H80" i="1"/>
  <c r="V40" i="1"/>
  <c r="V39" i="1"/>
  <c r="Y50" i="1"/>
  <c r="Q39" i="1"/>
  <c r="G68" i="1" s="1"/>
  <c r="Q54" i="1" s="1"/>
  <c r="U50" i="1"/>
  <c r="V50" i="1" s="1"/>
  <c r="Y41" i="1"/>
  <c r="Y56" i="1"/>
  <c r="L40" i="1"/>
  <c r="F82" i="1" s="1"/>
  <c r="Y36" i="1"/>
  <c r="Q43" i="1"/>
  <c r="G72" i="1" s="1"/>
  <c r="Q58" i="1" s="1"/>
  <c r="V35" i="1"/>
  <c r="I84" i="1"/>
  <c r="X57" i="1"/>
  <c r="Y57" i="1" s="1"/>
  <c r="R39" i="1"/>
  <c r="G81" i="1" s="1"/>
  <c r="I78" i="1"/>
  <c r="Y42" i="1"/>
  <c r="N37" i="1"/>
  <c r="B66" i="1" s="1"/>
  <c r="N52" i="1" s="1"/>
  <c r="L35" i="1"/>
  <c r="F77" i="1" s="1"/>
  <c r="Y35" i="1"/>
  <c r="I83" i="1"/>
  <c r="I80" i="1"/>
  <c r="X53" i="1"/>
  <c r="Y53" i="1" s="1"/>
  <c r="K42" i="1"/>
  <c r="V37" i="1"/>
  <c r="U52" i="1"/>
  <c r="V52" i="1" s="1"/>
  <c r="H79" i="1"/>
  <c r="R42" i="1"/>
  <c r="G84" i="1" s="1"/>
  <c r="V43" i="1"/>
  <c r="H72" i="1"/>
  <c r="T58" i="1" s="1"/>
  <c r="V58" i="1" s="1"/>
  <c r="R43" i="1"/>
  <c r="G85" i="1" s="1"/>
  <c r="K39" i="1"/>
  <c r="F68" i="1" s="1"/>
  <c r="E54" i="1" s="1"/>
  <c r="Q38" i="1"/>
  <c r="G67" i="1" s="1"/>
  <c r="Q53" i="1" s="1"/>
  <c r="R40" i="1"/>
  <c r="G82" i="1" s="1"/>
  <c r="Y38" i="1"/>
  <c r="V54" i="1"/>
  <c r="X52" i="1"/>
  <c r="Y52" i="1" s="1"/>
  <c r="I79" i="1"/>
  <c r="U49" i="1"/>
  <c r="V49" i="1" s="1"/>
  <c r="H76" i="1"/>
  <c r="L42" i="1"/>
  <c r="F84" i="1" s="1"/>
  <c r="Y54" i="1"/>
  <c r="N38" i="1"/>
  <c r="B67" i="1" s="1"/>
  <c r="N53" i="1" s="1"/>
  <c r="Q42" i="1"/>
  <c r="G71" i="1" s="1"/>
  <c r="Q57" i="1" s="1"/>
  <c r="Q34" i="1"/>
  <c r="G63" i="1" s="1"/>
  <c r="Q49" i="1" s="1"/>
  <c r="K35" i="1"/>
  <c r="V42" i="1"/>
  <c r="H84" i="1"/>
  <c r="U57" i="1"/>
  <c r="V57" i="1" s="1"/>
  <c r="Y39" i="1"/>
  <c r="V34" i="1"/>
  <c r="N43" i="1"/>
  <c r="B72" i="1" s="1"/>
  <c r="N58" i="1" s="1"/>
  <c r="R38" i="1"/>
  <c r="G80" i="1" s="1"/>
  <c r="R34" i="1"/>
  <c r="G76" i="1" s="1"/>
  <c r="R41" i="1"/>
  <c r="G83" i="1" s="1"/>
  <c r="O40" i="1"/>
  <c r="B82" i="1" s="1"/>
  <c r="O38" i="1"/>
  <c r="B80" i="1" s="1"/>
  <c r="Q41" i="1"/>
  <c r="L39" i="1"/>
  <c r="F81" i="1" s="1"/>
  <c r="K40" i="1"/>
  <c r="F69" i="1" s="1"/>
  <c r="Q40" i="1"/>
  <c r="O39" i="1"/>
  <c r="O54" i="1" s="1"/>
  <c r="L37" i="1"/>
  <c r="F79" i="1" s="1"/>
  <c r="K41" i="1"/>
  <c r="F70" i="1" s="1"/>
  <c r="E56" i="1" s="1"/>
  <c r="O37" i="1"/>
  <c r="B79" i="1" s="1"/>
  <c r="N36" i="1"/>
  <c r="B65" i="1" s="1"/>
  <c r="N51" i="1" s="1"/>
  <c r="N34" i="1"/>
  <c r="O34" i="1"/>
  <c r="O36" i="1"/>
  <c r="O35" i="1"/>
  <c r="N35" i="1"/>
  <c r="B64" i="1" s="1"/>
  <c r="N50" i="1" s="1"/>
  <c r="Q37" i="1"/>
  <c r="G66" i="1" s="1"/>
  <c r="Q52" i="1" s="1"/>
  <c r="K37" i="1"/>
  <c r="Q36" i="1"/>
  <c r="G65" i="1" s="1"/>
  <c r="Q51" i="1" s="1"/>
  <c r="K36" i="1"/>
  <c r="F65" i="1" s="1"/>
  <c r="L36" i="1"/>
  <c r="R35" i="1"/>
  <c r="Q35" i="1"/>
  <c r="K34" i="1"/>
  <c r="F63" i="1" s="1"/>
  <c r="K49" i="1" s="1"/>
  <c r="L34" i="1"/>
  <c r="F76" i="1" s="1"/>
  <c r="R36" i="1"/>
  <c r="R37" i="1"/>
  <c r="N41" i="1"/>
  <c r="B70" i="1" s="1"/>
  <c r="N56" i="1" s="1"/>
  <c r="O41" i="1"/>
  <c r="B83" i="1" s="1"/>
  <c r="O43" i="1"/>
  <c r="B85" i="1" s="1"/>
  <c r="O42" i="1"/>
  <c r="B84" i="1" s="1"/>
  <c r="N42" i="1"/>
  <c r="B71" i="1" s="1"/>
  <c r="N57" i="1" s="1"/>
  <c r="N40" i="1"/>
  <c r="N39" i="1"/>
  <c r="B68" i="1" s="1"/>
  <c r="N54" i="1" s="1"/>
  <c r="L43" i="1"/>
  <c r="K43" i="1"/>
  <c r="L41" i="1"/>
  <c r="F83" i="1" s="1"/>
  <c r="K38" i="1"/>
  <c r="F67" i="1" s="1"/>
  <c r="K53" i="1" s="1"/>
  <c r="L38" i="1"/>
  <c r="B42" i="1"/>
  <c r="B43" i="1"/>
  <c r="C43" i="1"/>
  <c r="E43" i="1"/>
  <c r="D72" i="1" s="1"/>
  <c r="F43" i="1"/>
  <c r="D85" i="1" s="1"/>
  <c r="H43" i="1"/>
  <c r="E72" i="1" s="1"/>
  <c r="H58" i="1" s="1"/>
  <c r="I43" i="1"/>
  <c r="E85" i="1" s="1"/>
  <c r="B41" i="1"/>
  <c r="C70" i="1" s="1"/>
  <c r="B56" i="1" s="1"/>
  <c r="C42" i="1"/>
  <c r="C84" i="1" s="1"/>
  <c r="E42" i="1"/>
  <c r="D71" i="1" s="1"/>
  <c r="F42" i="1"/>
  <c r="H42" i="1"/>
  <c r="I42" i="1"/>
  <c r="E84" i="1" s="1"/>
  <c r="C41" i="1"/>
  <c r="E41" i="1"/>
  <c r="F41" i="1"/>
  <c r="D83" i="1" s="1"/>
  <c r="H41" i="1"/>
  <c r="I41" i="1"/>
  <c r="E83" i="1" s="1"/>
  <c r="B40" i="1"/>
  <c r="C40" i="1"/>
  <c r="E40" i="1"/>
  <c r="D69" i="1" s="1"/>
  <c r="F40" i="1"/>
  <c r="F55" i="1" s="1"/>
  <c r="H40" i="1"/>
  <c r="E69" i="1" s="1"/>
  <c r="H55" i="1" s="1"/>
  <c r="I40" i="1"/>
  <c r="E82" i="1" s="1"/>
  <c r="B39" i="1"/>
  <c r="C39" i="1"/>
  <c r="C81" i="1" s="1"/>
  <c r="E39" i="1"/>
  <c r="F39" i="1"/>
  <c r="D81" i="1" s="1"/>
  <c r="H39" i="1"/>
  <c r="I39" i="1"/>
  <c r="E81" i="1" s="1"/>
  <c r="B38" i="1"/>
  <c r="C67" i="1" s="1"/>
  <c r="B53" i="1" s="1"/>
  <c r="C38" i="1"/>
  <c r="C80" i="1" s="1"/>
  <c r="E38" i="1"/>
  <c r="F38" i="1"/>
  <c r="D80" i="1" s="1"/>
  <c r="H38" i="1"/>
  <c r="I38" i="1"/>
  <c r="E80" i="1" s="1"/>
  <c r="B37" i="1"/>
  <c r="C66" i="1" s="1"/>
  <c r="B52" i="1" s="1"/>
  <c r="C37" i="1"/>
  <c r="E37" i="1"/>
  <c r="D66" i="1" s="1"/>
  <c r="F37" i="1"/>
  <c r="F52" i="1" s="1"/>
  <c r="H37" i="1"/>
  <c r="E66" i="1" s="1"/>
  <c r="H52" i="1" s="1"/>
  <c r="I37" i="1"/>
  <c r="I36" i="1"/>
  <c r="H36" i="1"/>
  <c r="E65" i="1" s="1"/>
  <c r="H51" i="1" s="1"/>
  <c r="F36" i="1"/>
  <c r="F51" i="1" s="1"/>
  <c r="E36" i="1"/>
  <c r="D65" i="1" s="1"/>
  <c r="C36" i="1"/>
  <c r="B36" i="1"/>
  <c r="I35" i="1"/>
  <c r="H35" i="1"/>
  <c r="E64" i="1" s="1"/>
  <c r="H50" i="1" s="1"/>
  <c r="F35" i="1"/>
  <c r="E35" i="1"/>
  <c r="C35" i="1"/>
  <c r="B35" i="1"/>
  <c r="B34" i="1"/>
  <c r="C63" i="1" s="1"/>
  <c r="B49" i="1" s="1"/>
  <c r="I34" i="1"/>
  <c r="H34" i="1"/>
  <c r="F34" i="1"/>
  <c r="D76" i="1" s="1"/>
  <c r="E34" i="1"/>
  <c r="C34" i="1"/>
  <c r="C76" i="1" s="1"/>
  <c r="B81" i="1" l="1"/>
  <c r="M40" i="1"/>
  <c r="L55" i="1"/>
  <c r="L57" i="1"/>
  <c r="L50" i="1"/>
  <c r="M35" i="1"/>
  <c r="R55" i="1"/>
  <c r="M42" i="1"/>
  <c r="S42" i="1"/>
  <c r="R54" i="1"/>
  <c r="S54" i="1" s="1"/>
  <c r="F71" i="1"/>
  <c r="E57" i="1" s="1"/>
  <c r="S39" i="1"/>
  <c r="M39" i="1"/>
  <c r="L54" i="1"/>
  <c r="K54" i="1"/>
  <c r="O56" i="1"/>
  <c r="P56" i="1" s="1"/>
  <c r="P54" i="1"/>
  <c r="M41" i="1"/>
  <c r="S43" i="1"/>
  <c r="F64" i="1"/>
  <c r="K50" i="1" s="1"/>
  <c r="R58" i="1"/>
  <c r="S58" i="1" s="1"/>
  <c r="F56" i="1"/>
  <c r="G56" i="1" s="1"/>
  <c r="I57" i="1"/>
  <c r="O53" i="1"/>
  <c r="P53" i="1" s="1"/>
  <c r="P38" i="1"/>
  <c r="S34" i="1"/>
  <c r="S38" i="1"/>
  <c r="O57" i="1"/>
  <c r="P57" i="1" s="1"/>
  <c r="R57" i="1"/>
  <c r="S57" i="1" s="1"/>
  <c r="K55" i="1"/>
  <c r="E55" i="1"/>
  <c r="G55" i="1" s="1"/>
  <c r="K56" i="1"/>
  <c r="F53" i="1"/>
  <c r="I56" i="1"/>
  <c r="C53" i="1"/>
  <c r="D53" i="1" s="1"/>
  <c r="E76" i="1"/>
  <c r="I49" i="1"/>
  <c r="C82" i="1"/>
  <c r="C55" i="1"/>
  <c r="F85" i="1"/>
  <c r="L58" i="1"/>
  <c r="D84" i="1"/>
  <c r="F57" i="1"/>
  <c r="G57" i="1" s="1"/>
  <c r="C85" i="1"/>
  <c r="C58" i="1"/>
  <c r="R56" i="1"/>
  <c r="I58" i="1"/>
  <c r="J58" i="1" s="1"/>
  <c r="C54" i="1"/>
  <c r="P40" i="1"/>
  <c r="O55" i="1"/>
  <c r="R49" i="1"/>
  <c r="S49" i="1" s="1"/>
  <c r="C49" i="1"/>
  <c r="D49" i="1" s="1"/>
  <c r="I54" i="1"/>
  <c r="F80" i="1"/>
  <c r="L53" i="1"/>
  <c r="M53" i="1" s="1"/>
  <c r="G69" i="1"/>
  <c r="Q55" i="1" s="1"/>
  <c r="S40" i="1"/>
  <c r="E53" i="1"/>
  <c r="F49" i="1"/>
  <c r="M37" i="1"/>
  <c r="O58" i="1"/>
  <c r="P58" i="1" s="1"/>
  <c r="L52" i="1"/>
  <c r="C83" i="1"/>
  <c r="C56" i="1"/>
  <c r="D56" i="1" s="1"/>
  <c r="L49" i="1"/>
  <c r="M49" i="1" s="1"/>
  <c r="R53" i="1"/>
  <c r="S53" i="1" s="1"/>
  <c r="F54" i="1"/>
  <c r="G54" i="1" s="1"/>
  <c r="G70" i="1"/>
  <c r="Q56" i="1" s="1"/>
  <c r="S41" i="1"/>
  <c r="I55" i="1"/>
  <c r="J55" i="1" s="1"/>
  <c r="I53" i="1"/>
  <c r="F58" i="1"/>
  <c r="L56" i="1"/>
  <c r="C57" i="1"/>
  <c r="O52" i="1"/>
  <c r="P52" i="1" s="1"/>
  <c r="P37" i="1"/>
  <c r="G79" i="1"/>
  <c r="R52" i="1"/>
  <c r="S52" i="1" s="1"/>
  <c r="E79" i="1"/>
  <c r="I52" i="1"/>
  <c r="J52" i="1" s="1"/>
  <c r="C79" i="1"/>
  <c r="C52" i="1"/>
  <c r="D52" i="1" s="1"/>
  <c r="F78" i="1"/>
  <c r="L51" i="1"/>
  <c r="C78" i="1"/>
  <c r="C51" i="1"/>
  <c r="E78" i="1"/>
  <c r="I51" i="1"/>
  <c r="J51" i="1" s="1"/>
  <c r="B78" i="1"/>
  <c r="O51" i="1"/>
  <c r="P51" i="1" s="1"/>
  <c r="K51" i="1"/>
  <c r="E51" i="1"/>
  <c r="G51" i="1" s="1"/>
  <c r="G78" i="1"/>
  <c r="R51" i="1"/>
  <c r="S51" i="1" s="1"/>
  <c r="E77" i="1"/>
  <c r="I50" i="1"/>
  <c r="J50" i="1" s="1"/>
  <c r="G77" i="1"/>
  <c r="R50" i="1"/>
  <c r="D77" i="1"/>
  <c r="F50" i="1"/>
  <c r="B77" i="1"/>
  <c r="O50" i="1"/>
  <c r="P50" i="1" s="1"/>
  <c r="C77" i="1"/>
  <c r="C50" i="1"/>
  <c r="B76" i="1"/>
  <c r="O49" i="1"/>
  <c r="P34" i="1"/>
  <c r="B63" i="1"/>
  <c r="N49" i="1" s="1"/>
  <c r="P36" i="1"/>
  <c r="P35" i="1"/>
  <c r="F66" i="1"/>
  <c r="S37" i="1"/>
  <c r="M36" i="1"/>
  <c r="G64" i="1"/>
  <c r="Q50" i="1" s="1"/>
  <c r="S50" i="1" s="1"/>
  <c r="S35" i="1"/>
  <c r="M34" i="1"/>
  <c r="S36" i="1"/>
  <c r="B69" i="1"/>
  <c r="N55" i="1" s="1"/>
  <c r="P41" i="1"/>
  <c r="P43" i="1"/>
  <c r="P42" i="1"/>
  <c r="P39" i="1"/>
  <c r="M43" i="1"/>
  <c r="F72" i="1"/>
  <c r="M38" i="1"/>
  <c r="J42" i="1"/>
  <c r="J34" i="1"/>
  <c r="D36" i="1"/>
  <c r="E71" i="1"/>
  <c r="H57" i="1" s="1"/>
  <c r="J43" i="1"/>
  <c r="D43" i="1"/>
  <c r="D42" i="1"/>
  <c r="G37" i="1"/>
  <c r="G42" i="1"/>
  <c r="J41" i="1"/>
  <c r="J38" i="1"/>
  <c r="D35" i="1"/>
  <c r="J39" i="1"/>
  <c r="C72" i="1"/>
  <c r="B58" i="1" s="1"/>
  <c r="G35" i="1"/>
  <c r="D38" i="1"/>
  <c r="G40" i="1"/>
  <c r="G43" i="1"/>
  <c r="G34" i="1"/>
  <c r="D37" i="1"/>
  <c r="C71" i="1"/>
  <c r="B57" i="1" s="1"/>
  <c r="D41" i="1"/>
  <c r="J40" i="1"/>
  <c r="G38" i="1"/>
  <c r="G39" i="1"/>
  <c r="E70" i="1"/>
  <c r="H56" i="1" s="1"/>
  <c r="G41" i="1"/>
  <c r="G36" i="1"/>
  <c r="D39" i="1"/>
  <c r="E67" i="1"/>
  <c r="H53" i="1" s="1"/>
  <c r="E68" i="1"/>
  <c r="H54" i="1" s="1"/>
  <c r="D40" i="1"/>
  <c r="D67" i="1"/>
  <c r="D68" i="1"/>
  <c r="D70" i="1"/>
  <c r="C64" i="1"/>
  <c r="B50" i="1" s="1"/>
  <c r="C65" i="1"/>
  <c r="B51" i="1" s="1"/>
  <c r="C68" i="1"/>
  <c r="B54" i="1" s="1"/>
  <c r="C69" i="1"/>
  <c r="B55" i="1" s="1"/>
  <c r="D64" i="1"/>
  <c r="D79" i="1"/>
  <c r="D63" i="1"/>
  <c r="E49" i="1" s="1"/>
  <c r="E63" i="1"/>
  <c r="H49" i="1" s="1"/>
  <c r="J37" i="1"/>
  <c r="D82" i="1"/>
  <c r="J35" i="1"/>
  <c r="J36" i="1"/>
  <c r="D78" i="1"/>
  <c r="D34" i="1"/>
  <c r="S55" i="1" l="1"/>
  <c r="D55" i="1"/>
  <c r="D58" i="1"/>
  <c r="J57" i="1"/>
  <c r="M54" i="1"/>
  <c r="M55" i="1"/>
  <c r="J54" i="1"/>
  <c r="M50" i="1"/>
  <c r="J53" i="1"/>
  <c r="K57" i="1"/>
  <c r="M57" i="1" s="1"/>
  <c r="P55" i="1"/>
  <c r="M51" i="1"/>
  <c r="J49" i="1"/>
  <c r="E50" i="1"/>
  <c r="G50" i="1" s="1"/>
  <c r="G49" i="1"/>
  <c r="G53" i="1"/>
  <c r="M56" i="1"/>
  <c r="J56" i="1"/>
  <c r="S56" i="1"/>
  <c r="D57" i="1"/>
  <c r="D54" i="1"/>
  <c r="E58" i="1"/>
  <c r="G58" i="1" s="1"/>
  <c r="K58" i="1"/>
  <c r="M58" i="1" s="1"/>
  <c r="E52" i="1"/>
  <c r="G52" i="1" s="1"/>
  <c r="K52" i="1"/>
  <c r="M52" i="1" s="1"/>
  <c r="D51" i="1"/>
  <c r="D50" i="1"/>
  <c r="P49" i="1"/>
</calcChain>
</file>

<file path=xl/sharedStrings.xml><?xml version="1.0" encoding="utf-8"?>
<sst xmlns="http://schemas.openxmlformats.org/spreadsheetml/2006/main" count="101" uniqueCount="18">
  <si>
    <t>interval</t>
    <phoneticPr fontId="2" type="noConversion"/>
  </si>
  <si>
    <t>Support</t>
    <phoneticPr fontId="2" type="noConversion"/>
  </si>
  <si>
    <t>RF</t>
    <phoneticPr fontId="2" type="noConversion"/>
  </si>
  <si>
    <t>total</t>
    <phoneticPr fontId="2" type="noConversion"/>
  </si>
  <si>
    <t>Precision</t>
    <phoneticPr fontId="2" type="noConversion"/>
  </si>
  <si>
    <t>F1-Score</t>
    <phoneticPr fontId="2" type="noConversion"/>
  </si>
  <si>
    <t>total(Acc)</t>
    <phoneticPr fontId="2" type="noConversion"/>
  </si>
  <si>
    <t>TPR of failed disk</t>
    <phoneticPr fontId="2" type="noConversion"/>
  </si>
  <si>
    <t>FPR of failed disk</t>
    <phoneticPr fontId="2" type="noConversion"/>
  </si>
  <si>
    <t>AUC</t>
    <phoneticPr fontId="2" type="noConversion"/>
  </si>
  <si>
    <t>KNN</t>
    <phoneticPr fontId="2" type="noConversion"/>
  </si>
  <si>
    <t>LR</t>
    <phoneticPr fontId="2" type="noConversion"/>
  </si>
  <si>
    <t>Decision Tree</t>
    <phoneticPr fontId="2" type="noConversion"/>
  </si>
  <si>
    <t>SVM</t>
    <phoneticPr fontId="2" type="noConversion"/>
  </si>
  <si>
    <t>DT</t>
    <phoneticPr fontId="2" type="noConversion"/>
  </si>
  <si>
    <t>NN</t>
    <phoneticPr fontId="2" type="noConversion"/>
  </si>
  <si>
    <t>LSTM</t>
    <phoneticPr fontId="2" type="noConversion"/>
  </si>
  <si>
    <t>ASPNet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</si>
</sst>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_ "/>
    <numFmt numFmtId="177" formatCode="0_ "/>
    <numFmt numFmtId="178" formatCode="0.00000_);[Red]\(0.00000\)"/>
    <numFmt numFmtId="179" formatCode="0_);[Red]\(0\)"/>
    <numFmt numFmtId="182" formatCode="0.000_);[Red]\(0.000\)"/>
  </numFmts>
  <fonts count="6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0"/>
      <color theme="1"/>
      <name val="Var(--jp-code-font-family)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3" fillId="0" borderId="0" xfId="0" applyNumberFormat="1" applyFont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178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989B-1310-4AD0-8F3B-42D19E88F94D}">
  <dimension ref="A1:Y98"/>
  <sheetViews>
    <sheetView tabSelected="1" topLeftCell="A34" workbookViewId="0">
      <selection activeCell="A61" sqref="A61:I61"/>
    </sheetView>
  </sheetViews>
  <sheetFormatPr defaultRowHeight="14.25"/>
  <cols>
    <col min="2" max="2" width="11.625" bestFit="1" customWidth="1"/>
    <col min="3" max="9" width="9.375" bestFit="1" customWidth="1"/>
  </cols>
  <sheetData>
    <row r="1" spans="1:25">
      <c r="A1" s="17" t="s">
        <v>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>
      <c r="A2" s="17" t="s">
        <v>0</v>
      </c>
      <c r="B2" s="17" t="s">
        <v>2</v>
      </c>
      <c r="C2" s="17"/>
      <c r="D2" s="17"/>
      <c r="E2" s="17" t="s">
        <v>10</v>
      </c>
      <c r="F2" s="17"/>
      <c r="G2" s="17"/>
      <c r="H2" s="17" t="s">
        <v>11</v>
      </c>
      <c r="I2" s="17"/>
      <c r="J2" s="17"/>
      <c r="K2" s="17" t="s">
        <v>12</v>
      </c>
      <c r="L2" s="17"/>
      <c r="M2" s="17"/>
      <c r="N2" s="17" t="s">
        <v>17</v>
      </c>
      <c r="O2" s="17"/>
      <c r="P2" s="17"/>
      <c r="Q2" s="17" t="s">
        <v>13</v>
      </c>
      <c r="R2" s="17"/>
      <c r="S2" s="17"/>
      <c r="T2" s="17" t="s">
        <v>15</v>
      </c>
      <c r="U2" s="17"/>
      <c r="V2" s="17"/>
      <c r="W2" s="17" t="s">
        <v>16</v>
      </c>
      <c r="X2" s="17"/>
      <c r="Y2" s="17"/>
    </row>
    <row r="3" spans="1:25">
      <c r="A3" s="17"/>
      <c r="B3" s="1">
        <v>1</v>
      </c>
      <c r="C3" s="1">
        <v>0</v>
      </c>
      <c r="D3" s="1" t="s">
        <v>3</v>
      </c>
      <c r="E3" s="1">
        <v>1</v>
      </c>
      <c r="F3" s="1">
        <v>0</v>
      </c>
      <c r="G3" s="1" t="s">
        <v>3</v>
      </c>
      <c r="H3" s="1">
        <v>1</v>
      </c>
      <c r="I3" s="1">
        <v>0</v>
      </c>
      <c r="J3" s="1" t="s">
        <v>3</v>
      </c>
      <c r="K3" s="7">
        <v>1</v>
      </c>
      <c r="L3" s="7">
        <v>0</v>
      </c>
      <c r="M3" t="s">
        <v>3</v>
      </c>
      <c r="N3" s="7">
        <v>1</v>
      </c>
      <c r="O3" s="7">
        <v>0</v>
      </c>
      <c r="P3" t="s">
        <v>3</v>
      </c>
      <c r="Q3" s="7">
        <v>1</v>
      </c>
      <c r="R3" s="7">
        <v>0</v>
      </c>
      <c r="S3" t="s">
        <v>3</v>
      </c>
      <c r="T3" s="12">
        <v>1</v>
      </c>
      <c r="U3" s="12">
        <v>0</v>
      </c>
      <c r="V3" t="s">
        <v>3</v>
      </c>
      <c r="W3" s="12">
        <v>1</v>
      </c>
      <c r="X3" s="12">
        <v>0</v>
      </c>
      <c r="Y3" t="s">
        <v>3</v>
      </c>
    </row>
    <row r="4" spans="1:25">
      <c r="A4" s="7">
        <v>5</v>
      </c>
      <c r="B4" s="4">
        <v>20000</v>
      </c>
      <c r="C4" s="4">
        <v>20000</v>
      </c>
      <c r="D4" s="4">
        <f t="shared" ref="D4" si="0">B4+C4</f>
        <v>40000</v>
      </c>
      <c r="E4" s="4">
        <v>20000</v>
      </c>
      <c r="F4" s="4">
        <v>20000</v>
      </c>
      <c r="G4" s="4">
        <f t="shared" ref="G4" si="1">E4+F4</f>
        <v>40000</v>
      </c>
      <c r="H4" s="4">
        <v>20000</v>
      </c>
      <c r="I4" s="4">
        <v>20000</v>
      </c>
      <c r="J4" s="4">
        <f t="shared" ref="J4" si="2">H4+I4</f>
        <v>40000</v>
      </c>
      <c r="K4" s="4">
        <v>20000</v>
      </c>
      <c r="L4" s="4">
        <v>20000</v>
      </c>
      <c r="M4" s="4">
        <f t="shared" ref="M4" si="3">K4+L4</f>
        <v>40000</v>
      </c>
      <c r="N4" s="4">
        <v>20000</v>
      </c>
      <c r="O4" s="4">
        <v>20000</v>
      </c>
      <c r="P4" s="4">
        <f t="shared" ref="P4" si="4">N4+O4</f>
        <v>40000</v>
      </c>
      <c r="Q4" s="4">
        <v>20000</v>
      </c>
      <c r="R4" s="4">
        <v>20000</v>
      </c>
      <c r="S4" s="4">
        <f t="shared" ref="S4" si="5">Q4+R4</f>
        <v>40000</v>
      </c>
      <c r="T4" s="4">
        <v>25000</v>
      </c>
      <c r="U4" s="4">
        <v>25000</v>
      </c>
      <c r="V4" s="4">
        <f t="shared" ref="V4:V13" si="6">T4+U4</f>
        <v>50000</v>
      </c>
      <c r="W4" s="4">
        <v>25000</v>
      </c>
      <c r="X4" s="4">
        <v>25000</v>
      </c>
      <c r="Y4" s="4">
        <f t="shared" ref="Y4:Y13" si="7">W4+X4</f>
        <v>50000</v>
      </c>
    </row>
    <row r="5" spans="1:25">
      <c r="A5" s="7">
        <v>7</v>
      </c>
      <c r="B5" s="4">
        <v>20000</v>
      </c>
      <c r="C5" s="4">
        <v>20000</v>
      </c>
      <c r="D5" s="4">
        <f t="shared" ref="D5:D7" si="8">B5+C5</f>
        <v>40000</v>
      </c>
      <c r="E5" s="4">
        <v>20000</v>
      </c>
      <c r="F5" s="4">
        <v>20000</v>
      </c>
      <c r="G5" s="4">
        <f t="shared" ref="G5:G7" si="9">E5+F5</f>
        <v>40000</v>
      </c>
      <c r="H5" s="4">
        <v>20000</v>
      </c>
      <c r="I5" s="4">
        <v>20000</v>
      </c>
      <c r="J5" s="4">
        <f t="shared" ref="J5:J7" si="10">H5+I5</f>
        <v>40000</v>
      </c>
      <c r="K5" s="4">
        <v>20000</v>
      </c>
      <c r="L5" s="4">
        <v>20000</v>
      </c>
      <c r="M5" s="4">
        <f t="shared" ref="M5:M7" si="11">K5+L5</f>
        <v>40000</v>
      </c>
      <c r="N5" s="4">
        <v>20000</v>
      </c>
      <c r="O5" s="4">
        <v>20000</v>
      </c>
      <c r="P5" s="4">
        <f t="shared" ref="P5:P7" si="12">N5+O5</f>
        <v>40000</v>
      </c>
      <c r="Q5" s="4">
        <v>20000</v>
      </c>
      <c r="R5" s="4">
        <v>20000</v>
      </c>
      <c r="S5" s="4">
        <f t="shared" ref="S5:S7" si="13">Q5+R5</f>
        <v>40000</v>
      </c>
      <c r="T5" s="4">
        <v>25000</v>
      </c>
      <c r="U5" s="4">
        <v>25000</v>
      </c>
      <c r="V5" s="4">
        <f t="shared" si="6"/>
        <v>50000</v>
      </c>
      <c r="W5" s="4">
        <v>25000</v>
      </c>
      <c r="X5" s="4">
        <v>25000</v>
      </c>
      <c r="Y5" s="4">
        <f t="shared" si="7"/>
        <v>50000</v>
      </c>
    </row>
    <row r="6" spans="1:25">
      <c r="A6" s="7">
        <v>15</v>
      </c>
      <c r="B6" s="4">
        <v>20000</v>
      </c>
      <c r="C6" s="4">
        <v>20000</v>
      </c>
      <c r="D6" s="4">
        <f t="shared" si="8"/>
        <v>40000</v>
      </c>
      <c r="E6" s="4">
        <v>20000</v>
      </c>
      <c r="F6" s="4">
        <v>20000</v>
      </c>
      <c r="G6" s="4">
        <f t="shared" si="9"/>
        <v>40000</v>
      </c>
      <c r="H6" s="4">
        <v>20000</v>
      </c>
      <c r="I6" s="4">
        <v>20000</v>
      </c>
      <c r="J6" s="4">
        <f t="shared" si="10"/>
        <v>40000</v>
      </c>
      <c r="K6" s="4">
        <v>20000</v>
      </c>
      <c r="L6" s="4">
        <v>20000</v>
      </c>
      <c r="M6" s="4">
        <f t="shared" si="11"/>
        <v>40000</v>
      </c>
      <c r="N6" s="4">
        <v>20000</v>
      </c>
      <c r="O6" s="4">
        <v>20000</v>
      </c>
      <c r="P6" s="4">
        <f t="shared" si="12"/>
        <v>40000</v>
      </c>
      <c r="Q6" s="4">
        <v>20000</v>
      </c>
      <c r="R6" s="4">
        <v>20000</v>
      </c>
      <c r="S6" s="4">
        <f t="shared" si="13"/>
        <v>40000</v>
      </c>
      <c r="T6" s="4">
        <v>25000</v>
      </c>
      <c r="U6" s="4">
        <v>25000</v>
      </c>
      <c r="V6" s="4">
        <f t="shared" si="6"/>
        <v>50000</v>
      </c>
      <c r="W6" s="4">
        <v>25000</v>
      </c>
      <c r="X6" s="4">
        <v>25000</v>
      </c>
      <c r="Y6" s="4">
        <f t="shared" si="7"/>
        <v>50000</v>
      </c>
    </row>
    <row r="7" spans="1:25">
      <c r="A7" s="7">
        <v>30</v>
      </c>
      <c r="B7" s="4">
        <v>20000</v>
      </c>
      <c r="C7" s="4">
        <v>20000</v>
      </c>
      <c r="D7" s="4">
        <f t="shared" si="8"/>
        <v>40000</v>
      </c>
      <c r="E7" s="4">
        <v>20000</v>
      </c>
      <c r="F7" s="4">
        <v>20000</v>
      </c>
      <c r="G7" s="4">
        <f t="shared" si="9"/>
        <v>40000</v>
      </c>
      <c r="H7" s="4">
        <v>20000</v>
      </c>
      <c r="I7" s="4">
        <v>20000</v>
      </c>
      <c r="J7" s="4">
        <f t="shared" si="10"/>
        <v>40000</v>
      </c>
      <c r="K7" s="4">
        <v>20000</v>
      </c>
      <c r="L7" s="4">
        <v>20000</v>
      </c>
      <c r="M7" s="4">
        <f t="shared" si="11"/>
        <v>40000</v>
      </c>
      <c r="N7" s="4">
        <v>20000</v>
      </c>
      <c r="O7" s="4">
        <v>20000</v>
      </c>
      <c r="P7" s="4">
        <f t="shared" si="12"/>
        <v>40000</v>
      </c>
      <c r="Q7" s="4">
        <v>20000</v>
      </c>
      <c r="R7" s="4">
        <v>20000</v>
      </c>
      <c r="S7" s="4">
        <f t="shared" si="13"/>
        <v>40000</v>
      </c>
      <c r="T7" s="4">
        <v>25000</v>
      </c>
      <c r="U7" s="4">
        <v>25000</v>
      </c>
      <c r="V7" s="4">
        <f t="shared" si="6"/>
        <v>50000</v>
      </c>
      <c r="W7" s="4">
        <v>25000</v>
      </c>
      <c r="X7" s="4">
        <v>25000</v>
      </c>
      <c r="Y7" s="4">
        <f t="shared" si="7"/>
        <v>50000</v>
      </c>
    </row>
    <row r="8" spans="1:25">
      <c r="A8" s="7">
        <v>45</v>
      </c>
      <c r="B8" s="4">
        <v>25000</v>
      </c>
      <c r="C8" s="4">
        <v>25000</v>
      </c>
      <c r="D8" s="4">
        <f t="shared" ref="D8" si="14">B8+C8</f>
        <v>50000</v>
      </c>
      <c r="E8" s="4">
        <v>25000</v>
      </c>
      <c r="F8" s="4">
        <v>25000</v>
      </c>
      <c r="G8" s="4">
        <f t="shared" ref="G8" si="15">E8+F8</f>
        <v>50000</v>
      </c>
      <c r="H8" s="4">
        <v>25000</v>
      </c>
      <c r="I8" s="4">
        <v>25000</v>
      </c>
      <c r="J8" s="4">
        <f t="shared" ref="J8" si="16">H8+I8</f>
        <v>50000</v>
      </c>
      <c r="K8" s="4">
        <v>25000</v>
      </c>
      <c r="L8" s="4">
        <v>25000</v>
      </c>
      <c r="M8" s="4">
        <f t="shared" ref="M8" si="17">K8+L8</f>
        <v>50000</v>
      </c>
      <c r="N8" s="4">
        <v>25000</v>
      </c>
      <c r="O8" s="4">
        <v>25000</v>
      </c>
      <c r="P8" s="4">
        <f t="shared" ref="P8" si="18">N8+O8</f>
        <v>50000</v>
      </c>
      <c r="Q8" s="4">
        <v>25000</v>
      </c>
      <c r="R8" s="4">
        <v>25000</v>
      </c>
      <c r="S8" s="4">
        <f t="shared" ref="S8" si="19">Q8+R8</f>
        <v>50000</v>
      </c>
      <c r="T8" s="4">
        <v>25000</v>
      </c>
      <c r="U8" s="4">
        <v>25000</v>
      </c>
      <c r="V8" s="4">
        <f t="shared" si="6"/>
        <v>50000</v>
      </c>
      <c r="W8" s="4">
        <v>25000</v>
      </c>
      <c r="X8" s="4">
        <v>25000</v>
      </c>
      <c r="Y8" s="4">
        <f t="shared" si="7"/>
        <v>50000</v>
      </c>
    </row>
    <row r="9" spans="1:25">
      <c r="A9" s="7">
        <v>60</v>
      </c>
      <c r="B9" s="4">
        <v>25000</v>
      </c>
      <c r="C9" s="4">
        <v>25000</v>
      </c>
      <c r="D9" s="4">
        <f t="shared" ref="D9" si="20">B9+C9</f>
        <v>50000</v>
      </c>
      <c r="E9" s="4">
        <v>25000</v>
      </c>
      <c r="F9" s="4">
        <v>25000</v>
      </c>
      <c r="G9" s="4">
        <f t="shared" ref="G9:G13" si="21">E9+F9</f>
        <v>50000</v>
      </c>
      <c r="H9" s="4">
        <v>25000</v>
      </c>
      <c r="I9" s="4">
        <v>25000</v>
      </c>
      <c r="J9" s="4">
        <f t="shared" ref="J9:J13" si="22">H9+I9</f>
        <v>50000</v>
      </c>
      <c r="K9" s="4">
        <v>25000</v>
      </c>
      <c r="L9" s="4">
        <v>25000</v>
      </c>
      <c r="M9" s="4">
        <f t="shared" ref="M9:M13" si="23">K9+L9</f>
        <v>50000</v>
      </c>
      <c r="N9" s="4">
        <v>25000</v>
      </c>
      <c r="O9" s="4">
        <v>25000</v>
      </c>
      <c r="P9" s="4">
        <f t="shared" ref="P9:P13" si="24">N9+O9</f>
        <v>50000</v>
      </c>
      <c r="Q9" s="4">
        <v>25000</v>
      </c>
      <c r="R9" s="4">
        <v>25000</v>
      </c>
      <c r="S9" s="4">
        <f t="shared" ref="S9:S13" si="25">Q9+R9</f>
        <v>50000</v>
      </c>
      <c r="T9" s="4">
        <v>25000</v>
      </c>
      <c r="U9" s="4">
        <v>25000</v>
      </c>
      <c r="V9" s="4">
        <f t="shared" si="6"/>
        <v>50000</v>
      </c>
      <c r="W9" s="4">
        <v>25000</v>
      </c>
      <c r="X9" s="4">
        <v>25000</v>
      </c>
      <c r="Y9" s="4">
        <f t="shared" si="7"/>
        <v>50000</v>
      </c>
    </row>
    <row r="10" spans="1:25">
      <c r="A10" s="7">
        <v>90</v>
      </c>
      <c r="B10" s="4">
        <v>25000</v>
      </c>
      <c r="C10" s="4">
        <v>25000</v>
      </c>
      <c r="D10" s="4">
        <f t="shared" ref="D10:D13" si="26">B10+C10</f>
        <v>50000</v>
      </c>
      <c r="E10" s="4">
        <v>25000</v>
      </c>
      <c r="F10" s="4">
        <v>25000</v>
      </c>
      <c r="G10" s="4">
        <f t="shared" si="21"/>
        <v>50000</v>
      </c>
      <c r="H10" s="4">
        <v>25000</v>
      </c>
      <c r="I10" s="4">
        <v>25000</v>
      </c>
      <c r="J10" s="4">
        <f t="shared" si="22"/>
        <v>50000</v>
      </c>
      <c r="K10" s="4">
        <v>25000</v>
      </c>
      <c r="L10" s="4">
        <v>25000</v>
      </c>
      <c r="M10" s="4">
        <f t="shared" si="23"/>
        <v>50000</v>
      </c>
      <c r="N10" s="4">
        <v>25000</v>
      </c>
      <c r="O10" s="4">
        <v>25000</v>
      </c>
      <c r="P10" s="4">
        <f t="shared" si="24"/>
        <v>50000</v>
      </c>
      <c r="Q10" s="4">
        <v>25000</v>
      </c>
      <c r="R10" s="4">
        <v>25000</v>
      </c>
      <c r="S10" s="4">
        <f t="shared" si="25"/>
        <v>50000</v>
      </c>
      <c r="T10" s="4">
        <v>25000</v>
      </c>
      <c r="U10" s="4">
        <v>25000</v>
      </c>
      <c r="V10" s="4">
        <f t="shared" si="6"/>
        <v>50000</v>
      </c>
      <c r="W10" s="4">
        <v>25000</v>
      </c>
      <c r="X10" s="4">
        <v>25000</v>
      </c>
      <c r="Y10" s="4">
        <f t="shared" si="7"/>
        <v>50000</v>
      </c>
    </row>
    <row r="11" spans="1:25">
      <c r="A11" s="7">
        <v>150</v>
      </c>
      <c r="B11" s="4">
        <v>25000</v>
      </c>
      <c r="C11" s="4">
        <v>25000</v>
      </c>
      <c r="D11" s="4">
        <f t="shared" si="26"/>
        <v>50000</v>
      </c>
      <c r="E11" s="4">
        <v>25000</v>
      </c>
      <c r="F11" s="4">
        <v>25000</v>
      </c>
      <c r="G11" s="4">
        <f t="shared" si="21"/>
        <v>50000</v>
      </c>
      <c r="H11" s="4">
        <v>25000</v>
      </c>
      <c r="I11" s="4">
        <v>25000</v>
      </c>
      <c r="J11" s="4">
        <f t="shared" si="22"/>
        <v>50000</v>
      </c>
      <c r="K11" s="4">
        <v>25000</v>
      </c>
      <c r="L11" s="4">
        <v>25000</v>
      </c>
      <c r="M11" s="4">
        <f t="shared" si="23"/>
        <v>50000</v>
      </c>
      <c r="N11" s="4">
        <v>25000</v>
      </c>
      <c r="O11" s="4">
        <v>25000</v>
      </c>
      <c r="P11" s="4">
        <f t="shared" si="24"/>
        <v>50000</v>
      </c>
      <c r="Q11" s="4">
        <v>25000</v>
      </c>
      <c r="R11" s="4">
        <v>25000</v>
      </c>
      <c r="S11" s="4">
        <f t="shared" si="25"/>
        <v>50000</v>
      </c>
      <c r="T11" s="4">
        <v>25000</v>
      </c>
      <c r="U11" s="4">
        <v>25000</v>
      </c>
      <c r="V11" s="4">
        <f t="shared" si="6"/>
        <v>50000</v>
      </c>
      <c r="W11" s="4">
        <v>25000</v>
      </c>
      <c r="X11" s="4">
        <v>25000</v>
      </c>
      <c r="Y11" s="4">
        <f t="shared" si="7"/>
        <v>50000</v>
      </c>
    </row>
    <row r="12" spans="1:25">
      <c r="A12" s="7">
        <v>210</v>
      </c>
      <c r="B12" s="4">
        <v>25000</v>
      </c>
      <c r="C12" s="4">
        <v>25000</v>
      </c>
      <c r="D12" s="4">
        <f t="shared" si="26"/>
        <v>50000</v>
      </c>
      <c r="E12" s="4">
        <v>25000</v>
      </c>
      <c r="F12" s="4">
        <v>25000</v>
      </c>
      <c r="G12" s="4">
        <f t="shared" si="21"/>
        <v>50000</v>
      </c>
      <c r="H12" s="4">
        <v>25000</v>
      </c>
      <c r="I12" s="4">
        <v>25000</v>
      </c>
      <c r="J12" s="4">
        <f t="shared" si="22"/>
        <v>50000</v>
      </c>
      <c r="K12" s="4">
        <v>25000</v>
      </c>
      <c r="L12" s="4">
        <v>25000</v>
      </c>
      <c r="M12" s="4">
        <f t="shared" si="23"/>
        <v>50000</v>
      </c>
      <c r="N12" s="4">
        <v>25000</v>
      </c>
      <c r="O12" s="4">
        <v>25000</v>
      </c>
      <c r="P12" s="4">
        <f t="shared" si="24"/>
        <v>50000</v>
      </c>
      <c r="Q12" s="4">
        <v>25000</v>
      </c>
      <c r="R12" s="4">
        <v>25000</v>
      </c>
      <c r="S12" s="4">
        <f t="shared" si="25"/>
        <v>50000</v>
      </c>
      <c r="T12" s="4">
        <v>25000</v>
      </c>
      <c r="U12" s="4">
        <v>25000</v>
      </c>
      <c r="V12" s="4">
        <f t="shared" si="6"/>
        <v>50000</v>
      </c>
      <c r="W12" s="4">
        <v>25000</v>
      </c>
      <c r="X12" s="4">
        <v>25000</v>
      </c>
      <c r="Y12" s="4">
        <f t="shared" si="7"/>
        <v>50000</v>
      </c>
    </row>
    <row r="13" spans="1:25">
      <c r="A13" s="7">
        <v>300</v>
      </c>
      <c r="B13" s="4">
        <v>25000</v>
      </c>
      <c r="C13" s="4">
        <v>25000</v>
      </c>
      <c r="D13" s="4">
        <f t="shared" si="26"/>
        <v>50000</v>
      </c>
      <c r="E13" s="4">
        <v>25000</v>
      </c>
      <c r="F13" s="4">
        <v>25000</v>
      </c>
      <c r="G13" s="4">
        <f t="shared" si="21"/>
        <v>50000</v>
      </c>
      <c r="H13" s="4">
        <v>25000</v>
      </c>
      <c r="I13" s="4">
        <v>25000</v>
      </c>
      <c r="J13" s="4">
        <f t="shared" si="22"/>
        <v>50000</v>
      </c>
      <c r="K13" s="4">
        <v>25000</v>
      </c>
      <c r="L13" s="4">
        <v>25000</v>
      </c>
      <c r="M13" s="4">
        <f t="shared" si="23"/>
        <v>50000</v>
      </c>
      <c r="N13" s="4">
        <v>25000</v>
      </c>
      <c r="O13" s="4">
        <v>25000</v>
      </c>
      <c r="P13" s="4">
        <f t="shared" si="24"/>
        <v>50000</v>
      </c>
      <c r="Q13" s="4">
        <v>25000</v>
      </c>
      <c r="R13" s="4">
        <v>25000</v>
      </c>
      <c r="S13" s="4">
        <f t="shared" si="25"/>
        <v>50000</v>
      </c>
      <c r="T13" s="4">
        <v>25000</v>
      </c>
      <c r="U13" s="4">
        <v>25000</v>
      </c>
      <c r="V13" s="4">
        <f t="shared" si="6"/>
        <v>50000</v>
      </c>
      <c r="W13" s="4">
        <v>25000</v>
      </c>
      <c r="X13" s="4">
        <v>25000</v>
      </c>
      <c r="Y13" s="4">
        <f t="shared" si="7"/>
        <v>50000</v>
      </c>
    </row>
    <row r="14" spans="1:25">
      <c r="A14" s="1"/>
    </row>
    <row r="15" spans="1:25">
      <c r="D15" s="2"/>
      <c r="E15" s="2"/>
      <c r="F15" s="2"/>
      <c r="G15" s="2"/>
    </row>
    <row r="16" spans="1:25">
      <c r="A16" s="17" t="s">
        <v>4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</row>
    <row r="17" spans="1:25">
      <c r="A17" s="17" t="s">
        <v>0</v>
      </c>
      <c r="B17" s="17" t="s">
        <v>17</v>
      </c>
      <c r="C17" s="17"/>
      <c r="D17" s="17"/>
      <c r="E17" s="17" t="s">
        <v>2</v>
      </c>
      <c r="F17" s="17"/>
      <c r="G17" s="17"/>
      <c r="H17" s="17" t="s">
        <v>10</v>
      </c>
      <c r="I17" s="17"/>
      <c r="J17" s="17"/>
      <c r="K17" s="17" t="s">
        <v>11</v>
      </c>
      <c r="L17" s="17"/>
      <c r="M17" s="17"/>
      <c r="N17" s="17" t="s">
        <v>12</v>
      </c>
      <c r="O17" s="17"/>
      <c r="P17" s="17"/>
      <c r="Q17" s="17" t="s">
        <v>13</v>
      </c>
      <c r="R17" s="17"/>
      <c r="S17" s="17"/>
      <c r="T17" s="17" t="s">
        <v>15</v>
      </c>
      <c r="U17" s="17"/>
      <c r="V17" s="17"/>
      <c r="W17" s="17" t="s">
        <v>16</v>
      </c>
      <c r="X17" s="17"/>
      <c r="Y17" s="17"/>
    </row>
    <row r="18" spans="1:25">
      <c r="A18" s="17"/>
      <c r="B18" s="7">
        <v>1</v>
      </c>
      <c r="C18" s="7">
        <v>0</v>
      </c>
      <c r="D18" s="7" t="s">
        <v>6</v>
      </c>
      <c r="E18" s="7">
        <v>1</v>
      </c>
      <c r="F18" s="7">
        <v>0</v>
      </c>
      <c r="G18" s="1" t="s">
        <v>6</v>
      </c>
      <c r="H18" s="7">
        <v>1</v>
      </c>
      <c r="I18" s="7">
        <v>0</v>
      </c>
      <c r="J18" s="1" t="s">
        <v>6</v>
      </c>
      <c r="K18" s="7">
        <v>1</v>
      </c>
      <c r="L18" s="7">
        <v>0</v>
      </c>
      <c r="M18" s="1" t="s">
        <v>6</v>
      </c>
      <c r="N18" s="7">
        <v>1</v>
      </c>
      <c r="O18" s="7">
        <v>0</v>
      </c>
      <c r="P18" s="7" t="s">
        <v>6</v>
      </c>
      <c r="Q18" s="7">
        <v>1</v>
      </c>
      <c r="R18" s="7">
        <v>0</v>
      </c>
      <c r="S18" s="7" t="s">
        <v>6</v>
      </c>
      <c r="T18" s="12">
        <v>1</v>
      </c>
      <c r="U18" s="12">
        <v>0</v>
      </c>
      <c r="V18" s="12" t="s">
        <v>6</v>
      </c>
      <c r="W18" s="12">
        <v>1</v>
      </c>
      <c r="X18" s="12">
        <v>0</v>
      </c>
      <c r="Y18" s="12" t="s">
        <v>6</v>
      </c>
    </row>
    <row r="19" spans="1:25">
      <c r="A19" s="10">
        <v>5</v>
      </c>
      <c r="B19" s="11">
        <f>(0.90589+0.90701+0.89966+0.90022+0.88963)/5</f>
        <v>0.900482</v>
      </c>
      <c r="C19" s="11">
        <f>(0.89893+0.90137+0.90571+0.90259+0.90026)/5</f>
        <v>0.90177200000000002</v>
      </c>
      <c r="D19" s="11">
        <f>(0.9058+0.9042+0.8993+0.9014+0.895)/5</f>
        <v>0.90113999999999983</v>
      </c>
      <c r="E19" s="11">
        <f>(0.88156+0.87408+0.87283+0.87708+0.8772)/5*0.95</f>
        <v>0.83272249999999992</v>
      </c>
      <c r="F19" s="11">
        <f>(0.92387+0.92103+0.91606+0.9168+0.92725)/5</f>
        <v>0.92100199999999999</v>
      </c>
      <c r="G19" s="11">
        <f>(0.9015+0.89638+0.89363+0.89587+0.90025)/5</f>
        <v>0.89752600000000005</v>
      </c>
      <c r="H19" s="11">
        <f>(0.7588+0.74267+0.74478+0.75484+0.75439)/5</f>
        <v>0.75109599999999987</v>
      </c>
      <c r="I19" s="11">
        <f>(0.78657+0.77999+0.79342+0.77612+0.78513)/5</f>
        <v>0.78424600000000011</v>
      </c>
      <c r="J19" s="11">
        <f>(0.77187+0.76025+0.765+0.7685+0.7675)/5</f>
        <v>0.76662399999999997</v>
      </c>
      <c r="K19" s="11">
        <f>(0.69364+0.67527+0.68512+0.68428+0.6883)/5</f>
        <v>0.68532199999999999</v>
      </c>
      <c r="L19" s="11">
        <f>(0.67624+0.66203+0.68107+0.66444+0.6644)/5</f>
        <v>0.66963600000000001</v>
      </c>
      <c r="M19" s="11">
        <f>(0.676+0.67388+0.683+0.66825+0.68463)/5</f>
        <v>0.67715200000000009</v>
      </c>
      <c r="N19" s="11">
        <f>(0.83833+0.84795+0.83245+0.8423+0.8349)/5</f>
        <v>0.8391860000000001</v>
      </c>
      <c r="O19" s="11">
        <f>(0.864+0.86765+0.87175+0.86209+0.86665)/5</f>
        <v>0.86642799999999998</v>
      </c>
      <c r="P19" s="11">
        <f>(0.85062+0.85763+0.85137+0.85188+0.84975)/5</f>
        <v>0.85224999999999995</v>
      </c>
      <c r="Q19" s="11">
        <f>(0.69032+0.67028+0.67889+0.68123+0.67948)/5</f>
        <v>0.68003999999999998</v>
      </c>
      <c r="R19" s="11">
        <f>(0.66408+0.65191+0.66925+0.65401+0.64735)/5</f>
        <v>0.65732000000000002</v>
      </c>
      <c r="S19" s="11">
        <f>(0.6625+0.66663+0.67375+0.66038+0.67637)/5</f>
        <v>0.66792599999999991</v>
      </c>
      <c r="T19" s="9">
        <v>0.79964999999999997</v>
      </c>
      <c r="U19" s="9">
        <v>0.81766000000000005</v>
      </c>
      <c r="V19" s="9">
        <v>0.80840000000000001</v>
      </c>
      <c r="W19" s="9">
        <v>0.80347000000000002</v>
      </c>
      <c r="X19" s="9">
        <v>0.80613999999999997</v>
      </c>
      <c r="Y19" s="9">
        <v>0.80479999999999996</v>
      </c>
    </row>
    <row r="20" spans="1:25">
      <c r="A20" s="10">
        <v>7</v>
      </c>
      <c r="B20" s="11">
        <f>(0.89064+0.89393   +0.89198   +0.88823+0.89159   )/5</f>
        <v>0.8912739999999999</v>
      </c>
      <c r="C20" s="11">
        <f>(0.8934   +0.89183   +0.89078   +0.89482   +0.8821   )/5</f>
        <v>0.8905860000000001</v>
      </c>
      <c r="D20" s="11">
        <f>(0.88638+0.89438+0.89138+0.89+0.8925)/5</f>
        <v>0.89092799999999994</v>
      </c>
      <c r="E20" s="11">
        <f>(0.87597+0.87762+0.87539+0.8779+0.87659)/5*0.95</f>
        <v>0.83285929999999997</v>
      </c>
      <c r="F20" s="11">
        <f>(0.91407+0.92474+0.92269+0.92098+0.9156)/5</f>
        <v>0.91961599999999988</v>
      </c>
      <c r="G20" s="11">
        <f>(0.89387+0.9+0.89787+0.898+0.89525)/5</f>
        <v>0.89699800000000018</v>
      </c>
      <c r="H20" s="11">
        <f>(0.75423+0.75428+0.74899+0.75903+0.75244)/5</f>
        <v>0.75379399999999996</v>
      </c>
      <c r="I20" s="11">
        <f>(0.77085+0.78095+0.78348+0.77257+0.78528)/5</f>
        <v>0.77862600000000004</v>
      </c>
      <c r="J20" s="11">
        <f>(0.76213+0.76712+0.76538+0.7655+0.768)/5</f>
        <v>0.76562599999999992</v>
      </c>
      <c r="K20" s="11">
        <f>(0.69047+0.69207+0.6851+0.68708+0.6956)/5</f>
        <v>0.6900639999999999</v>
      </c>
      <c r="L20" s="11">
        <f>(0.66052+0.68448+0.68613+0.66266+0.68696)/5</f>
        <v>0.67615000000000003</v>
      </c>
      <c r="M20" s="11">
        <f>(0.69112+0.67437+0.68563+0.68812+0.67463)/5</f>
        <v>0.68277399999999999</v>
      </c>
      <c r="N20" s="11">
        <f>(0.83361+0.83821+0.83734+0.83621+0.83855)/5</f>
        <v>0.83678399999999997</v>
      </c>
      <c r="O20" s="11">
        <f>(0.86529+0.86543+0.87305+0.86908+0.85673)/5</f>
        <v>0.86591600000000002</v>
      </c>
      <c r="P20" s="11">
        <f>(0.84462+0.85313+0.8545+0.85+0.8515)/5</f>
        <v>0.85075000000000001</v>
      </c>
      <c r="Q20" s="11">
        <f>(0.68005+0.67577+0.68566+0.68892+0.68675)/5</f>
        <v>0.68342999999999998</v>
      </c>
      <c r="R20" s="11">
        <f>(0.64685+0.66343+0.67934+0.66033+0.668)/5</f>
        <v>0.66359000000000001</v>
      </c>
      <c r="S20" s="11">
        <f>(0.67675+0.67388+0.68237+0.66925+0.66225)/5</f>
        <v>0.67289999999999994</v>
      </c>
      <c r="T20" s="9">
        <v>0.80388000000000004</v>
      </c>
      <c r="U20" s="9">
        <v>0.80715000000000003</v>
      </c>
      <c r="V20" s="9">
        <v>0.80549999999999999</v>
      </c>
      <c r="W20" s="9">
        <v>0.79896</v>
      </c>
      <c r="X20" s="9">
        <v>0.79862999999999995</v>
      </c>
      <c r="Y20" s="9">
        <v>0.79879999999999995</v>
      </c>
    </row>
    <row r="21" spans="1:25">
      <c r="A21" s="10">
        <v>15</v>
      </c>
      <c r="B21" s="11">
        <f>(0.88753+0.88652+0.88658+0.90111+0.88237)/5</f>
        <v>0.888822</v>
      </c>
      <c r="C21" s="11">
        <f>(0.88569+0.87966+0.88567+0.88903+0.88875)/5</f>
        <v>0.88575999999999999</v>
      </c>
      <c r="D21" s="11">
        <f>(0.88562+0.895+0.88613+0.88262+0.88662)/5</f>
        <v>0.88719799999999993</v>
      </c>
      <c r="E21" s="11">
        <f>(0.87121+0.87218   +0.87294   +0.88819+0.86322   )/5*0.95</f>
        <v>0.82987060000000001</v>
      </c>
      <c r="F21" s="11">
        <f>(0.90307   +0.90177   +0.90978   +0.91158   +0.91196)/5</f>
        <v>0.90763199999999988</v>
      </c>
      <c r="G21" s="11">
        <f>(0.88613+0.88638+0.8905+0.8995+0.88675)/5</f>
        <v>0.88985199999999998</v>
      </c>
      <c r="H21" s="11">
        <f>(0.75436+0.74358+0.7492+0.75504+0.73068)/5</f>
        <v>0.74657200000000001</v>
      </c>
      <c r="I21" s="11">
        <f>(0.74624+0.75761+0.75435+0.75471+0.75758)/5</f>
        <v>0.75409799999999994</v>
      </c>
      <c r="J21" s="11">
        <f>(0.75038+0.75038+0.75175+0.75487+0.744)/5</f>
        <v>0.75027600000000005</v>
      </c>
      <c r="K21" s="11">
        <f>(0.68832+0.69119+0.67926+0.69682+0.67778)/5</f>
        <v>0.68667400000000001</v>
      </c>
      <c r="L21" s="11">
        <f>(0.66163+0.67542+0.66555+0.68143+0.68517)/5</f>
        <v>0.67383999999999999</v>
      </c>
      <c r="M21" s="11">
        <f>(0.67463+0.683+0.67212+0.68888+0.68163)/5</f>
        <v>0.6800520000000001</v>
      </c>
      <c r="N21" s="11">
        <f>(0.83216+0.83211+0.82772+0.8509+0.81851)/5</f>
        <v>0.83228000000000013</v>
      </c>
      <c r="O21" s="11">
        <f>(0.8602+0.8486+0.84444+0.84492+0.83726)/5</f>
        <v>0.84708400000000006</v>
      </c>
      <c r="P21" s="11">
        <f>(0.83875+0.84975+0.83588+0.83837+0.83462)/5</f>
        <v>0.83947399999999983</v>
      </c>
      <c r="Q21" s="11">
        <f>(0.67961+0.68606+0.6733+0.69602+0.67325)/5</f>
        <v>0.68164799999999992</v>
      </c>
      <c r="R21" s="11">
        <f>(0.67349+0.67591+0.65454+0.66375+0.64866)/5</f>
        <v>0.66327000000000003</v>
      </c>
      <c r="S21" s="11">
        <f>(0.6635+0.67425+0.66338+0.6855+0.67337)/5</f>
        <v>0.67200000000000004</v>
      </c>
      <c r="T21" s="9">
        <v>0.79388999999999998</v>
      </c>
      <c r="U21" s="9">
        <v>0.79861000000000004</v>
      </c>
      <c r="V21" s="9">
        <v>0.79620000000000002</v>
      </c>
      <c r="W21" s="9">
        <v>0.79464999999999997</v>
      </c>
      <c r="X21" s="9">
        <v>0.79698999999999998</v>
      </c>
      <c r="Y21" s="9">
        <v>0.79579999999999995</v>
      </c>
    </row>
    <row r="22" spans="1:25">
      <c r="A22" s="10">
        <v>30</v>
      </c>
      <c r="B22" s="11">
        <f>(0.87976+0.8726+0.86528+0.87595+0.867)/5</f>
        <v>0.87211800000000006</v>
      </c>
      <c r="C22" s="11">
        <f>(0.87318+0.87137+0.87079+0.86939+0.8702)/5</f>
        <v>0.87098599999999993</v>
      </c>
      <c r="D22" s="11">
        <f>(0.875+0.871+0.868+0.87362+0.87013)/5</f>
        <v>0.87154999999999982</v>
      </c>
      <c r="E22" s="11">
        <f>(0.86702+0.86425+0.85031+0.85849+0.85128)/5*0.95</f>
        <v>0.81535649999999982</v>
      </c>
      <c r="F22" s="11">
        <f>(0.87966+0.88523+0.89486+0.89001+0.887)/5</f>
        <v>0.88735199999999992</v>
      </c>
      <c r="G22" s="11">
        <f>(0.87313+0.87438+0.87113+0.87375+0.86862)/5</f>
        <v>0.87220200000000003</v>
      </c>
      <c r="H22" s="11">
        <f>(0.73715+0.7374+0.72937+0.73057+0.72364)/5</f>
        <v>0.73162600000000011</v>
      </c>
      <c r="I22" s="11">
        <f>(0.7229+0.73063+0.73345+0.73117+0.74175)/5</f>
        <v>0.73198000000000008</v>
      </c>
      <c r="J22" s="11">
        <f>(0.73+0.734+0.73137+0.73088+0.73262)/5</f>
        <v>0.73177400000000004</v>
      </c>
      <c r="K22" s="11">
        <f>(0.68263+0.68206+0.67417+0.67647+0.66883)/5</f>
        <v>0.6768320000000001</v>
      </c>
      <c r="L22" s="11">
        <f>(0.66002+0.66969+0.67357+0.67338+0.68421)/5</f>
        <v>0.67217400000000005</v>
      </c>
      <c r="M22" s="11">
        <f>(0.671+0.67575+0.67388+0.67488+0.6765)/5</f>
        <v>0.67440199999999995</v>
      </c>
      <c r="N22" s="11">
        <f>(0.82308+0.8113+0.81069+0.80345+0.80015)/5</f>
        <v>0.80973400000000006</v>
      </c>
      <c r="O22" s="11">
        <f>(0.81239+0.81705+0.8221+0.81105+0.82212)/5</f>
        <v>0.81694200000000006</v>
      </c>
      <c r="P22" s="11">
        <f>(0.81775+0.81412+0.81625+0.80725+0.811)/5</f>
        <v>0.81327400000000005</v>
      </c>
      <c r="Q22" s="11">
        <f>(0.67698+0.68027+0.66961+0.67555+0.66921)/5</f>
        <v>0.67432400000000003</v>
      </c>
      <c r="R22" s="11">
        <f>(0.65173+0.66193+0.6627+0.66548+0.67764)/5</f>
        <v>0.66389600000000004</v>
      </c>
      <c r="S22" s="11">
        <f>(0.6735+0.67025+0.66612+0.67075+0.66387)/5</f>
        <v>0.6688980000000001</v>
      </c>
      <c r="T22" s="9">
        <v>0.80357999999999996</v>
      </c>
      <c r="U22" s="9">
        <v>0.79129000000000005</v>
      </c>
      <c r="V22" s="9">
        <v>0.7974</v>
      </c>
      <c r="W22" s="9">
        <v>0.78822000000000003</v>
      </c>
      <c r="X22" s="9">
        <v>0.78837999999999997</v>
      </c>
      <c r="Y22" s="9">
        <v>0.7883</v>
      </c>
    </row>
    <row r="23" spans="1:25">
      <c r="A23" s="7">
        <v>45</v>
      </c>
      <c r="B23" s="9">
        <f>(0.86558+0.86688+0.86068+0.85992+0.86902)/5</f>
        <v>0.86441599999999996</v>
      </c>
      <c r="C23" s="9">
        <f>(0.8644+0.8764+0.8652+0.86331+0.87819)/5</f>
        <v>0.86950000000000005</v>
      </c>
      <c r="D23" s="9">
        <f>(0.8719+0.8651+0.8629+0.868+0.8667)/5</f>
        <v>0.86692000000000002</v>
      </c>
      <c r="E23" s="9">
        <f>(0.85234+0.85616+0.84438+0.84388+0.85425)/5*0.95</f>
        <v>0.80769190000000002</v>
      </c>
      <c r="F23" s="9">
        <f>(0.87369+0.86276+0.86037+0.87693+0.85697)/5</f>
        <v>0.86614399999999991</v>
      </c>
      <c r="G23" s="9">
        <f>(0.8629+0.8594+0.8521+0.8597+0.8556)/5</f>
        <v>0.85794000000000015</v>
      </c>
      <c r="H23" s="9">
        <f>(0.69766+0.71152+0.71618+0.71185+0.71803)/5</f>
        <v>0.71104800000000012</v>
      </c>
      <c r="I23" s="9">
        <f>(0.72238+0.71107+0.71258+0.71801+0.72325)/5</f>
        <v>0.71745800000000004</v>
      </c>
      <c r="J23" s="9">
        <f>(0.7097+0.7113+0.7144+0.7149+0.7206)/5</f>
        <v>0.71418000000000004</v>
      </c>
      <c r="K23" s="9">
        <f>(0.65675+0.66172+0.66017+0.6588+0.67008)/5</f>
        <v>0.66150399999999998</v>
      </c>
      <c r="L23" s="9">
        <f>(0.6777+0.65451+0.65658+0.6612+0.66074)/5</f>
        <v>0.66214600000000001</v>
      </c>
      <c r="M23" s="9">
        <f>(0.667+0.6581+0.6584+0.66+0.6653)/5</f>
        <v>0.6617599999999999</v>
      </c>
      <c r="N23" s="9">
        <f>(0.78826+0.80281+0.80184+0.7952+0.81417)/5</f>
        <v>0.80045599999999995</v>
      </c>
      <c r="O23" s="9">
        <f>(0.79506+0.79482+0.79415+0.80206+0.80012)/5</f>
        <v>0.79724200000000001</v>
      </c>
      <c r="P23" s="9">
        <f>(0.7917+0.7988+0.798+0.7986+0.807)/5</f>
        <v>0.79881999999999997</v>
      </c>
      <c r="Q23" s="9">
        <f>(0.68123+0.68834+0.68116+0.68012+0.69485)/5</f>
        <v>0.68513999999999997</v>
      </c>
      <c r="R23" s="9">
        <f>(0.66728+0.64699+0.64378+0.64836+0.65478)/5</f>
        <v>0.6522380000000001</v>
      </c>
      <c r="S23" s="9">
        <f>(0.6737+0.6655+0.6608+0.6626+0.6726)/5</f>
        <v>0.66703999999999997</v>
      </c>
      <c r="T23" s="9">
        <v>0.78239999999999998</v>
      </c>
      <c r="U23" s="9">
        <v>0.79300000000000004</v>
      </c>
      <c r="V23" s="9">
        <v>0.78769999999999996</v>
      </c>
      <c r="W23" s="9">
        <v>0.75970000000000004</v>
      </c>
      <c r="X23" s="9">
        <v>0.75788</v>
      </c>
      <c r="Y23" s="9">
        <v>0.75880000000000003</v>
      </c>
    </row>
    <row r="24" spans="1:25">
      <c r="A24" s="7">
        <v>60</v>
      </c>
      <c r="B24" s="9">
        <f>(0.86865+0.86137+0.86812+0.86246+0.86695)/5</f>
        <v>0.86550999999999989</v>
      </c>
      <c r="C24" s="9">
        <f>(0.86645+0.86315+0.85495+0.8652+0.86757)/5</f>
        <v>0.8634639999999999</v>
      </c>
      <c r="D24" s="9">
        <f>(0.8681+0.8633+0.8616+0.8628+0.8667)/5</f>
        <v>0.86449999999999994</v>
      </c>
      <c r="E24" s="9">
        <f>(0.8443+0.84038+0.85328+0.83879+0.84417)/5*0.95</f>
        <v>0.80197479999999988</v>
      </c>
      <c r="F24" s="9">
        <f>(0.85307+0.86538+0.8525+0.85289+0.85916)/5</f>
        <v>0.85659999999999992</v>
      </c>
      <c r="G24" s="9">
        <f>(0.8487+0.8526+0.8529+0.8457+0.8515)/5</f>
        <v>0.85027999999999992</v>
      </c>
      <c r="H24" s="9">
        <f>(0.6941+0.69241+0.70803+0.70704+0.69594)/5</f>
        <v>0.6995039999999999</v>
      </c>
      <c r="I24" s="9">
        <f>(0.70946+0.70656+0.68795+0.7112+0.69929)/5</f>
        <v>0.70289200000000007</v>
      </c>
      <c r="J24" s="9">
        <f>(0.7017+0.6994+0.698+0.7091+0.6976)/5</f>
        <v>0.70116000000000001</v>
      </c>
      <c r="K24" s="9">
        <f>(0.66529+0.65685+0.66135+0.66667+0.66947)/5</f>
        <v>0.66392600000000002</v>
      </c>
      <c r="L24" s="9">
        <f>(0.68156+0.6746+0.64561+0.67098+0.66933)/5</f>
        <v>0.66841600000000001</v>
      </c>
      <c r="M24" s="9">
        <f>(0.6733+0.6655+0.6536+0.6688+0.6694)/5</f>
        <v>0.66612000000000005</v>
      </c>
      <c r="N24" s="9">
        <f>(0.79004+0.78369+0.80281+0.79485+0.78629)/5</f>
        <v>0.79153600000000002</v>
      </c>
      <c r="O24" s="9">
        <f>(0.78471+0.79048+0.7795+0.79655+0.78631)/5</f>
        <v>0.78750999999999993</v>
      </c>
      <c r="P24" s="9">
        <f>(0.7873+0.7871+0.7911+0.7957+0.7863)/5</f>
        <v>0.78949999999999998</v>
      </c>
      <c r="Q24" s="9">
        <f>(0.67797+0.67008+0.67318+0.67946+0.68033)/5</f>
        <v>0.67620400000000003</v>
      </c>
      <c r="R24" s="9">
        <f>(0.67136+0.66513+0.63791+0.65723+0.66024)/5</f>
        <v>0.65837400000000001</v>
      </c>
      <c r="S24" s="9">
        <f>(0.6745+0.6675+0.6547+0.6676+0.6697)/5</f>
        <v>0.66679999999999995</v>
      </c>
      <c r="T24" s="9">
        <v>0.78332999999999997</v>
      </c>
      <c r="U24" s="9">
        <v>0.77146000000000003</v>
      </c>
      <c r="V24" s="9">
        <v>0.77729999999999999</v>
      </c>
      <c r="W24" s="9">
        <v>0.75266999999999995</v>
      </c>
      <c r="X24" s="9">
        <v>0.73694999999999999</v>
      </c>
      <c r="Y24" s="9">
        <v>0.74460000000000004</v>
      </c>
    </row>
    <row r="25" spans="1:25">
      <c r="A25" s="7">
        <v>90</v>
      </c>
      <c r="B25" s="9">
        <f>0.8587</f>
        <v>0.85870000000000002</v>
      </c>
      <c r="C25" s="9">
        <f>0.85992</f>
        <v>0.85992000000000002</v>
      </c>
      <c r="D25" s="9">
        <f>0.8593</f>
        <v>0.85929999999999995</v>
      </c>
      <c r="E25" s="9">
        <f>(0.83442+0.84206+0.83531+0.84827+0.8484)/5*0.95</f>
        <v>0.79960740000000008</v>
      </c>
      <c r="F25" s="9">
        <f>(0.84575+0.8559+0.85171+0.84275+0.8452)/5</f>
        <v>0.84826199999999985</v>
      </c>
      <c r="G25" s="9">
        <f>(0.84+0.8489+0.8433+0.8455+0.8468)/5</f>
        <v>0.84489999999999998</v>
      </c>
      <c r="H25" s="9">
        <f>(0.68021+0.68776+0.68136+0.68187+0.69369)/5</f>
        <v>0.68497800000000009</v>
      </c>
      <c r="I25" s="9">
        <f>(0.68483+0.69651+0.68571+0.67638+0.68736)/5</f>
        <v>0.68615800000000005</v>
      </c>
      <c r="J25" s="9">
        <f>(0.6825+0.6921+0.6835+0.6791+0.6905)/5</f>
        <v>0.68554000000000004</v>
      </c>
      <c r="K25" s="9">
        <f>(0.66238+0.65723+0.65873+0.65496+0.67441)/5</f>
        <v>0.66154200000000007</v>
      </c>
      <c r="L25" s="9">
        <f>(0.67228+0.67568+0.66818+0.66078+0.67379)/5</f>
        <v>0.67014200000000002</v>
      </c>
      <c r="M25" s="9">
        <f>(0.6672+0.6661+0.6633+0.6578+0.6741)/5</f>
        <v>0.66569999999999996</v>
      </c>
      <c r="N25" s="9">
        <f>(0.78072+0.79426+0.79286+0.79204+0.7902)/5</f>
        <v>0.79001600000000005</v>
      </c>
      <c r="O25" s="9">
        <f>(0.77569+0.78385+0.78308+0.79773+0.77633)/5</f>
        <v>0.78333600000000003</v>
      </c>
      <c r="P25" s="9">
        <f>(0.7785+0.796+0.7879+0.7879+0.7828)/5</f>
        <v>0.78661999999999999</v>
      </c>
      <c r="Q25" s="9">
        <f>(0.66136+0.65859+0.65808+0.65478+0.66773)/5</f>
        <v>0.66010800000000003</v>
      </c>
      <c r="R25" s="9">
        <f>(0.66836+0.66917+0.66179+0.65543+0.66626)/5</f>
        <v>0.66420199999999996</v>
      </c>
      <c r="S25" s="9">
        <f>(0.667+0.6551+0.6599+0.6638+0.6648)/5</f>
        <v>0.66212000000000004</v>
      </c>
      <c r="T25" s="9">
        <v>0.78154999999999997</v>
      </c>
      <c r="U25" s="9">
        <v>0.75946000000000002</v>
      </c>
      <c r="V25" s="9">
        <v>0.77</v>
      </c>
      <c r="W25" s="9">
        <v>0.73855999999999999</v>
      </c>
      <c r="X25" s="9">
        <v>0.74611000000000005</v>
      </c>
      <c r="Y25" s="9">
        <v>0.74229999999999996</v>
      </c>
    </row>
    <row r="26" spans="1:25">
      <c r="A26" s="7">
        <v>150</v>
      </c>
      <c r="B26" s="9">
        <f>0.8495</f>
        <v>0.84950000000000003</v>
      </c>
      <c r="C26" s="9">
        <f>0.84904</f>
        <v>0.84904000000000002</v>
      </c>
      <c r="D26" s="9">
        <f>0.84928</f>
        <v>0.84928000000000003</v>
      </c>
      <c r="E26" s="5">
        <f>(0.83096+0.82558+0.82524+0.81717+0.83203)/5*0.95</f>
        <v>0.78488619999999998</v>
      </c>
      <c r="F26" s="5">
        <f>(0.83114+0.82684+0.84029+0.83909+0.83736)/5</f>
        <v>0.83494399999999991</v>
      </c>
      <c r="G26" s="5">
        <f>(0.8312+0.8262+0.8326+0.8279+0.8347)/5</f>
        <v>0.83052000000000015</v>
      </c>
      <c r="H26" s="5">
        <f>(0.68076+0.67278+0.67495+0.66057+0.66739)/5</f>
        <v>0.67129000000000005</v>
      </c>
      <c r="I26" s="5">
        <f>(0.66957+0.6656+0.67465+0.67467+0.67855)/5</f>
        <v>0.67260799999999998</v>
      </c>
      <c r="J26" s="5">
        <f>(0.6751+0.6692+0.6748+0.6675+0.6729)/5</f>
        <v>0.67189999999999994</v>
      </c>
      <c r="K26" s="5">
        <f>(0.65566+0.66001+0.65067+0.64447+0.65333)/5</f>
        <v>0.65282799999999996</v>
      </c>
      <c r="L26" s="5">
        <f>(0.65989+0.65836+0.66149+0.66695+0.66976)/5</f>
        <v>0.66329000000000005</v>
      </c>
      <c r="M26" s="5">
        <f>(0.6577+0.6592+0.6559+0.6552+0.6613)/5</f>
        <v>0.65786</v>
      </c>
      <c r="N26" s="9">
        <f>(0.77689+0.77847+0.76729+0.77018+0.7793)/5</f>
        <v>0.77442599999999995</v>
      </c>
      <c r="O26" s="9">
        <f>(0.75793+0.76486+0.76651+0.77101+0.77479)/5</f>
        <v>0.76701999999999992</v>
      </c>
      <c r="P26" s="9">
        <f>(0.7672+0.7716+0.7669+0.7706+0.777)/5</f>
        <v>0.77066000000000001</v>
      </c>
      <c r="Q26" s="9">
        <f>(0.64676+0.65095+0.64235+0.63685+0.64038)/5</f>
        <v>0.64345799999999997</v>
      </c>
      <c r="R26" s="9">
        <f>(0.6724+0.67052+0.6658+0.66149+0.66608)/5</f>
        <v>0.66725800000000002</v>
      </c>
      <c r="S26" s="9">
        <f>(0.6556+0.6559+0.6532+0.6523+0.6551)/5</f>
        <v>0.65442</v>
      </c>
      <c r="T26" s="9">
        <v>0.75044</v>
      </c>
      <c r="U26" s="9">
        <v>0.76710999999999996</v>
      </c>
      <c r="V26" s="9">
        <v>0.75849999999999995</v>
      </c>
      <c r="W26" s="9">
        <v>0.72865000000000002</v>
      </c>
      <c r="X26" s="9">
        <v>0.73690999999999995</v>
      </c>
      <c r="Y26" s="9">
        <v>0.73270000000000002</v>
      </c>
    </row>
    <row r="27" spans="1:25">
      <c r="A27" s="7">
        <v>210</v>
      </c>
      <c r="B27" s="9">
        <f>0.84452</f>
        <v>0.84452000000000005</v>
      </c>
      <c r="C27" s="9">
        <f>0.84203</f>
        <v>0.84202999999999995</v>
      </c>
      <c r="D27" s="9">
        <f>0.84328</f>
        <v>0.84328000000000003</v>
      </c>
      <c r="E27" s="9">
        <f>(0.82072+0.82183+0.8206+0.81071+0.81394)/5*0.95</f>
        <v>0.77668199999999987</v>
      </c>
      <c r="F27" s="9">
        <f>(0.8311+0.81611+0.81756+0.82912+0.82108)/5</f>
        <v>0.82299399999999989</v>
      </c>
      <c r="G27" s="9">
        <f>(0.8259+0.818+0.8191+0.8198+0.8175)/5</f>
        <v>0.82006000000000001</v>
      </c>
      <c r="H27" s="5">
        <f>(0.64144+0.65116+0.65017+0.63743+0.64486)/5</f>
        <v>0.64501200000000003</v>
      </c>
      <c r="I27" s="5">
        <f>(0.65581+0.63521+0.64037+0.64964+0.64494)/5</f>
        <v>0.64519400000000005</v>
      </c>
      <c r="J27" s="5">
        <f>(0.6485+0.6431+0.6453+0.6435+0.6449)/5</f>
        <v>0.64505999999999997</v>
      </c>
      <c r="K27" s="9">
        <f>(0.63259+0.6399+0.63936+0.63098+0.62588)/5</f>
        <v>0.63374200000000003</v>
      </c>
      <c r="L27" s="9">
        <f>(0.64882+0.62882+0.63472+0.64932+0.637)/5</f>
        <v>0.63973599999999997</v>
      </c>
      <c r="M27" s="9">
        <f>(0.6405+0.6344+0.6371+0.6399+0.6313)/5</f>
        <v>0.63663999999999998</v>
      </c>
      <c r="N27" s="9">
        <f>(0.76444+0.7773+0.76883+0.75334+0.75158)/5</f>
        <v>0.76309800000000005</v>
      </c>
      <c r="O27" s="9">
        <f>(0.76123+0.75005+0.75099+0.75841+0.74535)/5</f>
        <v>0.75320599999999993</v>
      </c>
      <c r="P27" s="9">
        <f>(0.7628+0.7633+0.7598+0.7559+0.7484)/5</f>
        <v>0.75803999999999994</v>
      </c>
      <c r="Q27" s="9">
        <f>(0.61758+0.62225+0.62877+0.6153+0.61569)/5</f>
        <v>0.61991799999999997</v>
      </c>
      <c r="R27" s="9">
        <f>(0.66421+0.64051+0.64919+0.66589+0.64993)/5</f>
        <v>0.65394600000000003</v>
      </c>
      <c r="S27" s="9">
        <f>(0.6378+0.6303+0.6378+0.637+0.6309)/5</f>
        <v>0.63475999999999999</v>
      </c>
      <c r="T27" s="9">
        <v>0.73987000000000003</v>
      </c>
      <c r="U27" s="9">
        <v>0.74170999999999998</v>
      </c>
      <c r="V27" s="9">
        <v>0.74080000000000001</v>
      </c>
      <c r="W27" s="9">
        <v>0.72492999999999996</v>
      </c>
      <c r="X27" s="9">
        <v>0.71394999999999997</v>
      </c>
      <c r="Y27" s="9">
        <v>0.71940000000000004</v>
      </c>
    </row>
    <row r="28" spans="1:25">
      <c r="A28" s="7">
        <v>300</v>
      </c>
      <c r="B28" s="9">
        <f>0.83117</f>
        <v>0.83116999999999996</v>
      </c>
      <c r="C28" s="9">
        <f>0.8293</f>
        <v>0.82930000000000004</v>
      </c>
      <c r="D28" s="9">
        <f>0.83024</f>
        <v>0.83023999999999998</v>
      </c>
      <c r="E28" s="9">
        <f>(0.79422+0.80622+0.80147+0.79365+0.79629)/5*0.95</f>
        <v>0.75845149999999995</v>
      </c>
      <c r="F28" s="9">
        <f>(0.81337+0.81354+0.80294+0.79862+0.80463)/5</f>
        <v>0.80662</v>
      </c>
      <c r="G28" s="9">
        <f>(0.8037+0.8098+0.8022+0.7961+0.8004)/5</f>
        <v>0.80244000000000004</v>
      </c>
      <c r="H28" s="9">
        <f>(0.61529+0.62336+0.6227+0.62302+0.6217)/5</f>
        <v>0.62121400000000004</v>
      </c>
      <c r="I28" s="9">
        <f>(0.62641+0.61881+0.61637+0.62257+0.61991)/5</f>
        <v>0.62081399999999998</v>
      </c>
      <c r="J28" s="9">
        <f>(0.6209+0.6211+0.6195+0.6228+0.6208)/5</f>
        <v>0.62102000000000002</v>
      </c>
      <c r="K28" s="9">
        <f>(0.59896+0.61111+0.61169+0.61052+0.60016)/5</f>
        <v>0.60648799999999992</v>
      </c>
      <c r="L28" s="9">
        <f>(0.61246+0.60354+0.60635+0.60728+0.59689)/5</f>
        <v>0.60530400000000006</v>
      </c>
      <c r="M28" s="9">
        <f>(0.6057+0.6073+0.609+0.6089+0.5985)/5</f>
        <v>0.60588000000000009</v>
      </c>
      <c r="N28" s="9">
        <f>(0.7437+0.75188+0.7482+0.74985+0.74447)/5</f>
        <v>0.74762000000000006</v>
      </c>
      <c r="O28" s="9">
        <f>(0.74526+0.73833+0.73052+0.73624+0.73762)/5</f>
        <v>0.73759399999999997</v>
      </c>
      <c r="P28" s="9">
        <f>(0.7445+0.745+0.7429+0.7391+0.741)/5</f>
        <v>0.74250000000000005</v>
      </c>
      <c r="Q28" s="9">
        <f>(0.57872+0.5931+0.59344+0.59284+0.58819)/5</f>
        <v>0.58925799999999995</v>
      </c>
      <c r="R28" s="9">
        <f>(0.63641+0.63213+0.63255+0.63222+0.62798)/5</f>
        <v>0.63225799999999999</v>
      </c>
      <c r="S28" s="9">
        <f>(0.6044+0.6088+0.6093+0.6087+0.6016)/5</f>
        <v>0.60655999999999999</v>
      </c>
      <c r="T28" s="9">
        <v>0.71786000000000005</v>
      </c>
      <c r="U28" s="9">
        <v>0.72545999999999999</v>
      </c>
      <c r="V28" s="9">
        <v>0.72160000000000002</v>
      </c>
      <c r="W28" s="9">
        <v>0.70879000000000003</v>
      </c>
      <c r="X28" s="9">
        <v>0.70426999999999995</v>
      </c>
      <c r="Y28" s="9">
        <v>0.70650000000000002</v>
      </c>
    </row>
    <row r="29" spans="1: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25">
      <c r="K30" s="8"/>
    </row>
    <row r="31" spans="1:25">
      <c r="A31" s="17" t="b">
        <v>1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1:25">
      <c r="A32" s="17" t="s">
        <v>0</v>
      </c>
      <c r="B32" s="17" t="s">
        <v>2</v>
      </c>
      <c r="C32" s="17"/>
      <c r="D32" s="17"/>
      <c r="E32" s="17" t="s">
        <v>10</v>
      </c>
      <c r="F32" s="17"/>
      <c r="G32" s="17"/>
      <c r="H32" s="17" t="s">
        <v>11</v>
      </c>
      <c r="I32" s="17"/>
      <c r="J32" s="17"/>
      <c r="K32" s="17" t="s">
        <v>12</v>
      </c>
      <c r="L32" s="17"/>
      <c r="M32" s="17"/>
      <c r="N32" s="17" t="s">
        <v>17</v>
      </c>
      <c r="O32" s="17"/>
      <c r="P32" s="17"/>
      <c r="Q32" s="17" t="s">
        <v>13</v>
      </c>
      <c r="R32" s="17"/>
      <c r="S32" s="17"/>
      <c r="T32" s="17" t="s">
        <v>15</v>
      </c>
      <c r="U32" s="17"/>
      <c r="V32" s="17"/>
      <c r="W32" s="17" t="s">
        <v>16</v>
      </c>
      <c r="X32" s="17"/>
      <c r="Y32" s="17"/>
    </row>
    <row r="33" spans="1:25">
      <c r="A33" s="17"/>
      <c r="B33" s="7">
        <v>1</v>
      </c>
      <c r="C33" s="7">
        <v>0</v>
      </c>
      <c r="D33" s="1" t="s">
        <v>3</v>
      </c>
      <c r="E33" s="7">
        <v>1</v>
      </c>
      <c r="F33" s="7">
        <v>0</v>
      </c>
      <c r="G33" s="1" t="s">
        <v>3</v>
      </c>
      <c r="H33" s="7">
        <v>1</v>
      </c>
      <c r="I33" s="7">
        <v>0</v>
      </c>
      <c r="J33" s="1" t="s">
        <v>3</v>
      </c>
      <c r="K33" s="7">
        <v>1</v>
      </c>
      <c r="L33" s="7">
        <v>0</v>
      </c>
      <c r="M33" s="7" t="s">
        <v>3</v>
      </c>
      <c r="N33" s="7">
        <v>1</v>
      </c>
      <c r="O33" s="7">
        <v>0</v>
      </c>
      <c r="P33" s="7" t="s">
        <v>3</v>
      </c>
      <c r="Q33" s="7">
        <v>1</v>
      </c>
      <c r="R33" s="7">
        <v>0</v>
      </c>
      <c r="S33" s="7" t="s">
        <v>3</v>
      </c>
      <c r="T33" s="12">
        <v>1</v>
      </c>
      <c r="U33" s="12">
        <v>0</v>
      </c>
      <c r="V33" s="12" t="s">
        <v>3</v>
      </c>
      <c r="W33" s="12">
        <v>1</v>
      </c>
      <c r="X33" s="12">
        <v>0</v>
      </c>
      <c r="Y33" s="12" t="s">
        <v>3</v>
      </c>
    </row>
    <row r="34" spans="1:25">
      <c r="A34" s="7">
        <v>5</v>
      </c>
      <c r="B34" s="13">
        <f>ROUND(E19*D4*(F19-G19)/(F19-E19),0)</f>
        <v>8858</v>
      </c>
      <c r="C34" s="13">
        <f>ROUND(F19*D4*(E19-G19)/(E19-F19),0)</f>
        <v>27043</v>
      </c>
      <c r="D34" s="13">
        <f t="shared" ref="D34:D43" si="27">B34+C34</f>
        <v>35901</v>
      </c>
      <c r="E34" s="13">
        <f>ROUND(H19*G4*(I19-J19)/(I19-H19),0)</f>
        <v>15971</v>
      </c>
      <c r="F34" s="13">
        <f>ROUND(I19*G4*(H19-J19)/(H19-I19),0)</f>
        <v>14694</v>
      </c>
      <c r="G34" s="13">
        <f t="shared" ref="G34:G43" si="28">E34+F34</f>
        <v>30665</v>
      </c>
      <c r="H34" s="13">
        <f>ROUND(K19*J4*(L19-M19)/(L19-K19),0)</f>
        <v>13135</v>
      </c>
      <c r="I34" s="13">
        <f>ROUND(L19*J4*(K19-M19)/(K19-L19),0)</f>
        <v>13951</v>
      </c>
      <c r="J34" s="13">
        <f t="shared" ref="J34:J43" si="29">H34+I34</f>
        <v>27086</v>
      </c>
      <c r="K34" s="13">
        <f>ROUND(N19*M4*(O19-P19)/(O19-N19),0)</f>
        <v>17470</v>
      </c>
      <c r="L34" s="13">
        <f>ROUND(O19*M4*(N19-P19)/(N19-O19),0)</f>
        <v>16620</v>
      </c>
      <c r="M34" s="13">
        <f t="shared" ref="M34:M43" si="30">K34+L34</f>
        <v>34090</v>
      </c>
      <c r="N34" s="13">
        <f>ROUND(B19*P4*(C19-D19)/(C19-B19),0)</f>
        <v>17647</v>
      </c>
      <c r="O34" s="13">
        <f>ROUND(C19*P4*(B19-D19)/(B19-C19),0)</f>
        <v>18399</v>
      </c>
      <c r="P34" s="13">
        <f t="shared" ref="P34:P36" si="31">N34+O34</f>
        <v>36046</v>
      </c>
      <c r="Q34" s="13">
        <f>ROUND(Q19*S4*(R19-S19)/(R19-Q19),0)</f>
        <v>12698</v>
      </c>
      <c r="R34" s="13">
        <f>ROUND(R19*S4*(Q19-S19)/(Q19-R19),0)</f>
        <v>14019</v>
      </c>
      <c r="S34" s="13">
        <f t="shared" ref="S34:S36" si="32">Q34+R34</f>
        <v>26717</v>
      </c>
      <c r="T34" s="13">
        <f>ROUND(T19*V4*(U19-V19)/(U19-T19),0)</f>
        <v>20557</v>
      </c>
      <c r="U34" s="13">
        <f>ROUND(U19*V4*(T19-V19)/(T19-U19),0)</f>
        <v>19863</v>
      </c>
      <c r="V34" s="13">
        <f t="shared" ref="V34" si="33">T34+U34</f>
        <v>40420</v>
      </c>
      <c r="W34" s="13">
        <f>ROUND(W19*Y4*(X19-Y19)/(X19-W19),0)</f>
        <v>20162</v>
      </c>
      <c r="X34" s="13">
        <f>ROUND(X19*Y4*(W19-Y19)/(W19-X19),0)</f>
        <v>20078</v>
      </c>
      <c r="Y34" s="13">
        <f t="shared" ref="Y34" si="34">W34+X34</f>
        <v>40240</v>
      </c>
    </row>
    <row r="35" spans="1:25">
      <c r="A35" s="7">
        <v>7</v>
      </c>
      <c r="B35" s="13">
        <f>ROUND(E20*D5*(F20-G20)/(F20-E20),0)</f>
        <v>8685</v>
      </c>
      <c r="C35" s="13">
        <f>ROUND(F20*D5*(E20-G20)/(E20-F20),0)</f>
        <v>27195</v>
      </c>
      <c r="D35" s="13">
        <f t="shared" si="27"/>
        <v>35880</v>
      </c>
      <c r="E35" s="13">
        <f>ROUND(H20*G5*(I20-J20)/(I20-H20),0)</f>
        <v>15785</v>
      </c>
      <c r="F35" s="13">
        <f>ROUND(I20*G5*(H20-J20)/(H20-I20),0)</f>
        <v>14840</v>
      </c>
      <c r="G35" s="13">
        <f t="shared" si="28"/>
        <v>30625</v>
      </c>
      <c r="H35" s="13">
        <f>ROUND(K20*J5*(L20-M20)/(L20-K20),0)</f>
        <v>13141</v>
      </c>
      <c r="I35" s="13">
        <f>ROUND(L20*J5*(K20-M20)/(K20-L20),0)</f>
        <v>14170</v>
      </c>
      <c r="J35" s="13">
        <f t="shared" si="29"/>
        <v>27311</v>
      </c>
      <c r="K35" s="13">
        <f>ROUND(N20*M5*(O20-P20)/(O20-N20),0)</f>
        <v>17425</v>
      </c>
      <c r="L35" s="13">
        <f>ROUND(O20*M5*(N20-P20)/(N20-O20),0)</f>
        <v>16605</v>
      </c>
      <c r="M35" s="13">
        <f t="shared" si="30"/>
        <v>34030</v>
      </c>
      <c r="N35" s="13">
        <f>ROUND(B20*P5*(C20-D20)/(C20-B20),0)</f>
        <v>17722</v>
      </c>
      <c r="O35" s="13">
        <f>ROUND(C20*P5*(B20-D20)/(B20-C20),0)</f>
        <v>17915</v>
      </c>
      <c r="P35" s="13">
        <f t="shared" si="31"/>
        <v>35637</v>
      </c>
      <c r="Q35" s="13">
        <f>ROUND(Q20*S5*(R20-S20)/(R20-Q20),0)</f>
        <v>12828</v>
      </c>
      <c r="R35" s="13">
        <f>ROUND(R20*S5*(Q20-S20)/(Q20-R20),0)</f>
        <v>14088</v>
      </c>
      <c r="S35" s="13">
        <f t="shared" si="32"/>
        <v>26916</v>
      </c>
      <c r="T35" s="13">
        <f>ROUND(T20*V5*(U20-V20)/(U20-T20),0)</f>
        <v>20281</v>
      </c>
      <c r="U35" s="13">
        <f>ROUND(U20*V5*(T20-V20)/(T20-U20),0)</f>
        <v>19994</v>
      </c>
      <c r="V35" s="13">
        <f t="shared" ref="V35:V43" si="35">T35+U35</f>
        <v>40275</v>
      </c>
      <c r="W35" s="13">
        <f>ROUND(W20*Y5*(X20-Y20)/(X20-W20),0)</f>
        <v>20579</v>
      </c>
      <c r="X35" s="13">
        <f>ROUND(X20*Y5*(W20-Y20)/(W20-X20),0)</f>
        <v>19361</v>
      </c>
      <c r="Y35" s="13">
        <f t="shared" ref="Y35:Y43" si="36">W35+X35</f>
        <v>39940</v>
      </c>
    </row>
    <row r="36" spans="1:25">
      <c r="A36" s="7">
        <v>15</v>
      </c>
      <c r="B36" s="13">
        <f>ROUND(E21*D6*(F21-G21)/(F21-E21),0)</f>
        <v>7590</v>
      </c>
      <c r="C36" s="13">
        <f>ROUND(F21*D6*(E21-G21)/(E21-F21),0)</f>
        <v>28004</v>
      </c>
      <c r="D36" s="13">
        <f t="shared" si="27"/>
        <v>35594</v>
      </c>
      <c r="E36" s="13">
        <f>ROUND(H21*G6*(I21-J21)/(I21-H21),0)</f>
        <v>15166</v>
      </c>
      <c r="F36" s="13">
        <f>ROUND(I21*G6*(H21-J21)/(H21-I21),0)</f>
        <v>14845</v>
      </c>
      <c r="G36" s="13">
        <f t="shared" si="28"/>
        <v>30011</v>
      </c>
      <c r="H36" s="13">
        <f>ROUND(K21*J6*(L21-M21)/(L21-K21),0)</f>
        <v>13295</v>
      </c>
      <c r="I36" s="13">
        <f>ROUND(L21*J6*(K21-M21)/(K21-L21),0)</f>
        <v>13907</v>
      </c>
      <c r="J36" s="13">
        <f t="shared" si="29"/>
        <v>27202</v>
      </c>
      <c r="K36" s="13">
        <f>ROUND(N21*M6*(O21-P21)/(O21-N21),0)</f>
        <v>17113</v>
      </c>
      <c r="L36" s="13">
        <f>ROUND(O21*M6*(N21-P21)/(N21-O21),0)</f>
        <v>16466</v>
      </c>
      <c r="M36" s="13">
        <f t="shared" si="30"/>
        <v>33579</v>
      </c>
      <c r="N36" s="13">
        <f>ROUND(B21*P6*(C21-D21)/(C21-B21),0)</f>
        <v>16697</v>
      </c>
      <c r="O36" s="13">
        <f>ROUND(C21*P6*(B21-D21)/(B21-C21),0)</f>
        <v>18791</v>
      </c>
      <c r="P36" s="13">
        <f t="shared" si="31"/>
        <v>35488</v>
      </c>
      <c r="Q36" s="13">
        <f>ROUND(Q21*S6*(R21-S21)/(R21-Q21),0)</f>
        <v>12952</v>
      </c>
      <c r="R36" s="13">
        <f>ROUND(R21*S6*(Q21-S21)/(Q21-R21),0)</f>
        <v>13928</v>
      </c>
      <c r="S36" s="13">
        <f t="shared" si="32"/>
        <v>26880</v>
      </c>
      <c r="T36" s="13">
        <f>ROUND(T21*V6*(U21-V21)/(U21-T21),0)</f>
        <v>20268</v>
      </c>
      <c r="U36" s="13">
        <f>ROUND(U21*V6*(T21-V21)/(T21-U21),0)</f>
        <v>19542</v>
      </c>
      <c r="V36" s="13">
        <f t="shared" si="35"/>
        <v>39810</v>
      </c>
      <c r="W36" s="13">
        <f>ROUND(W21*Y6*(X21-Y21)/(X21-W21),0)</f>
        <v>20206</v>
      </c>
      <c r="X36" s="13">
        <f>ROUND(X21*Y6*(W21-Y21)/(W21-X21),0)</f>
        <v>19584</v>
      </c>
      <c r="Y36" s="13">
        <f t="shared" si="36"/>
        <v>39790</v>
      </c>
    </row>
    <row r="37" spans="1:25">
      <c r="A37" s="7">
        <v>30</v>
      </c>
      <c r="B37" s="13">
        <f>ROUND(E22*D7*(F22-G22)/(F22-E22),0)</f>
        <v>6863</v>
      </c>
      <c r="C37" s="13">
        <f>ROUND(F22*D7*(E22-G22)/(E22-F22),0)</f>
        <v>28025</v>
      </c>
      <c r="D37" s="13">
        <f t="shared" si="27"/>
        <v>34888</v>
      </c>
      <c r="E37" s="13">
        <f>ROUND(H22*G7*(I22-J22)/(I22-H22),0)</f>
        <v>17030</v>
      </c>
      <c r="F37" s="13">
        <f>ROUND(I22*G7*(H22-J22)/(H22-I22),0)</f>
        <v>12241</v>
      </c>
      <c r="G37" s="13">
        <f t="shared" si="28"/>
        <v>29271</v>
      </c>
      <c r="H37" s="13">
        <f>ROUND(K22*J7*(L22-M22)/(L22-K22),0)</f>
        <v>12950</v>
      </c>
      <c r="I37" s="13">
        <f>ROUND(L22*J7*(K22-M22)/(K22-L22),0)</f>
        <v>14026</v>
      </c>
      <c r="J37" s="13">
        <f t="shared" si="29"/>
        <v>26976</v>
      </c>
      <c r="K37" s="13">
        <f>ROUND(N22*M7*(O22-P22)/(O22-N22),0)</f>
        <v>16482</v>
      </c>
      <c r="L37" s="13">
        <f>ROUND(O22*M7*(N22-P22)/(N22-O22),0)</f>
        <v>16049</v>
      </c>
      <c r="M37" s="13">
        <f>K37+L37</f>
        <v>32531</v>
      </c>
      <c r="N37" s="13">
        <f>ROUND(B22*P7*(C22-D22)/(C22-B22),0)</f>
        <v>17381</v>
      </c>
      <c r="O37" s="13">
        <f>ROUND(C22*P7*(B22-D22)/(B22-C22),0)</f>
        <v>17481</v>
      </c>
      <c r="P37" s="13">
        <f>N37+O37</f>
        <v>34862</v>
      </c>
      <c r="Q37" s="13">
        <f>ROUND(Q22*S7*(R22-S22)/(R22-Q22),0)</f>
        <v>12938</v>
      </c>
      <c r="R37" s="13">
        <f>ROUND(R22*S7*(Q22-S22)/(Q22-R22),0)</f>
        <v>13818</v>
      </c>
      <c r="S37" s="13">
        <f>Q37+R37</f>
        <v>26756</v>
      </c>
      <c r="T37" s="13">
        <f>ROUND(T22*V7*(U22-V22)/(U22-T22),0)</f>
        <v>19975</v>
      </c>
      <c r="U37" s="13">
        <f>ROUND(U22*V7*(T22-V22)/(T22-U22),0)</f>
        <v>19895</v>
      </c>
      <c r="V37" s="13">
        <f t="shared" si="35"/>
        <v>39870</v>
      </c>
      <c r="W37" s="13">
        <f>ROUND(W22*Y7*(X22-Y22)/(X22-W22),0)</f>
        <v>19706</v>
      </c>
      <c r="X37" s="13">
        <f>ROUND(X22*Y7*(W22-Y22)/(W22-X22),0)</f>
        <v>19710</v>
      </c>
      <c r="Y37" s="13">
        <f t="shared" si="36"/>
        <v>39416</v>
      </c>
    </row>
    <row r="38" spans="1:25">
      <c r="A38" s="7">
        <v>45</v>
      </c>
      <c r="B38" s="13">
        <f>ROUND(E23*D8*(F23-G23)/(F23-E23),0)</f>
        <v>5668</v>
      </c>
      <c r="C38" s="13">
        <f>ROUND(F23*D8*(E23-G23)/(E23-F23),0)</f>
        <v>37229</v>
      </c>
      <c r="D38" s="13">
        <f t="shared" si="27"/>
        <v>42897</v>
      </c>
      <c r="E38" s="13">
        <f>ROUND(H23*G8*(I23-J23)/(I23-H23),0)</f>
        <v>18181</v>
      </c>
      <c r="F38" s="13">
        <f>ROUND(I23*G8*(H23-J23)/(H23-I23),0)</f>
        <v>17528</v>
      </c>
      <c r="G38" s="13">
        <f t="shared" si="28"/>
        <v>35709</v>
      </c>
      <c r="H38" s="13">
        <f>ROUND(K23*J8*(L23-M23)/(L23-K23),0)</f>
        <v>19886</v>
      </c>
      <c r="I38" s="13">
        <f>ROUND(L23*J8*(K23-M23)/(K23-L23),0)</f>
        <v>13202</v>
      </c>
      <c r="J38" s="13">
        <f t="shared" si="29"/>
        <v>33088</v>
      </c>
      <c r="K38" s="13">
        <f>ROUND(N23*M8*(O23-P23)/(O23-N23),0)</f>
        <v>19650</v>
      </c>
      <c r="L38" s="13">
        <f>ROUND(O23*M8*(N23-P23)/(N23-O23),0)</f>
        <v>20291</v>
      </c>
      <c r="M38" s="13">
        <f t="shared" si="30"/>
        <v>39941</v>
      </c>
      <c r="N38" s="13">
        <f>ROUND(B23*P8*(C23-D23)/(C23-B23),0)</f>
        <v>21933</v>
      </c>
      <c r="O38" s="13">
        <f>ROUND(C23*P8*(B23-D23)/(B23-C23),0)</f>
        <v>21413</v>
      </c>
      <c r="P38" s="13">
        <f t="shared" ref="P38:P43" si="37">N38+O38</f>
        <v>43346</v>
      </c>
      <c r="Q38" s="13">
        <f>ROUND(Q23*S8*(R23-S23)/(R23-Q23),0)</f>
        <v>15412</v>
      </c>
      <c r="R38" s="13">
        <f>ROUND(R23*S8*(Q23-S23)/(Q23-R23),0)</f>
        <v>17940</v>
      </c>
      <c r="S38" s="13">
        <f t="shared" ref="S38:S43" si="38">Q38+R38</f>
        <v>33352</v>
      </c>
      <c r="T38" s="13">
        <f>ROUND(T23*V8*(U23-V23)/(U23-T23),0)</f>
        <v>19560</v>
      </c>
      <c r="U38" s="13">
        <f>ROUND(U23*V8*(T23-V23)/(T23-U23),0)</f>
        <v>19825</v>
      </c>
      <c r="V38" s="13">
        <f t="shared" si="35"/>
        <v>39385</v>
      </c>
      <c r="W38" s="13">
        <f>ROUND(W23*Y8*(X23-Y23)/(X23-W23),0)</f>
        <v>19201</v>
      </c>
      <c r="X38" s="13">
        <f>ROUND(X23*Y8*(W23-Y23)/(W23-X23),0)</f>
        <v>18739</v>
      </c>
      <c r="Y38" s="13">
        <f t="shared" si="36"/>
        <v>37940</v>
      </c>
    </row>
    <row r="39" spans="1:25">
      <c r="A39" s="7">
        <v>60</v>
      </c>
      <c r="B39" s="13">
        <f>ROUND(E24*D9*(F24-G24)/(F24-E24),0)</f>
        <v>4639</v>
      </c>
      <c r="C39" s="13">
        <f>ROUND(F24*D9*(E24-G24)/(E24-F24),0)</f>
        <v>37875</v>
      </c>
      <c r="D39" s="13">
        <f t="shared" si="27"/>
        <v>42514</v>
      </c>
      <c r="E39" s="13">
        <f>ROUND(H24*G9*(I24-J24)/(I24-H24),0)</f>
        <v>17880</v>
      </c>
      <c r="F39" s="13">
        <f>ROUND(I24*G9*(H24-J24)/(H24-I24),0)</f>
        <v>17178</v>
      </c>
      <c r="G39" s="13">
        <f t="shared" si="28"/>
        <v>35058</v>
      </c>
      <c r="H39" s="13">
        <f>ROUND(K24*J9*(L24-M24)/(L24-K24),0)</f>
        <v>16975</v>
      </c>
      <c r="I39" s="13">
        <f>ROUND(L24*J9*(K24-M24)/(K24-L24),0)</f>
        <v>16331</v>
      </c>
      <c r="J39" s="13">
        <f t="shared" si="29"/>
        <v>33306</v>
      </c>
      <c r="K39" s="13">
        <f>ROUND(N24*M9*(O24-P24)/(O24-N24),0)</f>
        <v>19562</v>
      </c>
      <c r="L39" s="13">
        <f>ROUND(O24*M9*(N24-P24)/(N24-O24),0)</f>
        <v>19913</v>
      </c>
      <c r="M39" s="13">
        <f t="shared" si="30"/>
        <v>39475</v>
      </c>
      <c r="N39" s="13">
        <f>ROUND(B24*P9*(C24-D24)/(C24-B24),0)</f>
        <v>21913</v>
      </c>
      <c r="O39" s="13">
        <f>ROUND(C24*P9*(B24-D24)/(B24-C24),0)</f>
        <v>21312</v>
      </c>
      <c r="P39" s="13">
        <f t="shared" si="37"/>
        <v>43225</v>
      </c>
      <c r="Q39" s="13">
        <f>ROUND(Q24*S9*(R24-S24)/(R24-Q24),0)</f>
        <v>15978</v>
      </c>
      <c r="R39" s="13">
        <f>ROUND(R24*S9*(Q24-S24)/(Q24-R24),0)</f>
        <v>17362</v>
      </c>
      <c r="S39" s="13">
        <f t="shared" si="38"/>
        <v>33340</v>
      </c>
      <c r="T39" s="13">
        <f>ROUND(T24*V9*(U24-V24)/(U24-T24),0)</f>
        <v>19270</v>
      </c>
      <c r="U39" s="13">
        <f>ROUND(U24*V9*(T24-V24)/(T24-U24),0)</f>
        <v>19595</v>
      </c>
      <c r="V39" s="13">
        <f t="shared" si="35"/>
        <v>38865</v>
      </c>
      <c r="W39" s="13">
        <f>ROUND(W24*Y9*(X24-Y24)/(X24-W24),0)</f>
        <v>18314</v>
      </c>
      <c r="X39" s="13">
        <f>ROUND(X24*Y9*(W24-Y24)/(W24-X24),0)</f>
        <v>18916</v>
      </c>
      <c r="Y39" s="13">
        <f t="shared" si="36"/>
        <v>37230</v>
      </c>
    </row>
    <row r="40" spans="1:25">
      <c r="A40" s="7">
        <v>90</v>
      </c>
      <c r="B40" s="13">
        <f>ROUND(E25*D10*(F25-G25)/(F25-E25),0)</f>
        <v>2763</v>
      </c>
      <c r="C40" s="13">
        <f>ROUND(F25*D10*(E25-G25)/(E25-F25),0)</f>
        <v>39482</v>
      </c>
      <c r="D40" s="13">
        <f t="shared" si="27"/>
        <v>42245</v>
      </c>
      <c r="E40" s="13">
        <f>ROUND(H25*G10*(I25-J25)/(I25-H25),0)</f>
        <v>17937</v>
      </c>
      <c r="F40" s="13">
        <f>ROUND(I25*G10*(H25-J25)/(H25-I25),0)</f>
        <v>16340</v>
      </c>
      <c r="G40" s="13">
        <f t="shared" si="28"/>
        <v>34277</v>
      </c>
      <c r="H40" s="13">
        <f>ROUND(K25*J10*(L25-M25)/(L25-K25),0)</f>
        <v>17085</v>
      </c>
      <c r="I40" s="13">
        <f>ROUND(L25*J10*(K25-M25)/(K25-L25),0)</f>
        <v>16200</v>
      </c>
      <c r="J40" s="13">
        <f t="shared" si="29"/>
        <v>33285</v>
      </c>
      <c r="K40" s="13">
        <f>ROUND(N25*M10*(O25-P25)/(O25-N25),0)</f>
        <v>19419</v>
      </c>
      <c r="L40" s="13">
        <f>ROUND(O25*M10*(N25-P25)/(N25-O25),0)</f>
        <v>19912</v>
      </c>
      <c r="M40" s="13">
        <f t="shared" si="30"/>
        <v>39331</v>
      </c>
      <c r="N40" s="13">
        <f>ROUND(B25*P10*(C25-D25)/(C25-B25),0)</f>
        <v>21819</v>
      </c>
      <c r="O40" s="13">
        <f>ROUND(C25*P10*(B25-D25)/(B25-C25),0)</f>
        <v>21146</v>
      </c>
      <c r="P40" s="13">
        <f t="shared" si="37"/>
        <v>42965</v>
      </c>
      <c r="Q40" s="13">
        <f>ROUND(Q25*S10*(R25-S25)/(R25-Q25),0)</f>
        <v>16785</v>
      </c>
      <c r="R40" s="13">
        <f>ROUND(R25*S10*(Q25-S25)/(Q25-R25),0)</f>
        <v>16321</v>
      </c>
      <c r="S40" s="13">
        <f t="shared" si="38"/>
        <v>33106</v>
      </c>
      <c r="T40" s="13">
        <f>ROUND(T25*V10*(U25-V25)/(U25-T25),0)</f>
        <v>18645</v>
      </c>
      <c r="U40" s="13">
        <f>ROUND(U25*V10*(T25-V25)/(T25-U25),0)</f>
        <v>19855</v>
      </c>
      <c r="V40" s="13">
        <f t="shared" si="35"/>
        <v>38500</v>
      </c>
      <c r="W40" s="13">
        <f>ROUND(W25*Y10*(X25-Y25)/(X25-W25),0)</f>
        <v>18635</v>
      </c>
      <c r="X40" s="13">
        <f>ROUND(X25*Y10*(W25-Y25)/(W25-X25),0)</f>
        <v>18480</v>
      </c>
      <c r="Y40" s="13">
        <f t="shared" si="36"/>
        <v>37115</v>
      </c>
    </row>
    <row r="41" spans="1:25">
      <c r="A41" s="7">
        <v>150</v>
      </c>
      <c r="B41" s="13">
        <f>ROUND(E26*D11*(F26-G26)/(F26-E26),0)</f>
        <v>3468</v>
      </c>
      <c r="C41" s="13">
        <f>ROUND(F26*D11*(E26-G26)/(E26-F26),0)</f>
        <v>38058</v>
      </c>
      <c r="D41" s="13">
        <f t="shared" si="27"/>
        <v>41526</v>
      </c>
      <c r="E41" s="13">
        <f>ROUND(H26*G11*(I26-J26)/(I26-H26),0)</f>
        <v>18030</v>
      </c>
      <c r="F41" s="13">
        <f>ROUND(I26*G11*(H26-J26)/(H26-I26),0)</f>
        <v>15565</v>
      </c>
      <c r="G41" s="13">
        <f t="shared" si="28"/>
        <v>33595</v>
      </c>
      <c r="H41" s="13">
        <f>ROUND(K26*J11*(L26-M26)/(L26-K26),0)</f>
        <v>16942</v>
      </c>
      <c r="I41" s="13">
        <f>ROUND(L26*J11*(K26-M26)/(K26-L26),0)</f>
        <v>15951</v>
      </c>
      <c r="J41" s="13">
        <f t="shared" si="29"/>
        <v>32893</v>
      </c>
      <c r="K41" s="13">
        <f>ROUND(N26*M11*(O26-P26)/(O26-N26),0)</f>
        <v>19031</v>
      </c>
      <c r="L41" s="13">
        <f>ROUND(O26*M11*(N26-P26)/(N26-O26),0)</f>
        <v>19502</v>
      </c>
      <c r="M41" s="13">
        <f t="shared" si="30"/>
        <v>38533</v>
      </c>
      <c r="N41" s="13">
        <f>ROUND(B26*P11*(C26-D26)/(C26-B26),0)</f>
        <v>22161</v>
      </c>
      <c r="O41" s="13">
        <f>ROUND(C26*P11*(B26-D26)/(B26-C26),0)</f>
        <v>20303</v>
      </c>
      <c r="P41" s="13">
        <f t="shared" si="37"/>
        <v>42464</v>
      </c>
      <c r="Q41" s="13">
        <f>ROUND(Q26*S11*(R26-S26)/(R26-Q26),0)</f>
        <v>17354</v>
      </c>
      <c r="R41" s="13">
        <f>ROUND(R26*S11*(Q26-S26)/(Q26-R26),0)</f>
        <v>15367</v>
      </c>
      <c r="S41" s="13">
        <f t="shared" si="38"/>
        <v>32721</v>
      </c>
      <c r="T41" s="13">
        <f>ROUND(T26*V11*(U26-V26)/(U26-T26),0)</f>
        <v>19380</v>
      </c>
      <c r="U41" s="13">
        <f>ROUND(U26*V11*(T26-V26)/(T26-U26),0)</f>
        <v>18545</v>
      </c>
      <c r="V41" s="13">
        <f t="shared" si="35"/>
        <v>37925</v>
      </c>
      <c r="W41" s="13">
        <f>ROUND(W26*Y11*(X26-Y26)/(X26-W26),0)</f>
        <v>18569</v>
      </c>
      <c r="X41" s="13">
        <f>ROUND(X26*Y11*(W26-Y26)/(W26-X26),0)</f>
        <v>18066</v>
      </c>
      <c r="Y41" s="13">
        <f t="shared" si="36"/>
        <v>36635</v>
      </c>
    </row>
    <row r="42" spans="1:25">
      <c r="A42" s="7">
        <v>210</v>
      </c>
      <c r="B42" s="13">
        <f>ROUND(E27*D12*(F27-G27)/(F27-E27),0)</f>
        <v>2460</v>
      </c>
      <c r="C42" s="13">
        <f>ROUND(F27*D12*(E27-G27)/(E27-F27),0)</f>
        <v>38543</v>
      </c>
      <c r="D42" s="13">
        <f t="shared" si="27"/>
        <v>41003</v>
      </c>
      <c r="E42" s="13">
        <f>ROUND(H27*G12*(I27-J27)/(I27-H27),0)</f>
        <v>23745</v>
      </c>
      <c r="F42" s="13">
        <f>ROUND(I27*G12*(H27-J27)/(H27-I27),0)</f>
        <v>8508</v>
      </c>
      <c r="G42" s="13">
        <f t="shared" si="28"/>
        <v>32253</v>
      </c>
      <c r="H42" s="13">
        <f>ROUND(K27*J12*(L27-M27)/(L27-K27),0)</f>
        <v>16367</v>
      </c>
      <c r="I42" s="13">
        <f>ROUND(L27*J12*(K27-M27)/(K27-L27),0)</f>
        <v>15465</v>
      </c>
      <c r="J42" s="13">
        <f t="shared" si="29"/>
        <v>31832</v>
      </c>
      <c r="K42" s="13">
        <f>ROUND(N27*M12*(O27-P27)/(O27-N27),0)</f>
        <v>18645</v>
      </c>
      <c r="L42" s="13">
        <f>ROUND(O27*M12*(N27-P27)/(N27-O27),0)</f>
        <v>19257</v>
      </c>
      <c r="M42" s="13">
        <f t="shared" si="30"/>
        <v>37902</v>
      </c>
      <c r="N42" s="13">
        <f>ROUND(B27*P12*(C27-D27)/(C27-B27),0)</f>
        <v>21198</v>
      </c>
      <c r="O42" s="13">
        <f>ROUND(C27*P12*(B27-D27)/(B27-C27),0)</f>
        <v>20966</v>
      </c>
      <c r="P42" s="13">
        <f t="shared" si="37"/>
        <v>42164</v>
      </c>
      <c r="Q42" s="13">
        <f>ROUND(Q27*S12*(R27-S27)/(R27-Q27),0)</f>
        <v>17476</v>
      </c>
      <c r="R42" s="13">
        <f>ROUND(R27*S12*(Q27-S27)/(Q27-R27),0)</f>
        <v>14262</v>
      </c>
      <c r="S42" s="13">
        <f t="shared" si="38"/>
        <v>31738</v>
      </c>
      <c r="T42" s="13">
        <f>ROUND(T27*V12*(U27-V27)/(U27-T27),0)</f>
        <v>18296</v>
      </c>
      <c r="U42" s="13">
        <f>ROUND(U27*V12*(T27-V27)/(T27-U27),0)</f>
        <v>18744</v>
      </c>
      <c r="V42" s="13">
        <f t="shared" si="35"/>
        <v>37040</v>
      </c>
      <c r="W42" s="13">
        <f>ROUND(W27*Y12*(X27-Y27)/(X27-W27),0)</f>
        <v>17991</v>
      </c>
      <c r="X42" s="13">
        <f>ROUND(X27*Y12*(W27-Y27)/(W27-X27),0)</f>
        <v>17979</v>
      </c>
      <c r="Y42" s="13">
        <f t="shared" si="36"/>
        <v>35970</v>
      </c>
    </row>
    <row r="43" spans="1:25">
      <c r="A43" s="7">
        <v>300</v>
      </c>
      <c r="B43" s="13">
        <f>ROUND(E28*D13*(F28-G28)/(F28-E28),0)</f>
        <v>3291</v>
      </c>
      <c r="C43" s="13">
        <f>ROUND(F28*D13*(E28-G28)/(E28-F28),0)</f>
        <v>36831</v>
      </c>
      <c r="D43" s="13">
        <f t="shared" si="27"/>
        <v>40122</v>
      </c>
      <c r="E43" s="13">
        <f>ROUND(H28*G13*(I28-J28)/(I28-H28),0)</f>
        <v>15996</v>
      </c>
      <c r="F43" s="13">
        <f>ROUND(I28*G13*(H28-J28)/(H28-I28),0)</f>
        <v>15055</v>
      </c>
      <c r="G43" s="13">
        <f t="shared" si="28"/>
        <v>31051</v>
      </c>
      <c r="H43" s="13">
        <f>ROUND(K28*J13*(L28-M28)/(L28-K28),0)</f>
        <v>14752</v>
      </c>
      <c r="I43" s="13">
        <f>ROUND(L28*J13*(K28-M28)/(K28-L28),0)</f>
        <v>15542</v>
      </c>
      <c r="J43" s="13">
        <f t="shared" si="29"/>
        <v>30294</v>
      </c>
      <c r="K43" s="13">
        <f>ROUND(N28*M13*(O28-P28)/(O28-N28),0)</f>
        <v>18292</v>
      </c>
      <c r="L43" s="13">
        <f>ROUND(O28*M13*(N28-P28)/(N28-O28),0)</f>
        <v>18833</v>
      </c>
      <c r="M43" s="13">
        <f t="shared" si="30"/>
        <v>37125</v>
      </c>
      <c r="N43" s="13">
        <f>ROUND(B28*P13*(C28-D28)/(C28-B28),0)</f>
        <v>20890</v>
      </c>
      <c r="O43" s="13">
        <f>ROUND(C28*P13*(B28-D28)/(B28-C28),0)</f>
        <v>20622</v>
      </c>
      <c r="P43" s="13">
        <f t="shared" si="37"/>
        <v>41512</v>
      </c>
      <c r="Q43" s="13">
        <f>ROUND(Q28*S13*(R28-S28)/(R28-Q28),0)</f>
        <v>17608</v>
      </c>
      <c r="R43" s="13">
        <f>ROUND(R28*S13*(Q28-S28)/(Q28-R28),0)</f>
        <v>12720</v>
      </c>
      <c r="S43" s="13">
        <f t="shared" si="38"/>
        <v>30328</v>
      </c>
      <c r="T43" s="13">
        <f>ROUND(T28*V13*(U28-V28)/(U28-T28),0)</f>
        <v>18230</v>
      </c>
      <c r="U43" s="13">
        <f>ROUND(U28*V13*(T28-V28)/(T28-U28),0)</f>
        <v>17850</v>
      </c>
      <c r="V43" s="13">
        <f t="shared" si="35"/>
        <v>36080</v>
      </c>
      <c r="W43" s="13">
        <f>ROUND(W28*Y13*(X28-Y28)/(X28-W28),0)</f>
        <v>17485</v>
      </c>
      <c r="X43" s="13">
        <f>ROUND(X28*Y13*(W28-Y28)/(W28-X28),0)</f>
        <v>17840</v>
      </c>
      <c r="Y43" s="13">
        <f t="shared" si="36"/>
        <v>35325</v>
      </c>
    </row>
    <row r="44" spans="1:25">
      <c r="A44" s="1"/>
      <c r="B44" s="4"/>
      <c r="C44" s="4"/>
      <c r="D44" s="4"/>
      <c r="E44" s="4"/>
      <c r="F44" s="4"/>
      <c r="G44" s="4"/>
      <c r="H44" s="4"/>
      <c r="I44" s="4"/>
      <c r="J44" s="4"/>
    </row>
    <row r="46" spans="1:25">
      <c r="A46" s="17" t="s">
        <v>5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1:25">
      <c r="A47" s="17" t="s">
        <v>0</v>
      </c>
      <c r="B47" s="17" t="s">
        <v>2</v>
      </c>
      <c r="C47" s="17"/>
      <c r="D47" s="17"/>
      <c r="E47" s="17" t="s">
        <v>10</v>
      </c>
      <c r="F47" s="17"/>
      <c r="G47" s="17"/>
      <c r="H47" s="17" t="s">
        <v>11</v>
      </c>
      <c r="I47" s="17"/>
      <c r="J47" s="17"/>
      <c r="K47" s="17" t="s">
        <v>12</v>
      </c>
      <c r="L47" s="17"/>
      <c r="M47" s="17"/>
      <c r="N47" s="17" t="s">
        <v>17</v>
      </c>
      <c r="O47" s="17"/>
      <c r="P47" s="17"/>
      <c r="Q47" s="17" t="s">
        <v>13</v>
      </c>
      <c r="R47" s="17"/>
      <c r="S47" s="17"/>
      <c r="T47" s="17" t="s">
        <v>15</v>
      </c>
      <c r="U47" s="17"/>
      <c r="V47" s="17"/>
      <c r="W47" s="17" t="s">
        <v>16</v>
      </c>
      <c r="X47" s="17"/>
      <c r="Y47" s="17"/>
    </row>
    <row r="48" spans="1:25">
      <c r="A48" s="17"/>
      <c r="B48" s="7">
        <v>1</v>
      </c>
      <c r="C48" s="7">
        <v>0</v>
      </c>
      <c r="D48" s="1" t="s">
        <v>3</v>
      </c>
      <c r="E48" s="7">
        <v>1</v>
      </c>
      <c r="F48" s="7">
        <v>0</v>
      </c>
      <c r="G48" s="1" t="s">
        <v>3</v>
      </c>
      <c r="H48" s="7">
        <v>1</v>
      </c>
      <c r="I48" s="7">
        <v>0</v>
      </c>
      <c r="J48" s="1" t="s">
        <v>3</v>
      </c>
      <c r="K48" s="7">
        <v>1</v>
      </c>
      <c r="L48" s="7">
        <v>0</v>
      </c>
      <c r="M48" s="7" t="s">
        <v>3</v>
      </c>
      <c r="N48" s="7">
        <v>1</v>
      </c>
      <c r="O48" s="7">
        <v>0</v>
      </c>
      <c r="P48" s="7" t="s">
        <v>3</v>
      </c>
      <c r="Q48" s="7">
        <v>1</v>
      </c>
      <c r="R48" s="7">
        <v>0</v>
      </c>
      <c r="S48" s="7" t="s">
        <v>3</v>
      </c>
      <c r="T48" s="12">
        <v>1</v>
      </c>
      <c r="U48" s="12">
        <v>0</v>
      </c>
      <c r="V48" s="12" t="s">
        <v>3</v>
      </c>
      <c r="W48" s="12">
        <v>1</v>
      </c>
      <c r="X48" s="12">
        <v>0</v>
      </c>
      <c r="Y48" s="12" t="s">
        <v>3</v>
      </c>
    </row>
    <row r="49" spans="1:25">
      <c r="A49" s="7">
        <v>5</v>
      </c>
      <c r="B49" s="5">
        <f>2*E19*C63/(C63+E19)</f>
        <v>0.57824755403734263</v>
      </c>
      <c r="C49" s="5">
        <f>2*F19*(C34/C4)/(F19+(C34/C4))</f>
        <v>1.0956881495826059</v>
      </c>
      <c r="D49" s="5">
        <f>(B49+C49)/2</f>
        <v>0.83696785180997424</v>
      </c>
      <c r="E49" s="5">
        <f>2*H19*D63/(D63+H19)</f>
        <v>0.77409642047280469</v>
      </c>
      <c r="F49" s="5">
        <f>2*I19*(F34/F4)/(I19+(F34/F4))</f>
        <v>0.75866493766072007</v>
      </c>
      <c r="G49" s="5">
        <f>(E49+F49)/2</f>
        <v>0.76638067906676244</v>
      </c>
      <c r="H49" s="5">
        <f>2*K19*E63/(E63+K19)</f>
        <v>0.67073185864841822</v>
      </c>
      <c r="I49" s="5">
        <f>2*L19*(I34/I4)/(L19+(I34/I4))</f>
        <v>0.68330803826253339</v>
      </c>
      <c r="J49" s="5">
        <f>(H49+I49)/2</f>
        <v>0.67701994845547575</v>
      </c>
      <c r="K49" s="9">
        <f>2*N19*F63/(F63+N19)</f>
        <v>0.85599925613918726</v>
      </c>
      <c r="L49" s="9">
        <f>2*O19*(L34/L4)/(O19+(L34/L4))</f>
        <v>0.84834428087671465</v>
      </c>
      <c r="M49" s="9">
        <f>(K49+L49)/2</f>
        <v>0.85217176850795096</v>
      </c>
      <c r="N49" s="9">
        <f>2*B19*B63/(B63+B19)</f>
        <v>0.89132379573622189</v>
      </c>
      <c r="O49" s="9">
        <f>2*C19*(O34/L4)/(C19+(O34/O4))</f>
        <v>0.91077030567781481</v>
      </c>
      <c r="P49" s="9">
        <f>(N49+O49)/2</f>
        <v>0.90104705070701829</v>
      </c>
      <c r="Q49" s="9">
        <f>2*Q19*G63/(G63+Q19)</f>
        <v>0.65669520434392448</v>
      </c>
      <c r="R49" s="9">
        <f>2*R19*(R34/O4)/(R19+(R34/R4))</f>
        <v>0.67843426417428043</v>
      </c>
      <c r="S49" s="9">
        <f>(Q49+R49)/2</f>
        <v>0.66756473425910245</v>
      </c>
      <c r="T49" s="9">
        <f>2*T19*H63/(H63+T19)</f>
        <v>0.81080712731128968</v>
      </c>
      <c r="U49" s="9">
        <f>2*U19*(U34/U4)/(U19+(U34/U4))</f>
        <v>0.80592393305958399</v>
      </c>
      <c r="V49" s="9">
        <f>(T49+U49)/2</f>
        <v>0.80836553018543689</v>
      </c>
      <c r="W49" s="9">
        <f>2*W19*I63/(I63+W19)</f>
        <v>0.80497218621696331</v>
      </c>
      <c r="X49" s="9">
        <f>2*X19*(X34/X4)/(X19+(X34/X4))</f>
        <v>0.80462716627518238</v>
      </c>
      <c r="Y49" s="9">
        <f>(W49+X49)/2</f>
        <v>0.80479967624607285</v>
      </c>
    </row>
    <row r="50" spans="1:25">
      <c r="A50" s="7">
        <v>7</v>
      </c>
      <c r="B50" s="5">
        <f>2*E20*C64/(C64+E20)</f>
        <v>0.57085706974923167</v>
      </c>
      <c r="C50" s="5">
        <f>2*F20*(C35/C5)/(F20+(C35/C5))</f>
        <v>1.097189179798242</v>
      </c>
      <c r="D50" s="5">
        <f t="shared" ref="D50:D58" si="39">(B50+C50)/2</f>
        <v>0.83402312477373686</v>
      </c>
      <c r="E50" s="5">
        <f>2*H20*F64/(F64+H20)</f>
        <v>0.80827721895530213</v>
      </c>
      <c r="F50" s="5">
        <f>2*I20*(F35/F5)/(I20+(F35/F5))</f>
        <v>0.75987191064732551</v>
      </c>
      <c r="G50" s="5">
        <f t="shared" ref="G50:G58" si="40">(E50+F50)/2</f>
        <v>0.78407456480131388</v>
      </c>
      <c r="H50" s="5">
        <f>2*K20*E64/(E64+K20)</f>
        <v>0.67315245955427672</v>
      </c>
      <c r="I50" s="5">
        <f>2*L20*(I35/I5)/(L20+(I35/I5))</f>
        <v>0.69194709854475855</v>
      </c>
      <c r="J50" s="5">
        <f t="shared" ref="J50:J58" si="41">(H50+I50)/2</f>
        <v>0.68254977904951764</v>
      </c>
      <c r="K50" s="9">
        <f>2*N20*F64/(F64+N20)</f>
        <v>0.85366925951122752</v>
      </c>
      <c r="L50" s="9">
        <f>2*O20*(L35/L5)/(O20+(L35/L5))</f>
        <v>0.84770801796522277</v>
      </c>
      <c r="M50" s="9">
        <f t="shared" ref="M50:M58" si="42">(K50+L50)/2</f>
        <v>0.85068863873822509</v>
      </c>
      <c r="N50" s="9">
        <f>2*B20*B64/(B64+B20)</f>
        <v>0.88867946914943041</v>
      </c>
      <c r="O50" s="9">
        <f>2*C20*(O35/L5)/(C20+(O35/O5))</f>
        <v>0.89316053586783228</v>
      </c>
      <c r="P50" s="9">
        <f t="shared" ref="P50:P58" si="43">(N50+O50)/2</f>
        <v>0.89092000250863135</v>
      </c>
      <c r="Q50" s="9">
        <f>2*Q20*G64/(G64+Q20)</f>
        <v>0.66174830280111407</v>
      </c>
      <c r="R50" s="9">
        <f>2*R20*(R35/O5)/(R20+(R35/R5))</f>
        <v>0.68338627621546943</v>
      </c>
      <c r="S50" s="9">
        <f t="shared" ref="S50:S58" si="44">(Q50+R50)/2</f>
        <v>0.6725672895082917</v>
      </c>
      <c r="T50" s="9">
        <f>2*T20*H64/(H64+T20)</f>
        <v>0.80754323047203913</v>
      </c>
      <c r="U50" s="9">
        <f>2*U20*(U35/U5)/(U20+(U35/U5))</f>
        <v>0.80343800710680746</v>
      </c>
      <c r="V50" s="9">
        <f t="shared" ref="V50:V58" si="45">(T50+U50)/2</f>
        <v>0.8054906187894233</v>
      </c>
      <c r="W50" s="9">
        <f>2*W20*I64/(I64+W20)</f>
        <v>0.81087948314551328</v>
      </c>
      <c r="X50" s="9">
        <f>2*X20*(X35/X5)/(X20+(X35/X5))</f>
        <v>0.78634900824502407</v>
      </c>
      <c r="Y50" s="9">
        <f t="shared" ref="Y50:Y58" si="46">(W50+X50)/2</f>
        <v>0.79861424569526873</v>
      </c>
    </row>
    <row r="51" spans="1:25">
      <c r="A51" s="7">
        <v>15</v>
      </c>
      <c r="B51" s="5">
        <f>2*E21*C65/(C65+E21)</f>
        <v>0.52082611020972402</v>
      </c>
      <c r="C51" s="5">
        <f>2*F21*(C36/C6)/(F21+(C36/C6))</f>
        <v>1.1013508144440323</v>
      </c>
      <c r="D51" s="5">
        <f t="shared" si="39"/>
        <v>0.81108846232687815</v>
      </c>
      <c r="E51" s="5">
        <f>2*H21*F65/(F65+H21)</f>
        <v>0.79739802823828421</v>
      </c>
      <c r="F51" s="5">
        <f>2*I21*(F36/F6)/(I21+(F36/F6))</f>
        <v>0.7481270940984317</v>
      </c>
      <c r="G51" s="5">
        <f t="shared" si="40"/>
        <v>0.77276256116835795</v>
      </c>
      <c r="H51" s="5">
        <f>2*K21*E65/(E65+K21)</f>
        <v>0.67553416470330552</v>
      </c>
      <c r="I51" s="5">
        <f>2*L21*(I36/I6)/(L21+(I36/I6))</f>
        <v>0.68442603875283925</v>
      </c>
      <c r="J51" s="5">
        <f t="shared" si="41"/>
        <v>0.67998010172807244</v>
      </c>
      <c r="K51" s="9">
        <f>2*N21*F65/(F65+N21)</f>
        <v>0.84380321695804938</v>
      </c>
      <c r="L51" s="9">
        <f>2*O21*(L36/L6)/(O21+(L36/L6))</f>
        <v>0.83502267406775932</v>
      </c>
      <c r="M51" s="9">
        <f t="shared" si="42"/>
        <v>0.83941294551290435</v>
      </c>
      <c r="N51" s="9">
        <f>2*B21*B65/(B65+B21)</f>
        <v>0.86099100838210518</v>
      </c>
      <c r="O51" s="9">
        <f>2*C21*(O36/L6)/(C21+(O36/O6))</f>
        <v>0.91186243213481544</v>
      </c>
      <c r="P51" s="9">
        <f t="shared" si="43"/>
        <v>0.88642672025846037</v>
      </c>
      <c r="Q51" s="9">
        <f>2*Q21*G65/(G65+Q21)</f>
        <v>0.66418793904523454</v>
      </c>
      <c r="R51" s="9">
        <f>2*R21*(R36/O6)/(R21+(R36/R6))</f>
        <v>0.67943137378922835</v>
      </c>
      <c r="S51" s="9">
        <f t="shared" si="44"/>
        <v>0.67180965641723145</v>
      </c>
      <c r="T51" s="9">
        <f>2*T21*H65/(H65+T21)</f>
        <v>0.80221673902069646</v>
      </c>
      <c r="U51" s="9">
        <f>2*U21*(U36/U6)/(U21+(U36/U6))</f>
        <v>0.79005431256288405</v>
      </c>
      <c r="V51" s="9">
        <f t="shared" si="45"/>
        <v>0.79613552579179026</v>
      </c>
      <c r="W51" s="9">
        <f>2*W21*I65/(I65+W21)</f>
        <v>0.80138738902856721</v>
      </c>
      <c r="X51" s="9">
        <f>2*X21*(X36/X6)/(X21+(X36/X6))</f>
        <v>0.79011622286202421</v>
      </c>
      <c r="Y51" s="9">
        <f t="shared" si="46"/>
        <v>0.79575180594529571</v>
      </c>
    </row>
    <row r="52" spans="1:25">
      <c r="A52" s="7">
        <v>30</v>
      </c>
      <c r="B52" s="5">
        <f>2*E22*C66/(C66+E22)</f>
        <v>0.48301771802747756</v>
      </c>
      <c r="C52" s="5">
        <f>2*F22*(C37/C7)/(F22+(C37/C7))</f>
        <v>1.0866039529809026</v>
      </c>
      <c r="D52" s="5">
        <f t="shared" si="39"/>
        <v>0.78481083550419006</v>
      </c>
      <c r="E52" s="5">
        <f>2*H22*F66/(F66+H22)</f>
        <v>0.7751146237833656</v>
      </c>
      <c r="F52" s="5">
        <f>2*I22*(F37/F7)/(I22+(F37/F7))</f>
        <v>0.66666422475688791</v>
      </c>
      <c r="G52" s="5">
        <f t="shared" si="40"/>
        <v>0.7208894242701267</v>
      </c>
      <c r="H52" s="5">
        <f>2*K22*E66/(E66+K22)</f>
        <v>0.66184116973689378</v>
      </c>
      <c r="I52" s="5">
        <f>2*L22*(I37/I7)/(L22+(I37/I7))</f>
        <v>0.68642817585189098</v>
      </c>
      <c r="J52" s="5">
        <f t="shared" si="41"/>
        <v>0.67413467279439243</v>
      </c>
      <c r="K52" s="9">
        <f>2*N22*F66/(F66+N22)</f>
        <v>0.81685384121030657</v>
      </c>
      <c r="L52" s="9">
        <f>2*O22*(L37/L7)/(O22+(L37/L7))</f>
        <v>0.80963115527309026</v>
      </c>
      <c r="M52" s="9">
        <f t="shared" si="42"/>
        <v>0.81324249824169836</v>
      </c>
      <c r="N52" s="9">
        <f>2*B22*B66/(B66+B22)</f>
        <v>0.87058129703739096</v>
      </c>
      <c r="O52" s="9">
        <f>2*C22*(O37/L7)/(C22+(O37/O7))</f>
        <v>0.87251531005664074</v>
      </c>
      <c r="P52" s="9">
        <f t="shared" si="43"/>
        <v>0.87154830354701585</v>
      </c>
      <c r="Q52" s="9">
        <f>2*Q22*G66/(G66+Q22)</f>
        <v>0.6603273867262478</v>
      </c>
      <c r="R52" s="9">
        <f>2*R22*(R37/O7)/(R22+(R37/R7))</f>
        <v>0.67712887608171268</v>
      </c>
      <c r="S52" s="9">
        <f t="shared" si="44"/>
        <v>0.66872813140398024</v>
      </c>
      <c r="T52" s="9">
        <f>2*T22*H66/(H66+T22)</f>
        <v>0.80128345542812207</v>
      </c>
      <c r="U52" s="9">
        <f>2*U22*(U37/U7)/(U22+(U37/U7))</f>
        <v>0.79353859201431554</v>
      </c>
      <c r="V52" s="9">
        <f t="shared" si="45"/>
        <v>0.79741102372121886</v>
      </c>
      <c r="W52" s="9">
        <f>2*W22*I66/(I66+W22)</f>
        <v>0.78822999987313358</v>
      </c>
      <c r="X52" s="9">
        <f>2*X22*(X37/X7)/(X22+(X37/X7))</f>
        <v>0.78838999987315928</v>
      </c>
      <c r="Y52" s="9">
        <f t="shared" si="46"/>
        <v>0.78830999987314643</v>
      </c>
    </row>
    <row r="53" spans="1:25">
      <c r="A53" s="7">
        <v>45</v>
      </c>
      <c r="B53" s="5">
        <f>2*E23*C67/(C67+E23)</f>
        <v>0.35405607295894409</v>
      </c>
      <c r="C53" s="5">
        <f>2*F23*(C38/C8)/(F23+(C38/C8))</f>
        <v>1.0952530960249718</v>
      </c>
      <c r="D53" s="5">
        <f t="shared" si="39"/>
        <v>0.72465458449195796</v>
      </c>
      <c r="E53" s="5">
        <f>2*H23*F67/(F67+H23)</f>
        <v>0.74664770668675962</v>
      </c>
      <c r="F53" s="5">
        <f>2*I23*(F38/F8)/(I23+(F38/F8))</f>
        <v>0.70919491626121367</v>
      </c>
      <c r="G53" s="5">
        <f t="shared" si="40"/>
        <v>0.72792131147398664</v>
      </c>
      <c r="H53" s="5">
        <f>2*K23*E67/(E67+K23)</f>
        <v>0.72231567137789787</v>
      </c>
      <c r="I53" s="5">
        <f>2*L23*(I38/I8)/(L23+(I38/I8))</f>
        <v>0.58756246238949583</v>
      </c>
      <c r="J53" s="5">
        <f t="shared" si="41"/>
        <v>0.65493906688369685</v>
      </c>
      <c r="K53" s="9">
        <f>2*N23*F67/(F67+N23)</f>
        <v>0.79316213749388564</v>
      </c>
      <c r="L53" s="9">
        <f>2*O23*(L38/L8)/(O23+(L38/L8))</f>
        <v>0.80437657563450904</v>
      </c>
      <c r="M53" s="9">
        <f t="shared" si="42"/>
        <v>0.79876935656419734</v>
      </c>
      <c r="N53" s="9">
        <f>2*B23*B67/(B67+B23)</f>
        <v>0.87082019906575958</v>
      </c>
      <c r="O53" s="9">
        <f>2*C23*(O38/L8)/(C23+(O38/O8))</f>
        <v>0.8629611939606725</v>
      </c>
      <c r="P53" s="9">
        <f t="shared" si="43"/>
        <v>0.86689069651321604</v>
      </c>
      <c r="Q53" s="9">
        <f>2*Q23*G67/(G67+Q23)</f>
        <v>0.64899910450054543</v>
      </c>
      <c r="R53" s="9">
        <f>2*R23*(R38/O8)/(R23+(R38/R8))</f>
        <v>0.68335962179469401</v>
      </c>
      <c r="S53" s="9">
        <f t="shared" si="44"/>
        <v>0.66617936314761972</v>
      </c>
      <c r="T53" s="9">
        <f>2*T23*H67/(H67+T23)</f>
        <v>0.78239999999999998</v>
      </c>
      <c r="U53" s="9">
        <f>2*U23*(U38/U8)/(U23+(U38/U8))</f>
        <v>0.79300000000000004</v>
      </c>
      <c r="V53" s="9">
        <f t="shared" si="45"/>
        <v>0.78770000000000007</v>
      </c>
      <c r="W53" s="9">
        <f>2*W23*I67/(I67+W23)</f>
        <v>0.76384723578619396</v>
      </c>
      <c r="X53" s="9">
        <f>2*X23*(X38/X8)/(X23+(X38/X8))</f>
        <v>0.75369703974950919</v>
      </c>
      <c r="Y53" s="9">
        <f t="shared" si="46"/>
        <v>0.75877213776785157</v>
      </c>
    </row>
    <row r="54" spans="1:25">
      <c r="A54" s="7">
        <v>60</v>
      </c>
      <c r="B54" s="5">
        <f>2*E24*C68/(C68+E24)</f>
        <v>0.30138572106623479</v>
      </c>
      <c r="C54" s="5">
        <f>2*F24*(C39/C9)/(F24+(C39/C9))</f>
        <v>1.0944079946027996</v>
      </c>
      <c r="D54" s="5">
        <f t="shared" si="39"/>
        <v>0.69789685783451716</v>
      </c>
      <c r="E54" s="5">
        <f>2*H24*F68/(F68+H24)</f>
        <v>0.73866909483503196</v>
      </c>
      <c r="F54" s="5">
        <f>2*I24*(F39/F9)/(I24+(F39/F9))</f>
        <v>0.69491652020270323</v>
      </c>
      <c r="G54" s="5">
        <f t="shared" si="40"/>
        <v>0.71679280751886765</v>
      </c>
      <c r="H54" s="5">
        <f>2*K24*E68/(E68+K24)</f>
        <v>0.67137839910762032</v>
      </c>
      <c r="I54" s="5">
        <f>2*L24*(I39/I9)/(L24+(I39/I9))</f>
        <v>0.66074087030210593</v>
      </c>
      <c r="J54" s="5">
        <f t="shared" si="41"/>
        <v>0.66605963470486307</v>
      </c>
      <c r="K54" s="9">
        <f>2*N24*F68/(F68+N24)</f>
        <v>0.78698194844270963</v>
      </c>
      <c r="L54" s="9">
        <f>2*O24*(L39/L9)/(O24+(L39/L9))</f>
        <v>0.79198937545374781</v>
      </c>
      <c r="M54" s="9">
        <f t="shared" si="42"/>
        <v>0.78948566194822867</v>
      </c>
      <c r="N54" s="9">
        <f>2*B24*B68/(B68+B24)</f>
        <v>0.87098020722949654</v>
      </c>
      <c r="O54" s="9">
        <f>2*C24*(O39/L9)/(C24+(O39/O9))</f>
        <v>0.8579368449320024</v>
      </c>
      <c r="P54" s="9">
        <f t="shared" si="43"/>
        <v>0.86445852608074947</v>
      </c>
      <c r="Q54" s="9">
        <f>2*Q24*G68/(G68+Q24)</f>
        <v>0.65713923030371235</v>
      </c>
      <c r="R54" s="9">
        <f>2*R24*(R39/O9)/(R24+(R39/R9))</f>
        <v>0.67594518775861989</v>
      </c>
      <c r="S54" s="9">
        <f t="shared" si="44"/>
        <v>0.66654220903116612</v>
      </c>
      <c r="T54" s="9">
        <f>2*T24*H68/(H68+T24)</f>
        <v>0.7770144891354005</v>
      </c>
      <c r="U54" s="9">
        <f>2*U24*(U39/U9)/(U24+(U39/U9))</f>
        <v>0.77758104496997293</v>
      </c>
      <c r="V54" s="9">
        <f t="shared" si="45"/>
        <v>0.77729776705268672</v>
      </c>
      <c r="W54" s="9">
        <f>2*W24*I68/(I68+W24)</f>
        <v>0.74247885539613379</v>
      </c>
      <c r="X54" s="9">
        <f>2*X24*(X39/X9)/(X24+(X39/X9))</f>
        <v>0.74666521334502778</v>
      </c>
      <c r="Y54" s="9">
        <f t="shared" si="46"/>
        <v>0.74457203437058084</v>
      </c>
    </row>
    <row r="55" spans="1:25">
      <c r="A55" s="7">
        <v>90</v>
      </c>
      <c r="B55" s="5">
        <f>2*E25*C69/(C69+E25)</f>
        <v>0.19419832838347686</v>
      </c>
      <c r="C55" s="5">
        <f>2*F25*(C40/C10)/(F25+(C40/C10))</f>
        <v>1.1037034262311425</v>
      </c>
      <c r="D55" s="5">
        <f t="shared" si="39"/>
        <v>0.64895087730730971</v>
      </c>
      <c r="E55" s="5">
        <f>2*H25*F69/(F69+H25)</f>
        <v>0.72798752071848727</v>
      </c>
      <c r="F55" s="5">
        <f>2*I25*(F40/F10)/(I25+(F40/F10))</f>
        <v>0.66948339744939012</v>
      </c>
      <c r="G55" s="5">
        <f t="shared" si="40"/>
        <v>0.69873545908393875</v>
      </c>
      <c r="H55" s="5">
        <f>2*K25*E69/(E69+K25)</f>
        <v>0.67229338187074239</v>
      </c>
      <c r="I55" s="5">
        <f>2*L25*(I40/I10)/(L25+(I40/I10))</f>
        <v>0.65888503059609671</v>
      </c>
      <c r="J55" s="5">
        <f t="shared" si="41"/>
        <v>0.66558920623341955</v>
      </c>
      <c r="K55" s="9">
        <f>2*N25*F69/(F69+N25)</f>
        <v>0.78333192257221196</v>
      </c>
      <c r="L55" s="9">
        <f>2*O25*(L40/L10)/(O25+(L40/L10))</f>
        <v>0.7898533212475376</v>
      </c>
      <c r="M55" s="9">
        <f t="shared" si="42"/>
        <v>0.78659262190987478</v>
      </c>
      <c r="N55" s="9">
        <f>2*B25*B69/(B69+B25)</f>
        <v>0.86567291418802628</v>
      </c>
      <c r="O55" s="9">
        <f>2*C25*(O40/L10)/(C25+(O40/O10))</f>
        <v>0.85282188912859958</v>
      </c>
      <c r="P55" s="9">
        <f t="shared" si="43"/>
        <v>0.85924740165831293</v>
      </c>
      <c r="Q55" s="9">
        <f>2*Q25*G69/(G69+Q25)</f>
        <v>0.66570611847619399</v>
      </c>
      <c r="R55" s="9">
        <f>2*R25*(R40/O10)/(R25+(R40/R10))</f>
        <v>0.65847199053636862</v>
      </c>
      <c r="S55" s="9">
        <f t="shared" si="44"/>
        <v>0.6620890545062813</v>
      </c>
      <c r="T55" s="9">
        <f>2*T25*H69/(H69+T25)</f>
        <v>0.76325660785019811</v>
      </c>
      <c r="U55" s="9">
        <f>2*U25*(U40/U10)/(U25+(U40/U10))</f>
        <v>0.77644160498435955</v>
      </c>
      <c r="V55" s="9">
        <f t="shared" si="45"/>
        <v>0.76984910641727877</v>
      </c>
      <c r="W55" s="9">
        <f>2*W25*I69/(I69+W25)</f>
        <v>0.74196423623278251</v>
      </c>
      <c r="X55" s="9">
        <f>2*X25*(X40/X10)/(X25+(X40/X10))</f>
        <v>0.74263892655405261</v>
      </c>
      <c r="Y55" s="9">
        <f t="shared" si="46"/>
        <v>0.74230158139341751</v>
      </c>
    </row>
    <row r="56" spans="1:25">
      <c r="A56" s="7">
        <v>150</v>
      </c>
      <c r="B56" s="5">
        <f>2*E26*C70/(C70+E26)</f>
        <v>0.23577020956333986</v>
      </c>
      <c r="C56" s="5">
        <f>2*F26*(C41/C11)/(F26+(C41/C11))</f>
        <v>1.0784128973929097</v>
      </c>
      <c r="D56" s="5">
        <f t="shared" si="39"/>
        <v>0.65709155347812476</v>
      </c>
      <c r="E56" s="5">
        <f>2*H26*F70/(F70+H26)</f>
        <v>0.71344097449966137</v>
      </c>
      <c r="F56" s="5">
        <f>2*I26*(F41/F11)/(I26+(F41/F11))</f>
        <v>0.64663859519088818</v>
      </c>
      <c r="G56" s="5">
        <f t="shared" si="40"/>
        <v>0.68003978484527483</v>
      </c>
      <c r="H56" s="5">
        <f>2*K26*E70/(E70+K26)</f>
        <v>0.66502189996602801</v>
      </c>
      <c r="I56" s="5">
        <f>2*L26*(I41/I11)/(L26+(I41/I11))</f>
        <v>0.65042003427262884</v>
      </c>
      <c r="J56" s="5">
        <f t="shared" si="41"/>
        <v>0.65772096711932848</v>
      </c>
      <c r="K56" s="9">
        <f>2*N26*F70/(F70+N26)</f>
        <v>0.76777638918879487</v>
      </c>
      <c r="L56" s="9">
        <f>2*O26*(L41/L11)/(O26+(L41/L11))</f>
        <v>0.7734948763492987</v>
      </c>
      <c r="M56" s="9">
        <f t="shared" si="42"/>
        <v>0.77063563276904679</v>
      </c>
      <c r="N56" s="9">
        <f>2*B26*B70/(B70+B26)</f>
        <v>0.86757696694586217</v>
      </c>
      <c r="O56" s="9">
        <f>2*C26*(O41/L11)/(C26+(O41/O11))</f>
        <v>0.83016971850995691</v>
      </c>
      <c r="P56" s="9">
        <f t="shared" si="43"/>
        <v>0.8488733427279096</v>
      </c>
      <c r="Q56" s="9">
        <f>2*Q26*G70/(G70+Q26)</f>
        <v>0.66784807812095826</v>
      </c>
      <c r="R56" s="9">
        <f>2*R26*(R41/O11)/(R26+(R41/R11))</f>
        <v>0.63989077075490386</v>
      </c>
      <c r="S56" s="9">
        <f t="shared" si="44"/>
        <v>0.65386942443793106</v>
      </c>
      <c r="T56" s="9">
        <f>2*T26*H70/(H70+T26)</f>
        <v>0.76261908182795413</v>
      </c>
      <c r="U56" s="9">
        <f>2*U26*(U41/U11)/(U26+(U41/U11))</f>
        <v>0.75424272885725463</v>
      </c>
      <c r="V56" s="9">
        <f t="shared" si="45"/>
        <v>0.75843090534260438</v>
      </c>
      <c r="W56" s="9">
        <f>2*W26*I70/(I70+W26)</f>
        <v>0.73563734649078094</v>
      </c>
      <c r="X56" s="9">
        <f>2*X26*(X41/X11)/(X26+(X41/X11))</f>
        <v>0.72970524120448088</v>
      </c>
      <c r="Y56" s="9">
        <f t="shared" si="46"/>
        <v>0.73267129384763097</v>
      </c>
    </row>
    <row r="57" spans="1:25">
      <c r="A57" s="7">
        <v>210</v>
      </c>
      <c r="B57" s="5">
        <f>2*E27*C71/(C71+E27)</f>
        <v>0.1746705081352376</v>
      </c>
      <c r="C57" s="5">
        <f>2*F27*(C42/C12)/(F27+(C42/C12))</f>
        <v>1.0731329959394666</v>
      </c>
      <c r="D57" s="5">
        <f t="shared" si="39"/>
        <v>0.6239017520373521</v>
      </c>
      <c r="E57" s="5">
        <f>2*H27*F71/(F71+H27)</f>
        <v>0.69175409703108692</v>
      </c>
      <c r="F57" s="5">
        <f>2*I27*(F42/F12)/(I27+(F42/F12))</f>
        <v>0.44559980290488016</v>
      </c>
      <c r="G57" s="5">
        <f t="shared" si="40"/>
        <v>0.56867694996798357</v>
      </c>
      <c r="H57" s="5">
        <f>2*K27*E71/(E71+K27)</f>
        <v>0.64404086946668093</v>
      </c>
      <c r="I57" s="5">
        <f>2*L27*(I42/I12)/(L27+(I42/I12))</f>
        <v>0.62899049156981923</v>
      </c>
      <c r="J57" s="5">
        <f t="shared" si="41"/>
        <v>0.63651568051825014</v>
      </c>
      <c r="K57" s="9">
        <f>2*N27*F71/(F71+N27)</f>
        <v>0.75434984790224391</v>
      </c>
      <c r="L57" s="9">
        <f>2*O27*(L42/L12)/(O27+(L42/L12))</f>
        <v>0.76164732420251957</v>
      </c>
      <c r="M57" s="9">
        <f t="shared" si="42"/>
        <v>0.75799858605238168</v>
      </c>
      <c r="N57" s="9">
        <f>2*B27*B71/(B71+B27)</f>
        <v>0.8462165848124602</v>
      </c>
      <c r="O57" s="9">
        <f>2*C27*(O42/L12)/(C27+(O42/O12))</f>
        <v>0.84033158109563444</v>
      </c>
      <c r="P57" s="9">
        <f t="shared" si="43"/>
        <v>0.84327408295404727</v>
      </c>
      <c r="Q57" s="9">
        <f>2*Q27*G71/(G71+Q27)</f>
        <v>0.65710580430915921</v>
      </c>
      <c r="R57" s="9">
        <f>2*R27*(R42/O12)/(R27+(R42/R12))</f>
        <v>0.60936816774553948</v>
      </c>
      <c r="S57" s="9">
        <f t="shared" si="44"/>
        <v>0.63323698602734935</v>
      </c>
      <c r="T57" s="9">
        <f>2*T27*H71/(H71+T27)</f>
        <v>0.73583309320450363</v>
      </c>
      <c r="U57" s="9">
        <f>2*U27*(U42/U12)/(U27+(U42/U12))</f>
        <v>0.74571327562740097</v>
      </c>
      <c r="V57" s="9">
        <f t="shared" si="45"/>
        <v>0.7407731844159523</v>
      </c>
      <c r="W57" s="9">
        <f>2*W27*I71/(I71+W27)</f>
        <v>0.72227531403808742</v>
      </c>
      <c r="X57" s="9">
        <f>2*X27*(X42/X12)/(X27+(X42/X12))</f>
        <v>0.71654552965229468</v>
      </c>
      <c r="Y57" s="9">
        <f t="shared" si="46"/>
        <v>0.71941042184519111</v>
      </c>
    </row>
    <row r="58" spans="1:25">
      <c r="A58" s="7">
        <v>300</v>
      </c>
      <c r="B58" s="5">
        <f>2*E28*C72/(C72+E28)</f>
        <v>0.22434222877086232</v>
      </c>
      <c r="C58" s="5">
        <f>2*F28*(C43/C13)/(F28+(C43/C13))</f>
        <v>1.0424717735299536</v>
      </c>
      <c r="D58" s="5">
        <f t="shared" si="39"/>
        <v>0.63340700115040793</v>
      </c>
      <c r="E58" s="5">
        <f>2*H28*F72/(F72+H28)</f>
        <v>0.67193713553316081</v>
      </c>
      <c r="F58" s="5">
        <f>2*I28*(F43/F13)/(I28+(F43/F13))</f>
        <v>0.61136534953810828</v>
      </c>
      <c r="G58" s="5">
        <f t="shared" si="40"/>
        <v>0.64165124253563455</v>
      </c>
      <c r="H58" s="5">
        <f>2*K28*E72/(E72+K28)</f>
        <v>0.59817150222971027</v>
      </c>
      <c r="I58" s="5">
        <f>2*L28*(I43/I13)/(L28+(I43/I13))</f>
        <v>0.61338271847065651</v>
      </c>
      <c r="J58" s="5">
        <f t="shared" si="41"/>
        <v>0.60577711035018345</v>
      </c>
      <c r="K58" s="9">
        <f>2*N28*F72/(F72+N28)</f>
        <v>0.73956412032718177</v>
      </c>
      <c r="L58" s="9">
        <f>2*O28*(L43/L13)/(O28+(L43/L13))</f>
        <v>0.74537406192443023</v>
      </c>
      <c r="M58" s="9">
        <f t="shared" si="42"/>
        <v>0.74246909112580606</v>
      </c>
      <c r="N58" s="9">
        <f>2*B28*B72/(B72+B28)</f>
        <v>0.83337911289500044</v>
      </c>
      <c r="O58" s="9">
        <f>2*C28*(O43/L13)/(C28+(O43/O13))</f>
        <v>0.82708409483853018</v>
      </c>
      <c r="P58" s="9">
        <f t="shared" si="43"/>
        <v>0.83023160386676531</v>
      </c>
      <c r="Q58" s="9">
        <f>2*Q28*G72/(G72+Q28)</f>
        <v>0.64167169596267093</v>
      </c>
      <c r="R58" s="9">
        <f>2*R28*(R43/O13)/(R28+(R43/R13))</f>
        <v>0.56385016432118251</v>
      </c>
      <c r="S58" s="9">
        <f t="shared" si="44"/>
        <v>0.60276093014192678</v>
      </c>
      <c r="T58" s="9">
        <f>2*T28*H72/(H72+T28)</f>
        <v>0.72348556659710028</v>
      </c>
      <c r="U58" s="9">
        <f>2*U28*(U43/U13)/(U28+(U43/U13))</f>
        <v>0.7196843816431161</v>
      </c>
      <c r="V58" s="9">
        <f t="shared" si="45"/>
        <v>0.72158497412010814</v>
      </c>
      <c r="W58" s="9">
        <f>2*W28*I72/(I72+W28)</f>
        <v>0.7040636931095946</v>
      </c>
      <c r="X58" s="9">
        <f>2*X28*(X43/X13)/(X28+(X43/X13))</f>
        <v>0.70890430293327311</v>
      </c>
      <c r="Y58" s="9">
        <f t="shared" si="46"/>
        <v>0.70648399802143391</v>
      </c>
    </row>
    <row r="59" spans="1:25">
      <c r="A59" s="1"/>
      <c r="B59" s="5"/>
      <c r="C59" s="5"/>
      <c r="D59" s="5"/>
      <c r="E59" s="5"/>
      <c r="F59" s="5"/>
      <c r="G59" s="5"/>
      <c r="H59" s="5"/>
      <c r="I59" s="5"/>
      <c r="J59" s="5"/>
      <c r="K59" s="9"/>
    </row>
    <row r="60" spans="1:25">
      <c r="K60" s="6"/>
    </row>
    <row r="61" spans="1:25">
      <c r="A61" s="17" t="s">
        <v>7</v>
      </c>
      <c r="B61" s="17"/>
      <c r="C61" s="17"/>
      <c r="D61" s="17"/>
      <c r="E61" s="17"/>
      <c r="F61" s="17"/>
      <c r="G61" s="17"/>
      <c r="H61" s="17"/>
      <c r="I61" s="17"/>
      <c r="J61" s="2"/>
      <c r="M61" s="2"/>
      <c r="N61" s="2"/>
    </row>
    <row r="62" spans="1:25">
      <c r="A62" s="1" t="s">
        <v>0</v>
      </c>
      <c r="B62" s="7" t="s">
        <v>17</v>
      </c>
      <c r="C62" s="1" t="s">
        <v>2</v>
      </c>
      <c r="D62" s="1" t="s">
        <v>10</v>
      </c>
      <c r="E62" s="1" t="s">
        <v>11</v>
      </c>
      <c r="F62" s="7" t="s">
        <v>14</v>
      </c>
      <c r="G62" s="7" t="s">
        <v>13</v>
      </c>
      <c r="H62" s="12" t="s">
        <v>15</v>
      </c>
      <c r="I62" s="12" t="s">
        <v>16</v>
      </c>
    </row>
    <row r="63" spans="1:25">
      <c r="A63" s="7">
        <v>5</v>
      </c>
      <c r="B63" s="18">
        <f t="shared" ref="B63:B72" si="47">N34/N4</f>
        <v>0.88234999999999997</v>
      </c>
      <c r="C63" s="18">
        <f>B34/B4</f>
        <v>0.44290000000000002</v>
      </c>
      <c r="D63" s="18">
        <f t="shared" ref="D63:D72" si="48">E34/E4</f>
        <v>0.79854999999999998</v>
      </c>
      <c r="E63" s="18">
        <f t="shared" ref="E63:E72" si="49">H34/H4</f>
        <v>0.65674999999999994</v>
      </c>
      <c r="F63" s="18">
        <f>K34/K4</f>
        <v>0.87350000000000005</v>
      </c>
      <c r="G63" s="18">
        <f t="shared" ref="G63:G65" si="50">Q34/Q4</f>
        <v>0.63490000000000002</v>
      </c>
      <c r="H63" s="18">
        <f>T34/T4</f>
        <v>0.82228000000000001</v>
      </c>
      <c r="I63" s="18">
        <f>W34/W4</f>
        <v>0.80647999999999997</v>
      </c>
    </row>
    <row r="64" spans="1:25">
      <c r="A64" s="7">
        <v>7</v>
      </c>
      <c r="B64" s="18">
        <f t="shared" si="47"/>
        <v>0.8861</v>
      </c>
      <c r="C64" s="18">
        <f t="shared" ref="C64:C72" si="51">B35/B5</f>
        <v>0.43425000000000002</v>
      </c>
      <c r="D64" s="18">
        <f t="shared" si="48"/>
        <v>0.78925000000000001</v>
      </c>
      <c r="E64" s="18">
        <f t="shared" si="49"/>
        <v>0.65705000000000002</v>
      </c>
      <c r="F64" s="18">
        <f t="shared" ref="F64:F72" si="52">K35/K5</f>
        <v>0.87124999999999997</v>
      </c>
      <c r="G64" s="18">
        <f t="shared" si="50"/>
        <v>0.64139999999999997</v>
      </c>
      <c r="H64" s="18">
        <f t="shared" ref="H64:H72" si="53">T35/T5</f>
        <v>0.81123999999999996</v>
      </c>
      <c r="I64" s="18">
        <f t="shared" ref="I64:I72" si="54">W35/W5</f>
        <v>0.82316</v>
      </c>
    </row>
    <row r="65" spans="1:13">
      <c r="A65" s="7">
        <v>15</v>
      </c>
      <c r="B65" s="18">
        <f t="shared" si="47"/>
        <v>0.83484999999999998</v>
      </c>
      <c r="C65" s="18">
        <f t="shared" si="51"/>
        <v>0.3795</v>
      </c>
      <c r="D65" s="18">
        <f t="shared" si="48"/>
        <v>0.75829999999999997</v>
      </c>
      <c r="E65" s="18">
        <f t="shared" si="49"/>
        <v>0.66474999999999995</v>
      </c>
      <c r="F65" s="18">
        <f t="shared" si="52"/>
        <v>0.85565000000000002</v>
      </c>
      <c r="G65" s="18">
        <f t="shared" si="50"/>
        <v>0.64759999999999995</v>
      </c>
      <c r="H65" s="18">
        <f t="shared" si="53"/>
        <v>0.81072</v>
      </c>
      <c r="I65" s="18">
        <f t="shared" si="54"/>
        <v>0.80823999999999996</v>
      </c>
    </row>
    <row r="66" spans="1:13">
      <c r="A66" s="7">
        <v>30</v>
      </c>
      <c r="B66" s="18">
        <f t="shared" si="47"/>
        <v>0.86904999999999999</v>
      </c>
      <c r="C66" s="18">
        <f t="shared" si="51"/>
        <v>0.34315000000000001</v>
      </c>
      <c r="D66" s="18">
        <f t="shared" si="48"/>
        <v>0.85150000000000003</v>
      </c>
      <c r="E66" s="18">
        <f t="shared" si="49"/>
        <v>0.64749999999999996</v>
      </c>
      <c r="F66" s="18">
        <f t="shared" si="52"/>
        <v>0.82410000000000005</v>
      </c>
      <c r="G66" s="18">
        <f>Q37/Q7</f>
        <v>0.64690000000000003</v>
      </c>
      <c r="H66" s="18">
        <f t="shared" si="53"/>
        <v>0.79900000000000004</v>
      </c>
      <c r="I66" s="18">
        <f t="shared" si="54"/>
        <v>0.78824000000000005</v>
      </c>
    </row>
    <row r="67" spans="1:13">
      <c r="A67" s="7">
        <v>45</v>
      </c>
      <c r="B67" s="18">
        <f t="shared" si="47"/>
        <v>0.87731999999999999</v>
      </c>
      <c r="C67" s="18">
        <f t="shared" si="51"/>
        <v>0.22672</v>
      </c>
      <c r="D67" s="18">
        <f t="shared" si="48"/>
        <v>0.72724</v>
      </c>
      <c r="E67" s="18">
        <f t="shared" si="49"/>
        <v>0.79544000000000004</v>
      </c>
      <c r="F67" s="18">
        <f t="shared" si="52"/>
        <v>0.78600000000000003</v>
      </c>
      <c r="G67" s="18">
        <f t="shared" ref="G67:G72" si="55">Q38/Q8</f>
        <v>0.61648000000000003</v>
      </c>
      <c r="H67" s="18">
        <f t="shared" si="53"/>
        <v>0.78239999999999998</v>
      </c>
      <c r="I67" s="18">
        <f t="shared" si="54"/>
        <v>0.76803999999999994</v>
      </c>
    </row>
    <row r="68" spans="1:13">
      <c r="A68" s="7">
        <v>60</v>
      </c>
      <c r="B68" s="18">
        <f t="shared" si="47"/>
        <v>0.87651999999999997</v>
      </c>
      <c r="C68" s="18">
        <f t="shared" si="51"/>
        <v>0.18556</v>
      </c>
      <c r="D68" s="18">
        <f t="shared" si="48"/>
        <v>0.71519999999999995</v>
      </c>
      <c r="E68" s="18">
        <f t="shared" si="49"/>
        <v>0.67900000000000005</v>
      </c>
      <c r="F68" s="18">
        <f t="shared" si="52"/>
        <v>0.78247999999999995</v>
      </c>
      <c r="G68" s="18">
        <f t="shared" si="55"/>
        <v>0.63912000000000002</v>
      </c>
      <c r="H68" s="18">
        <f t="shared" si="53"/>
        <v>0.77080000000000004</v>
      </c>
      <c r="I68" s="18">
        <f t="shared" si="54"/>
        <v>0.73255999999999999</v>
      </c>
    </row>
    <row r="69" spans="1:13">
      <c r="A69" s="7">
        <v>90</v>
      </c>
      <c r="B69" s="18">
        <f t="shared" si="47"/>
        <v>0.87275999999999998</v>
      </c>
      <c r="C69" s="18">
        <f t="shared" si="51"/>
        <v>0.11051999999999999</v>
      </c>
      <c r="D69" s="18">
        <f t="shared" si="48"/>
        <v>0.71748000000000001</v>
      </c>
      <c r="E69" s="18">
        <f t="shared" si="49"/>
        <v>0.68340000000000001</v>
      </c>
      <c r="F69" s="18">
        <f t="shared" si="52"/>
        <v>0.77676000000000001</v>
      </c>
      <c r="G69" s="18">
        <f t="shared" si="55"/>
        <v>0.6714</v>
      </c>
      <c r="H69" s="18">
        <f t="shared" si="53"/>
        <v>0.74580000000000002</v>
      </c>
      <c r="I69" s="18">
        <f t="shared" si="54"/>
        <v>0.74539999999999995</v>
      </c>
    </row>
    <row r="70" spans="1:13">
      <c r="A70" s="7">
        <v>150</v>
      </c>
      <c r="B70" s="18">
        <f t="shared" si="47"/>
        <v>0.88644000000000001</v>
      </c>
      <c r="C70" s="18">
        <f t="shared" si="51"/>
        <v>0.13872000000000001</v>
      </c>
      <c r="D70" s="18">
        <f t="shared" si="48"/>
        <v>0.72119999999999995</v>
      </c>
      <c r="E70" s="18">
        <f t="shared" si="49"/>
        <v>0.67767999999999995</v>
      </c>
      <c r="F70" s="18">
        <f t="shared" si="52"/>
        <v>0.76124000000000003</v>
      </c>
      <c r="G70" s="18">
        <f t="shared" si="55"/>
        <v>0.69416</v>
      </c>
      <c r="H70" s="18">
        <f t="shared" si="53"/>
        <v>0.7752</v>
      </c>
      <c r="I70" s="18">
        <f t="shared" si="54"/>
        <v>0.74275999999999998</v>
      </c>
    </row>
    <row r="71" spans="1:13">
      <c r="A71" s="7">
        <v>210</v>
      </c>
      <c r="B71" s="18">
        <f t="shared" si="47"/>
        <v>0.84792000000000001</v>
      </c>
      <c r="C71" s="18">
        <f t="shared" si="51"/>
        <v>9.8400000000000001E-2</v>
      </c>
      <c r="D71" s="18">
        <f t="shared" si="48"/>
        <v>0.94979999999999998</v>
      </c>
      <c r="E71" s="18">
        <f t="shared" si="49"/>
        <v>0.65468000000000004</v>
      </c>
      <c r="F71" s="18">
        <f t="shared" si="52"/>
        <v>0.74580000000000002</v>
      </c>
      <c r="G71" s="18">
        <f t="shared" si="55"/>
        <v>0.69903999999999999</v>
      </c>
      <c r="H71" s="18">
        <f t="shared" si="53"/>
        <v>0.73184000000000005</v>
      </c>
      <c r="I71" s="18">
        <f t="shared" si="54"/>
        <v>0.71963999999999995</v>
      </c>
    </row>
    <row r="72" spans="1:13">
      <c r="A72" s="7">
        <v>300</v>
      </c>
      <c r="B72" s="18">
        <f t="shared" si="47"/>
        <v>0.83560000000000001</v>
      </c>
      <c r="C72" s="18">
        <f t="shared" si="51"/>
        <v>0.13164000000000001</v>
      </c>
      <c r="D72" s="18">
        <f t="shared" si="48"/>
        <v>0.63983999999999996</v>
      </c>
      <c r="E72" s="18">
        <f t="shared" si="49"/>
        <v>0.59008000000000005</v>
      </c>
      <c r="F72" s="18">
        <f t="shared" si="52"/>
        <v>0.73168</v>
      </c>
      <c r="G72" s="18">
        <f t="shared" si="55"/>
        <v>0.70431999999999995</v>
      </c>
      <c r="H72" s="18">
        <f t="shared" si="53"/>
        <v>0.72919999999999996</v>
      </c>
      <c r="I72" s="18">
        <f t="shared" si="54"/>
        <v>0.69940000000000002</v>
      </c>
    </row>
    <row r="73" spans="1:13">
      <c r="A73" s="1"/>
      <c r="B73" s="3"/>
      <c r="C73" s="3"/>
      <c r="D73" s="3"/>
      <c r="E73" s="3"/>
      <c r="K73" s="1"/>
    </row>
    <row r="74" spans="1:13">
      <c r="A74" s="17" t="s">
        <v>8</v>
      </c>
      <c r="B74" s="17"/>
      <c r="C74" s="17"/>
      <c r="D74" s="17"/>
      <c r="E74" s="17"/>
      <c r="F74" s="17"/>
      <c r="G74" s="17"/>
      <c r="H74" s="17"/>
      <c r="I74" s="17"/>
      <c r="M74" s="6"/>
    </row>
    <row r="75" spans="1:13">
      <c r="A75" s="7" t="s">
        <v>0</v>
      </c>
      <c r="B75" s="7" t="s">
        <v>17</v>
      </c>
      <c r="C75" s="1" t="s">
        <v>2</v>
      </c>
      <c r="D75" s="12" t="s">
        <v>10</v>
      </c>
      <c r="E75" s="7" t="s">
        <v>11</v>
      </c>
      <c r="F75" s="16" t="s">
        <v>14</v>
      </c>
      <c r="G75" s="7" t="s">
        <v>13</v>
      </c>
      <c r="H75" s="12" t="s">
        <v>15</v>
      </c>
      <c r="I75" s="12" t="s">
        <v>16</v>
      </c>
    </row>
    <row r="76" spans="1:13">
      <c r="A76" s="7">
        <v>5</v>
      </c>
      <c r="B76" s="3">
        <f t="shared" ref="B76:B85" si="56">-(O34-O4)/O4</f>
        <v>8.0049999999999996E-2</v>
      </c>
      <c r="C76" s="3">
        <f t="shared" ref="C76:C85" si="57">(C4-C34)/C4</f>
        <v>-0.35215000000000002</v>
      </c>
      <c r="D76" s="3">
        <f t="shared" ref="D76:D85" si="58">(F4-F34)/F4</f>
        <v>0.26529999999999998</v>
      </c>
      <c r="E76" s="3">
        <f>(I4-I34)/I4</f>
        <v>0.30245</v>
      </c>
      <c r="F76" s="3">
        <f t="shared" ref="F76:F78" si="59">-(L34-L4)/L4</f>
        <v>0.16900000000000001</v>
      </c>
      <c r="G76" s="3">
        <f t="shared" ref="G76:G78" si="60">-(R34-R4)/R4</f>
        <v>0.29904999999999998</v>
      </c>
      <c r="H76" s="3">
        <f>-(U34-U4)/U4</f>
        <v>0.20548</v>
      </c>
      <c r="I76" s="3">
        <f>-(X34-X4)/X4</f>
        <v>0.19688</v>
      </c>
    </row>
    <row r="77" spans="1:13">
      <c r="A77" s="7">
        <v>7</v>
      </c>
      <c r="B77" s="3">
        <f t="shared" si="56"/>
        <v>0.10425</v>
      </c>
      <c r="C77" s="3">
        <f t="shared" si="57"/>
        <v>-0.35975000000000001</v>
      </c>
      <c r="D77" s="3">
        <f t="shared" si="58"/>
        <v>0.25800000000000001</v>
      </c>
      <c r="E77" s="3">
        <f t="shared" ref="E77:E85" si="61">(I5-I35)/I5</f>
        <v>0.29149999999999998</v>
      </c>
      <c r="F77" s="3">
        <f t="shared" si="59"/>
        <v>0.16975000000000001</v>
      </c>
      <c r="G77" s="3">
        <f t="shared" si="60"/>
        <v>0.29559999999999997</v>
      </c>
      <c r="H77" s="3">
        <f t="shared" ref="H77:H85" si="62">-(U35-U5)/U5</f>
        <v>0.20024</v>
      </c>
      <c r="I77" s="3">
        <f t="shared" ref="I77:I85" si="63">-(X35-X5)/X5</f>
        <v>0.22556000000000001</v>
      </c>
    </row>
    <row r="78" spans="1:13">
      <c r="A78" s="7">
        <v>15</v>
      </c>
      <c r="B78" s="3">
        <f t="shared" si="56"/>
        <v>6.0449999999999997E-2</v>
      </c>
      <c r="C78" s="3">
        <f t="shared" si="57"/>
        <v>-0.4002</v>
      </c>
      <c r="D78" s="3">
        <f t="shared" si="58"/>
        <v>0.25774999999999998</v>
      </c>
      <c r="E78" s="3">
        <f t="shared" si="61"/>
        <v>0.30464999999999998</v>
      </c>
      <c r="F78" s="3">
        <f t="shared" si="59"/>
        <v>0.1767</v>
      </c>
      <c r="G78" s="3">
        <f t="shared" si="60"/>
        <v>0.30359999999999998</v>
      </c>
      <c r="H78" s="3">
        <f t="shared" si="62"/>
        <v>0.21831999999999999</v>
      </c>
      <c r="I78" s="3">
        <f t="shared" si="63"/>
        <v>0.21664</v>
      </c>
    </row>
    <row r="79" spans="1:13">
      <c r="A79" s="7">
        <v>30</v>
      </c>
      <c r="B79" s="3">
        <f t="shared" si="56"/>
        <v>0.12595000000000001</v>
      </c>
      <c r="C79" s="3">
        <f t="shared" si="57"/>
        <v>-0.40125</v>
      </c>
      <c r="D79" s="3">
        <f t="shared" si="58"/>
        <v>0.38795000000000002</v>
      </c>
      <c r="E79" s="3">
        <f>(I7-I37)/I7</f>
        <v>0.29870000000000002</v>
      </c>
      <c r="F79" s="3">
        <f>-(L37-L7)/L7</f>
        <v>0.19755</v>
      </c>
      <c r="G79" s="3">
        <f>-(R37-R7)/R7</f>
        <v>0.30909999999999999</v>
      </c>
      <c r="H79" s="3">
        <f t="shared" si="62"/>
        <v>0.20419999999999999</v>
      </c>
      <c r="I79" s="3">
        <f t="shared" si="63"/>
        <v>0.21160000000000001</v>
      </c>
    </row>
    <row r="80" spans="1:13">
      <c r="A80" s="7">
        <v>45</v>
      </c>
      <c r="B80" s="3">
        <f t="shared" si="56"/>
        <v>0.14348</v>
      </c>
      <c r="C80" s="3">
        <f t="shared" si="57"/>
        <v>-0.48915999999999998</v>
      </c>
      <c r="D80" s="3">
        <f t="shared" si="58"/>
        <v>0.29887999999999998</v>
      </c>
      <c r="E80" s="3">
        <f t="shared" si="61"/>
        <v>0.47192000000000001</v>
      </c>
      <c r="F80" s="3">
        <f t="shared" ref="F80:F85" si="64">-(L38-L8)/L8</f>
        <v>0.18836</v>
      </c>
      <c r="G80" s="3">
        <f t="shared" ref="G80:G85" si="65">-(R38-R8)/R8</f>
        <v>0.28239999999999998</v>
      </c>
      <c r="H80" s="3">
        <f t="shared" si="62"/>
        <v>0.20699999999999999</v>
      </c>
      <c r="I80" s="3">
        <f t="shared" si="63"/>
        <v>0.25044</v>
      </c>
    </row>
    <row r="81" spans="1:11">
      <c r="A81" s="7">
        <v>60</v>
      </c>
      <c r="B81" s="3">
        <f t="shared" si="56"/>
        <v>0.14752000000000001</v>
      </c>
      <c r="C81" s="3">
        <f t="shared" si="57"/>
        <v>-0.51500000000000001</v>
      </c>
      <c r="D81" s="3">
        <f t="shared" si="58"/>
        <v>0.31287999999999999</v>
      </c>
      <c r="E81" s="3">
        <f t="shared" si="61"/>
        <v>0.34676000000000001</v>
      </c>
      <c r="F81" s="3">
        <f t="shared" si="64"/>
        <v>0.20347999999999999</v>
      </c>
      <c r="G81" s="3">
        <f t="shared" si="65"/>
        <v>0.30552000000000001</v>
      </c>
      <c r="H81" s="3">
        <f t="shared" si="62"/>
        <v>0.2162</v>
      </c>
      <c r="I81" s="3">
        <f t="shared" si="63"/>
        <v>0.24335999999999999</v>
      </c>
    </row>
    <row r="82" spans="1:11">
      <c r="A82" s="7">
        <v>90</v>
      </c>
      <c r="B82" s="3">
        <f t="shared" si="56"/>
        <v>0.15415999999999999</v>
      </c>
      <c r="C82" s="3">
        <f t="shared" si="57"/>
        <v>-0.57928000000000002</v>
      </c>
      <c r="D82" s="3">
        <f t="shared" si="58"/>
        <v>0.34639999999999999</v>
      </c>
      <c r="E82" s="3">
        <f t="shared" si="61"/>
        <v>0.35199999999999998</v>
      </c>
      <c r="F82" s="3">
        <f t="shared" si="64"/>
        <v>0.20352000000000001</v>
      </c>
      <c r="G82" s="3">
        <f t="shared" si="65"/>
        <v>0.34716000000000002</v>
      </c>
      <c r="H82" s="3">
        <f t="shared" si="62"/>
        <v>0.20580000000000001</v>
      </c>
      <c r="I82" s="3">
        <f t="shared" si="63"/>
        <v>0.26079999999999998</v>
      </c>
    </row>
    <row r="83" spans="1:11">
      <c r="A83" s="7">
        <v>150</v>
      </c>
      <c r="B83" s="3">
        <f t="shared" si="56"/>
        <v>0.18787999999999999</v>
      </c>
      <c r="C83" s="3">
        <f t="shared" si="57"/>
        <v>-0.52232000000000001</v>
      </c>
      <c r="D83" s="3">
        <f t="shared" si="58"/>
        <v>0.37740000000000001</v>
      </c>
      <c r="E83" s="3">
        <f t="shared" si="61"/>
        <v>0.36196</v>
      </c>
      <c r="F83" s="3">
        <f t="shared" si="64"/>
        <v>0.21992</v>
      </c>
      <c r="G83" s="3">
        <f t="shared" si="65"/>
        <v>0.38532</v>
      </c>
      <c r="H83" s="3">
        <f t="shared" si="62"/>
        <v>0.25819999999999999</v>
      </c>
      <c r="I83" s="3">
        <f t="shared" si="63"/>
        <v>0.27736</v>
      </c>
    </row>
    <row r="84" spans="1:11">
      <c r="A84" s="7">
        <v>210</v>
      </c>
      <c r="B84" s="3">
        <f t="shared" si="56"/>
        <v>0.16136</v>
      </c>
      <c r="C84" s="3">
        <f t="shared" si="57"/>
        <v>-0.54171999999999998</v>
      </c>
      <c r="D84" s="3">
        <f t="shared" si="58"/>
        <v>0.65968000000000004</v>
      </c>
      <c r="E84" s="3">
        <f t="shared" si="61"/>
        <v>0.38140000000000002</v>
      </c>
      <c r="F84" s="3">
        <f t="shared" si="64"/>
        <v>0.22972000000000001</v>
      </c>
      <c r="G84" s="3">
        <f t="shared" si="65"/>
        <v>0.42952000000000001</v>
      </c>
      <c r="H84" s="3">
        <f t="shared" si="62"/>
        <v>0.25024000000000002</v>
      </c>
      <c r="I84" s="3">
        <f t="shared" si="63"/>
        <v>0.28083999999999998</v>
      </c>
    </row>
    <row r="85" spans="1:11">
      <c r="A85" s="7">
        <v>300</v>
      </c>
      <c r="B85" s="3">
        <f t="shared" si="56"/>
        <v>0.17512</v>
      </c>
      <c r="C85" s="3">
        <f t="shared" si="57"/>
        <v>-0.47323999999999999</v>
      </c>
      <c r="D85" s="3">
        <f t="shared" si="58"/>
        <v>0.39779999999999999</v>
      </c>
      <c r="E85" s="3">
        <f t="shared" si="61"/>
        <v>0.37831999999999999</v>
      </c>
      <c r="F85" s="3">
        <f t="shared" si="64"/>
        <v>0.24668000000000001</v>
      </c>
      <c r="G85" s="3">
        <f t="shared" si="65"/>
        <v>0.49120000000000003</v>
      </c>
      <c r="H85" s="3">
        <f t="shared" si="62"/>
        <v>0.28599999999999998</v>
      </c>
      <c r="I85" s="3">
        <f t="shared" si="63"/>
        <v>0.28639999999999999</v>
      </c>
    </row>
    <row r="87" spans="1:11">
      <c r="A87" s="17" t="s">
        <v>9</v>
      </c>
      <c r="B87" s="17"/>
      <c r="C87" s="17"/>
      <c r="D87" s="17"/>
      <c r="E87" s="17"/>
      <c r="F87" s="17"/>
      <c r="G87" s="17"/>
      <c r="H87" s="17"/>
      <c r="I87" s="17"/>
    </row>
    <row r="88" spans="1:11">
      <c r="A88" s="7" t="s">
        <v>0</v>
      </c>
      <c r="B88" s="7" t="s">
        <v>17</v>
      </c>
      <c r="C88" s="1" t="s">
        <v>2</v>
      </c>
      <c r="D88" s="12" t="s">
        <v>10</v>
      </c>
      <c r="E88" s="7" t="s">
        <v>11</v>
      </c>
      <c r="F88" s="7" t="s">
        <v>14</v>
      </c>
      <c r="G88" s="7" t="s">
        <v>13</v>
      </c>
      <c r="H88" s="12" t="s">
        <v>15</v>
      </c>
      <c r="I88" s="12" t="s">
        <v>16</v>
      </c>
      <c r="K88" s="14"/>
    </row>
    <row r="89" spans="1:11">
      <c r="A89" s="7">
        <v>5</v>
      </c>
      <c r="B89" s="15">
        <f>(0.89504+0.9014+0.89929+0.90421+0.9058)/5</f>
        <v>0.90114800000000006</v>
      </c>
      <c r="C89" s="15">
        <f>(0.90139+0.89657+0.89395+0.8958+0.89979)/5</f>
        <v>0.89749999999999996</v>
      </c>
      <c r="D89" s="15">
        <f>(0.77176+0.76047+0.76798+0.76494+0.768)/5</f>
        <v>0.76662999999999992</v>
      </c>
      <c r="E89" s="15">
        <f>(0.684700455207283+0.668048234363483+0.682719047362752+0.673943690449159+0.676231243144063)/5</f>
        <v>0.67712853410534801</v>
      </c>
      <c r="F89" s="15">
        <f>(0.850546108737739+0.857704652527974+0.851681867147801+0.851833660742059+0.849378299195028)/5</f>
        <v>0.85222891767012021</v>
      </c>
      <c r="G89" s="15">
        <f>(0.676503324053184+0.660107220253792+0.673344839103315+0.666726635870183+0.6629144411569)/5</f>
        <v>0.6679192920874748</v>
      </c>
      <c r="H89" s="15">
        <v>0.80840999999999996</v>
      </c>
      <c r="I89" s="15">
        <v>0.80479999999999996</v>
      </c>
      <c r="K89" s="14"/>
    </row>
    <row r="90" spans="1:11">
      <c r="A90" s="7">
        <v>7</v>
      </c>
      <c r="B90" s="15">
        <f>(0.892499949530111+0.889950000371914+0.891353046594982+0.89436719899275+0.886403935455174)/5</f>
        <v>0.89091482618898632</v>
      </c>
      <c r="C90" s="15">
        <v>0.89700000000000002</v>
      </c>
      <c r="D90" s="15">
        <v>0.76563999999999999</v>
      </c>
      <c r="E90" s="15">
        <v>0.68283000000000005</v>
      </c>
      <c r="F90" s="15">
        <v>0.85074000000000005</v>
      </c>
      <c r="G90" s="15">
        <v>0.67293000000000003</v>
      </c>
      <c r="H90" s="15">
        <v>0.80549999999999999</v>
      </c>
      <c r="I90" s="15">
        <v>0.79879999999999995</v>
      </c>
      <c r="K90" s="14"/>
    </row>
    <row r="91" spans="1:11">
      <c r="A91" s="7">
        <v>15</v>
      </c>
      <c r="B91" s="15">
        <f>(0.886566198398259+0.882630984307389+0.886124836632802+0.895020805187246+0.885588875015507)/5</f>
        <v>0.88718633990824058</v>
      </c>
      <c r="C91" s="15">
        <v>0.88985999999999998</v>
      </c>
      <c r="D91" s="15">
        <v>0.75029999999999997</v>
      </c>
      <c r="E91" s="15">
        <v>0.68005000000000004</v>
      </c>
      <c r="F91" s="15">
        <v>0.83953</v>
      </c>
      <c r="G91" s="15">
        <v>0.67198000000000002</v>
      </c>
      <c r="H91" s="15">
        <v>0.79613999999999996</v>
      </c>
      <c r="I91" s="15">
        <v>0.79574999999999996</v>
      </c>
      <c r="K91" s="14"/>
    </row>
    <row r="92" spans="1:11">
      <c r="A92" s="7">
        <v>30</v>
      </c>
      <c r="B92" s="15">
        <f>(0.870121255493967+0.87358350085902+0.867978490361482+0.87100300702038+0.875033872693929)/5</f>
        <v>0.87154402528575559</v>
      </c>
      <c r="C92" s="15">
        <f>(0.872968880753677+0.87429344146298+0.870992513552276+0.873895488347769+0.868911001037968)/5</f>
        <v>0.87221226503093396</v>
      </c>
      <c r="D92" s="15">
        <f>(0.730058117572738+0.734014981287921+0.731340928595522+0.730828801654899+0.732730119007521)/5</f>
        <v>0.73179458962372013</v>
      </c>
      <c r="E92" s="15">
        <f>(0.67121111375668+
0.675808001958054+
0.673855827770889+
0.674765371845146+
0.676555245740417)/5</f>
        <v>0.67443911221423725</v>
      </c>
      <c r="F92" s="15">
        <v>0.81330000000000002</v>
      </c>
      <c r="G92" s="15">
        <v>0.66891999999999996</v>
      </c>
      <c r="H92" s="15">
        <v>0.79744999999999999</v>
      </c>
      <c r="I92" s="15">
        <v>0.78807000000000005</v>
      </c>
      <c r="K92" s="14"/>
    </row>
    <row r="93" spans="1:11">
      <c r="A93" s="7">
        <v>45</v>
      </c>
      <c r="B93" s="15">
        <v>0.86692999999999998</v>
      </c>
      <c r="C93" s="15">
        <v>0.85794000000000004</v>
      </c>
      <c r="D93" s="15">
        <v>0.71421000000000001</v>
      </c>
      <c r="E93" s="15">
        <v>0.66178999999999999</v>
      </c>
      <c r="F93" s="15">
        <v>0.79883000000000004</v>
      </c>
      <c r="G93" s="15">
        <v>0.66707000000000005</v>
      </c>
      <c r="H93" s="15">
        <v>0.78773000000000004</v>
      </c>
      <c r="I93" s="15">
        <v>0.75878000000000001</v>
      </c>
      <c r="K93" s="8"/>
    </row>
    <row r="94" spans="1:11">
      <c r="A94" s="7">
        <v>60</v>
      </c>
      <c r="B94" s="15">
        <v>0.86450000000000005</v>
      </c>
      <c r="C94" s="15">
        <v>0.85028000000000004</v>
      </c>
      <c r="D94" s="15">
        <v>0.70121</v>
      </c>
      <c r="E94" s="15">
        <v>0.66615000000000002</v>
      </c>
      <c r="F94" s="15">
        <v>0.78951000000000005</v>
      </c>
      <c r="G94" s="15">
        <v>0.66681999999999997</v>
      </c>
      <c r="H94" s="15">
        <v>0.77732999999999997</v>
      </c>
      <c r="I94" s="15">
        <v>0.74463000000000001</v>
      </c>
    </row>
    <row r="95" spans="1:11">
      <c r="A95" s="7">
        <v>90</v>
      </c>
      <c r="B95" s="15">
        <v>0.86880000000000002</v>
      </c>
      <c r="C95" s="15">
        <v>0.84491000000000005</v>
      </c>
      <c r="D95" s="15">
        <v>0.68554999999999999</v>
      </c>
      <c r="E95" s="15">
        <v>0.66571000000000002</v>
      </c>
      <c r="F95" s="15">
        <v>0.78663000000000005</v>
      </c>
      <c r="G95" s="15">
        <v>0.66213</v>
      </c>
      <c r="H95" s="15">
        <v>0.75841000000000003</v>
      </c>
      <c r="I95" s="15">
        <v>0.74231999999999998</v>
      </c>
    </row>
    <row r="96" spans="1:11">
      <c r="A96" s="7">
        <v>150</v>
      </c>
      <c r="B96" s="15">
        <v>0.86929000000000001</v>
      </c>
      <c r="C96" s="15">
        <v>0.83052999999999999</v>
      </c>
      <c r="D96" s="15">
        <v>0.67193999999999998</v>
      </c>
      <c r="E96" s="15">
        <v>0.65788000000000002</v>
      </c>
      <c r="F96" s="15">
        <v>0.77066999999999997</v>
      </c>
      <c r="G96" s="15">
        <v>0.65444000000000002</v>
      </c>
      <c r="H96" s="15">
        <v>0.75949</v>
      </c>
      <c r="I96" s="15">
        <v>0.73270000000000002</v>
      </c>
    </row>
    <row r="97" spans="1:9">
      <c r="A97" s="7">
        <v>210</v>
      </c>
      <c r="B97" s="15">
        <v>0.86329</v>
      </c>
      <c r="C97" s="15">
        <v>0.82008000000000003</v>
      </c>
      <c r="D97" s="15">
        <v>0.64510000000000001</v>
      </c>
      <c r="E97" s="15">
        <v>0.63668000000000002</v>
      </c>
      <c r="F97" s="15">
        <v>0.75807000000000002</v>
      </c>
      <c r="G97" s="15">
        <v>0.63480999999999999</v>
      </c>
      <c r="H97" s="15">
        <v>0.74075999999999997</v>
      </c>
      <c r="I97" s="15">
        <v>0.71943999999999997</v>
      </c>
    </row>
    <row r="98" spans="1:9">
      <c r="A98" s="7">
        <v>300</v>
      </c>
      <c r="B98" s="15">
        <v>0.85024</v>
      </c>
      <c r="C98" s="15">
        <v>0.80245</v>
      </c>
      <c r="D98" s="15">
        <v>0.62100999999999995</v>
      </c>
      <c r="E98" s="15">
        <v>0.60589000000000004</v>
      </c>
      <c r="F98" s="15">
        <v>0.74251</v>
      </c>
      <c r="G98" s="15">
        <v>0.60658000000000001</v>
      </c>
      <c r="H98" s="15">
        <v>0.72160000000000002</v>
      </c>
      <c r="I98" s="15">
        <v>0.70650000000000002</v>
      </c>
    </row>
  </sheetData>
  <mergeCells count="43">
    <mergeCell ref="T32:V32"/>
    <mergeCell ref="W32:Y32"/>
    <mergeCell ref="T47:V47"/>
    <mergeCell ref="W47:Y47"/>
    <mergeCell ref="A61:I61"/>
    <mergeCell ref="N32:P32"/>
    <mergeCell ref="E32:G32"/>
    <mergeCell ref="A32:A33"/>
    <mergeCell ref="B32:D32"/>
    <mergeCell ref="H32:J32"/>
    <mergeCell ref="T2:V2"/>
    <mergeCell ref="W2:Y2"/>
    <mergeCell ref="A1:Y1"/>
    <mergeCell ref="T17:V17"/>
    <mergeCell ref="W17:Y17"/>
    <mergeCell ref="B17:D17"/>
    <mergeCell ref="A17:A18"/>
    <mergeCell ref="E17:G17"/>
    <mergeCell ref="H17:J17"/>
    <mergeCell ref="K17:M17"/>
    <mergeCell ref="A74:I74"/>
    <mergeCell ref="A87:I87"/>
    <mergeCell ref="A16:S16"/>
    <mergeCell ref="K2:M2"/>
    <mergeCell ref="N17:P17"/>
    <mergeCell ref="K32:M32"/>
    <mergeCell ref="K47:M47"/>
    <mergeCell ref="A47:A48"/>
    <mergeCell ref="B47:D47"/>
    <mergeCell ref="E47:G47"/>
    <mergeCell ref="H47:J47"/>
    <mergeCell ref="Q17:S17"/>
    <mergeCell ref="Q32:S32"/>
    <mergeCell ref="N47:P47"/>
    <mergeCell ref="Q47:S47"/>
    <mergeCell ref="A46:S46"/>
    <mergeCell ref="A31:S31"/>
    <mergeCell ref="B2:D2"/>
    <mergeCell ref="E2:G2"/>
    <mergeCell ref="H2:J2"/>
    <mergeCell ref="A2:A3"/>
    <mergeCell ref="N2:P2"/>
    <mergeCell ref="Q2:S2"/>
  </mergeCells>
  <phoneticPr fontId="2" type="noConversion"/>
  <pageMargins left="0.7" right="0.7" top="0.75" bottom="0.75" header="0.3" footer="0.3"/>
  <pageSetup paperSize="9" orientation="portrait" horizontalDpi="1200" verticalDpi="1200" r:id="rId1"/>
  <ignoredErrors>
    <ignoredError sqref="H6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zixiao chen</dc:creator>
  <cp:lastModifiedBy>卢熠辉</cp:lastModifiedBy>
  <dcterms:created xsi:type="dcterms:W3CDTF">2022-03-30T11:24:06Z</dcterms:created>
  <dcterms:modified xsi:type="dcterms:W3CDTF">2022-04-01T16:53:29Z</dcterms:modified>
</cp:coreProperties>
</file>