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aw_tools\gyf_sc22\"/>
    </mc:Choice>
  </mc:AlternateContent>
  <xr:revisionPtr revIDLastSave="0" documentId="13_ncr:1_{E3DA7F9D-2037-428D-9246-866543A79256}" xr6:coauthVersionLast="47" xr6:coauthVersionMax="47" xr10:uidLastSave="{00000000-0000-0000-0000-000000000000}"/>
  <bookViews>
    <workbookView xWindow="3080" yWindow="14290" windowWidth="19420" windowHeight="10420" xr2:uid="{3FE0A4A0-E709-4DF0-8F8B-DDC54A70740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C26" i="1"/>
  <c r="C25" i="1"/>
  <c r="C24" i="1"/>
  <c r="C23" i="1"/>
  <c r="C22" i="1"/>
  <c r="B26" i="1"/>
  <c r="B25" i="1"/>
  <c r="B24" i="1"/>
  <c r="B23" i="1"/>
  <c r="B22" i="1"/>
  <c r="C21" i="1"/>
  <c r="B21" i="1"/>
  <c r="C20" i="1"/>
  <c r="B20" i="1"/>
  <c r="C19" i="1"/>
  <c r="B19" i="1"/>
  <c r="M26" i="1"/>
  <c r="M25" i="1"/>
  <c r="M24" i="1"/>
  <c r="M23" i="1"/>
  <c r="M22" i="1"/>
  <c r="M21" i="1"/>
  <c r="M20" i="1"/>
  <c r="M19" i="1"/>
  <c r="L26" i="1"/>
  <c r="L25" i="1"/>
  <c r="L24" i="1"/>
  <c r="L23" i="1"/>
  <c r="L22" i="1"/>
  <c r="L21" i="1"/>
  <c r="L20" i="1"/>
  <c r="L19" i="1"/>
  <c r="K26" i="1"/>
  <c r="K25" i="1"/>
  <c r="K24" i="1"/>
  <c r="K23" i="1"/>
  <c r="K22" i="1"/>
  <c r="K21" i="1"/>
  <c r="K20" i="1"/>
  <c r="K19" i="1"/>
  <c r="B28" i="1"/>
  <c r="C106" i="1"/>
  <c r="N19" i="1"/>
  <c r="O19" i="1"/>
  <c r="P19" i="1"/>
  <c r="D28" i="1"/>
  <c r="N22" i="1"/>
  <c r="O22" i="1"/>
  <c r="O25" i="1"/>
  <c r="N25" i="1"/>
  <c r="N26" i="1"/>
  <c r="O26" i="1"/>
  <c r="C28" i="1"/>
  <c r="P22" i="1"/>
  <c r="N23" i="1"/>
  <c r="O23" i="1"/>
  <c r="P23" i="1"/>
  <c r="P24" i="1"/>
  <c r="O24" i="1"/>
  <c r="N24" i="1"/>
  <c r="Q22" i="1"/>
  <c r="V13" i="1" l="1"/>
  <c r="U43" i="1" s="1"/>
  <c r="U58" i="1" s="1"/>
  <c r="V12" i="1"/>
  <c r="T42" i="1" s="1"/>
  <c r="H71" i="1" s="1"/>
  <c r="T57" i="1" s="1"/>
  <c r="V11" i="1"/>
  <c r="V10" i="1"/>
  <c r="U40" i="1" s="1"/>
  <c r="U55" i="1" s="1"/>
  <c r="V9" i="1"/>
  <c r="U39" i="1" s="1"/>
  <c r="U54" i="1" s="1"/>
  <c r="V8" i="1"/>
  <c r="T38" i="1" s="1"/>
  <c r="H67" i="1" s="1"/>
  <c r="T53" i="1" s="1"/>
  <c r="V7" i="1"/>
  <c r="T37" i="1" s="1"/>
  <c r="H66" i="1" s="1"/>
  <c r="T52" i="1" s="1"/>
  <c r="V6" i="1"/>
  <c r="T36" i="1" s="1"/>
  <c r="H65" i="1" s="1"/>
  <c r="T51" i="1" s="1"/>
  <c r="V5" i="1"/>
  <c r="T35" i="1" s="1"/>
  <c r="V4" i="1"/>
  <c r="T41" i="1"/>
  <c r="H70" i="1" s="1"/>
  <c r="T56" i="1" s="1"/>
  <c r="U41" i="1"/>
  <c r="U56" i="1" s="1"/>
  <c r="Y5" i="1"/>
  <c r="W35" i="1" s="1"/>
  <c r="I64" i="1" s="1"/>
  <c r="W50" i="1" s="1"/>
  <c r="Y6" i="1"/>
  <c r="X36" i="1" s="1"/>
  <c r="X51" i="1" s="1"/>
  <c r="Y7" i="1"/>
  <c r="W37" i="1" s="1"/>
  <c r="I66" i="1" s="1"/>
  <c r="W52" i="1" s="1"/>
  <c r="Y8" i="1"/>
  <c r="W38" i="1" s="1"/>
  <c r="I67" i="1" s="1"/>
  <c r="W53" i="1" s="1"/>
  <c r="Y9" i="1"/>
  <c r="W39" i="1" s="1"/>
  <c r="I68" i="1" s="1"/>
  <c r="W54" i="1" s="1"/>
  <c r="Y10" i="1"/>
  <c r="W40" i="1" s="1"/>
  <c r="Y11" i="1"/>
  <c r="W41" i="1" s="1"/>
  <c r="Y12" i="1"/>
  <c r="W42" i="1" s="1"/>
  <c r="I71" i="1" s="1"/>
  <c r="W57" i="1" s="1"/>
  <c r="Y13" i="1"/>
  <c r="W43" i="1" s="1"/>
  <c r="I72" i="1" s="1"/>
  <c r="W58" i="1" s="1"/>
  <c r="Y4" i="1"/>
  <c r="W34" i="1" s="1"/>
  <c r="J20" i="1"/>
  <c r="X37" i="1" l="1"/>
  <c r="I79" i="1" s="1"/>
  <c r="V56" i="1"/>
  <c r="X34" i="1"/>
  <c r="X49" i="1" s="1"/>
  <c r="X43" i="1"/>
  <c r="X58" i="1" s="1"/>
  <c r="Y58" i="1" s="1"/>
  <c r="W36" i="1"/>
  <c r="I65" i="1" s="1"/>
  <c r="W51" i="1" s="1"/>
  <c r="Y51" i="1" s="1"/>
  <c r="X42" i="1"/>
  <c r="X57" i="1" s="1"/>
  <c r="Y57" i="1" s="1"/>
  <c r="X41" i="1"/>
  <c r="I83" i="1" s="1"/>
  <c r="I69" i="1"/>
  <c r="W55" i="1" s="1"/>
  <c r="H64" i="1"/>
  <c r="T50" i="1" s="1"/>
  <c r="I70" i="1"/>
  <c r="W56" i="1" s="1"/>
  <c r="I78" i="1"/>
  <c r="X35" i="1"/>
  <c r="Y35" i="1" s="1"/>
  <c r="H85" i="1"/>
  <c r="H83" i="1"/>
  <c r="T40" i="1"/>
  <c r="H69" i="1" s="1"/>
  <c r="T55" i="1" s="1"/>
  <c r="V55" i="1" s="1"/>
  <c r="X40" i="1"/>
  <c r="U38" i="1"/>
  <c r="H82" i="1"/>
  <c r="T39" i="1"/>
  <c r="H68" i="1" s="1"/>
  <c r="T54" i="1" s="1"/>
  <c r="V54" i="1" s="1"/>
  <c r="X39" i="1"/>
  <c r="Y39" i="1" s="1"/>
  <c r="U36" i="1"/>
  <c r="V36" i="1" s="1"/>
  <c r="H81" i="1"/>
  <c r="X38" i="1"/>
  <c r="Y38" i="1" s="1"/>
  <c r="U35" i="1"/>
  <c r="V35" i="1" s="1"/>
  <c r="I63" i="1"/>
  <c r="W49" i="1" s="1"/>
  <c r="V41" i="1"/>
  <c r="T43" i="1"/>
  <c r="U42" i="1"/>
  <c r="U37" i="1"/>
  <c r="T34" i="1"/>
  <c r="H63" i="1" s="1"/>
  <c r="T49" i="1" s="1"/>
  <c r="U34" i="1"/>
  <c r="S7" i="1"/>
  <c r="P7" i="1"/>
  <c r="N37" i="1" s="1"/>
  <c r="B66" i="1" s="1"/>
  <c r="N52" i="1" s="1"/>
  <c r="M7" i="1"/>
  <c r="J7" i="1"/>
  <c r="G7" i="1"/>
  <c r="D7" i="1"/>
  <c r="S6" i="1"/>
  <c r="P6" i="1"/>
  <c r="M6" i="1"/>
  <c r="J6" i="1"/>
  <c r="G6" i="1"/>
  <c r="D6" i="1"/>
  <c r="S5" i="1"/>
  <c r="P5" i="1"/>
  <c r="M5" i="1"/>
  <c r="K35" i="1" s="1"/>
  <c r="J5" i="1"/>
  <c r="G5" i="1"/>
  <c r="D5" i="1"/>
  <c r="S22" i="1"/>
  <c r="R22" i="1"/>
  <c r="J22" i="1"/>
  <c r="I22" i="1"/>
  <c r="H22" i="1"/>
  <c r="S21" i="1"/>
  <c r="R21" i="1"/>
  <c r="Q21" i="1"/>
  <c r="J21" i="1"/>
  <c r="I21" i="1"/>
  <c r="H21" i="1"/>
  <c r="E21" i="1"/>
  <c r="F21" i="1"/>
  <c r="G21" i="1"/>
  <c r="S20" i="1"/>
  <c r="R20" i="1"/>
  <c r="Q20" i="1"/>
  <c r="I20" i="1"/>
  <c r="H20" i="1"/>
  <c r="G20" i="1"/>
  <c r="F20" i="1"/>
  <c r="E20" i="1"/>
  <c r="S19" i="1"/>
  <c r="R19" i="1"/>
  <c r="Q19" i="1"/>
  <c r="J19" i="1"/>
  <c r="I19" i="1"/>
  <c r="H19" i="1"/>
  <c r="G19" i="1"/>
  <c r="F19" i="1"/>
  <c r="E19" i="1"/>
  <c r="S4" i="1"/>
  <c r="P4" i="1"/>
  <c r="M4" i="1"/>
  <c r="J4" i="1"/>
  <c r="G4" i="1"/>
  <c r="D4" i="1"/>
  <c r="B34" i="1" s="1"/>
  <c r="O28" i="1"/>
  <c r="N28" i="1"/>
  <c r="P28" i="1"/>
  <c r="P27" i="1"/>
  <c r="O27" i="1"/>
  <c r="N27" i="1"/>
  <c r="P26" i="1"/>
  <c r="P25" i="1"/>
  <c r="S28" i="1"/>
  <c r="R28" i="1"/>
  <c r="Q28" i="1"/>
  <c r="S27" i="1"/>
  <c r="R27" i="1"/>
  <c r="Q27" i="1"/>
  <c r="S26" i="1"/>
  <c r="R26" i="1"/>
  <c r="Q26" i="1"/>
  <c r="S25" i="1"/>
  <c r="R25" i="1"/>
  <c r="S9" i="1"/>
  <c r="S10" i="1"/>
  <c r="S11" i="1"/>
  <c r="S12" i="1"/>
  <c r="S13" i="1"/>
  <c r="S8" i="1"/>
  <c r="Q25" i="1"/>
  <c r="S24" i="1"/>
  <c r="R24" i="1"/>
  <c r="Q24" i="1"/>
  <c r="S23" i="1"/>
  <c r="R23" i="1"/>
  <c r="Q23" i="1"/>
  <c r="P9" i="1"/>
  <c r="P10" i="1"/>
  <c r="P11" i="1"/>
  <c r="P12" i="1"/>
  <c r="P13" i="1"/>
  <c r="P8" i="1"/>
  <c r="N38" i="1" s="1"/>
  <c r="M28" i="1"/>
  <c r="L28" i="1"/>
  <c r="K28" i="1"/>
  <c r="M27" i="1"/>
  <c r="L27" i="1"/>
  <c r="K27" i="1"/>
  <c r="M9" i="1"/>
  <c r="M10" i="1"/>
  <c r="M11" i="1"/>
  <c r="M12" i="1"/>
  <c r="M13" i="1"/>
  <c r="M8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G24" i="1"/>
  <c r="G28" i="1"/>
  <c r="F28" i="1"/>
  <c r="E28" i="1"/>
  <c r="G25" i="1"/>
  <c r="F25" i="1"/>
  <c r="E25" i="1"/>
  <c r="F24" i="1"/>
  <c r="E24" i="1"/>
  <c r="G23" i="1"/>
  <c r="F23" i="1"/>
  <c r="E23" i="1"/>
  <c r="G9" i="1"/>
  <c r="J9" i="1"/>
  <c r="G10" i="1"/>
  <c r="J10" i="1"/>
  <c r="G11" i="1"/>
  <c r="J11" i="1"/>
  <c r="G12" i="1"/>
  <c r="J12" i="1"/>
  <c r="G13" i="1"/>
  <c r="J13" i="1"/>
  <c r="D10" i="1"/>
  <c r="D11" i="1"/>
  <c r="D12" i="1"/>
  <c r="D13" i="1"/>
  <c r="D9" i="1"/>
  <c r="J8" i="1"/>
  <c r="G8" i="1"/>
  <c r="D8" i="1"/>
  <c r="X52" i="1" l="1"/>
  <c r="Y52" i="1" s="1"/>
  <c r="Y37" i="1"/>
  <c r="Y36" i="1"/>
  <c r="X56" i="1"/>
  <c r="Q39" i="1"/>
  <c r="G68" i="1" s="1"/>
  <c r="Q54" i="1" s="1"/>
  <c r="I76" i="1"/>
  <c r="I84" i="1"/>
  <c r="L42" i="1"/>
  <c r="F84" i="1" s="1"/>
  <c r="N41" i="1"/>
  <c r="R39" i="1"/>
  <c r="G81" i="1" s="1"/>
  <c r="Y43" i="1"/>
  <c r="Y56" i="1"/>
  <c r="Y49" i="1"/>
  <c r="Y41" i="1"/>
  <c r="R40" i="1"/>
  <c r="G82" i="1" s="1"/>
  <c r="I85" i="1"/>
  <c r="Q38" i="1"/>
  <c r="G67" i="1" s="1"/>
  <c r="Q53" i="1" s="1"/>
  <c r="Y42" i="1"/>
  <c r="Y34" i="1"/>
  <c r="V42" i="1"/>
  <c r="H84" i="1"/>
  <c r="U57" i="1"/>
  <c r="V57" i="1" s="1"/>
  <c r="H80" i="1"/>
  <c r="U53" i="1"/>
  <c r="V53" i="1" s="1"/>
  <c r="I82" i="1"/>
  <c r="X55" i="1"/>
  <c r="Y55" i="1" s="1"/>
  <c r="K42" i="1"/>
  <c r="Q42" i="1"/>
  <c r="G71" i="1" s="1"/>
  <c r="Q57" i="1" s="1"/>
  <c r="L40" i="1"/>
  <c r="F82" i="1" s="1"/>
  <c r="Q43" i="1"/>
  <c r="G72" i="1" s="1"/>
  <c r="Q58" i="1" s="1"/>
  <c r="K39" i="1"/>
  <c r="R43" i="1"/>
  <c r="G85" i="1" s="1"/>
  <c r="V43" i="1"/>
  <c r="H72" i="1"/>
  <c r="T58" i="1" s="1"/>
  <c r="V58" i="1" s="1"/>
  <c r="Q34" i="1"/>
  <c r="G63" i="1" s="1"/>
  <c r="Q49" i="1" s="1"/>
  <c r="R42" i="1"/>
  <c r="G84" i="1" s="1"/>
  <c r="U49" i="1"/>
  <c r="V49" i="1" s="1"/>
  <c r="H76" i="1"/>
  <c r="H77" i="1"/>
  <c r="U50" i="1"/>
  <c r="V50" i="1" s="1"/>
  <c r="X50" i="1"/>
  <c r="Y50" i="1" s="1"/>
  <c r="I77" i="1"/>
  <c r="V37" i="1"/>
  <c r="U52" i="1"/>
  <c r="V52" i="1" s="1"/>
  <c r="H79" i="1"/>
  <c r="I80" i="1"/>
  <c r="X53" i="1"/>
  <c r="Y53" i="1" s="1"/>
  <c r="L35" i="1"/>
  <c r="F77" i="1" s="1"/>
  <c r="V39" i="1"/>
  <c r="V38" i="1"/>
  <c r="U51" i="1"/>
  <c r="V51" i="1" s="1"/>
  <c r="H78" i="1"/>
  <c r="V40" i="1"/>
  <c r="I81" i="1"/>
  <c r="X54" i="1"/>
  <c r="Y54" i="1" s="1"/>
  <c r="Y40" i="1"/>
  <c r="V34" i="1"/>
  <c r="B67" i="1"/>
  <c r="N53" i="1" s="1"/>
  <c r="N43" i="1"/>
  <c r="B72" i="1" s="1"/>
  <c r="N58" i="1" s="1"/>
  <c r="R38" i="1"/>
  <c r="G80" i="1" s="1"/>
  <c r="R34" i="1"/>
  <c r="G76" i="1" s="1"/>
  <c r="R41" i="1"/>
  <c r="G83" i="1" s="1"/>
  <c r="O40" i="1"/>
  <c r="B82" i="1" s="1"/>
  <c r="O38" i="1"/>
  <c r="B80" i="1" s="1"/>
  <c r="Q41" i="1"/>
  <c r="L39" i="1"/>
  <c r="F81" i="1" s="1"/>
  <c r="K40" i="1"/>
  <c r="F69" i="1" s="1"/>
  <c r="Q40" i="1"/>
  <c r="O39" i="1"/>
  <c r="O54" i="1" s="1"/>
  <c r="L37" i="1"/>
  <c r="F79" i="1" s="1"/>
  <c r="K41" i="1"/>
  <c r="F70" i="1" s="1"/>
  <c r="E56" i="1" s="1"/>
  <c r="O37" i="1"/>
  <c r="B79" i="1" s="1"/>
  <c r="N36" i="1"/>
  <c r="B65" i="1" s="1"/>
  <c r="N51" i="1" s="1"/>
  <c r="N34" i="1"/>
  <c r="O34" i="1"/>
  <c r="O36" i="1"/>
  <c r="O35" i="1"/>
  <c r="N35" i="1"/>
  <c r="B64" i="1" s="1"/>
  <c r="N50" i="1" s="1"/>
  <c r="Q37" i="1"/>
  <c r="G66" i="1" s="1"/>
  <c r="Q52" i="1" s="1"/>
  <c r="K37" i="1"/>
  <c r="Q36" i="1"/>
  <c r="G65" i="1" s="1"/>
  <c r="Q51" i="1" s="1"/>
  <c r="K36" i="1"/>
  <c r="F65" i="1" s="1"/>
  <c r="L36" i="1"/>
  <c r="R35" i="1"/>
  <c r="Q35" i="1"/>
  <c r="K34" i="1"/>
  <c r="F63" i="1" s="1"/>
  <c r="K49" i="1" s="1"/>
  <c r="L34" i="1"/>
  <c r="F76" i="1" s="1"/>
  <c r="F64" i="1"/>
  <c r="R36" i="1"/>
  <c r="R37" i="1"/>
  <c r="B70" i="1"/>
  <c r="N56" i="1" s="1"/>
  <c r="O41" i="1"/>
  <c r="B83" i="1" s="1"/>
  <c r="O43" i="1"/>
  <c r="B85" i="1" s="1"/>
  <c r="O42" i="1"/>
  <c r="B84" i="1" s="1"/>
  <c r="N42" i="1"/>
  <c r="B71" i="1" s="1"/>
  <c r="N57" i="1" s="1"/>
  <c r="N40" i="1"/>
  <c r="N39" i="1"/>
  <c r="B68" i="1" s="1"/>
  <c r="N54" i="1" s="1"/>
  <c r="L43" i="1"/>
  <c r="K43" i="1"/>
  <c r="L41" i="1"/>
  <c r="F83" i="1" s="1"/>
  <c r="K38" i="1"/>
  <c r="F67" i="1" s="1"/>
  <c r="K53" i="1" s="1"/>
  <c r="L38" i="1"/>
  <c r="B42" i="1"/>
  <c r="B43" i="1"/>
  <c r="C43" i="1"/>
  <c r="C58" i="1" s="1"/>
  <c r="E43" i="1"/>
  <c r="D72" i="1" s="1"/>
  <c r="F43" i="1"/>
  <c r="D85" i="1" s="1"/>
  <c r="H43" i="1"/>
  <c r="E72" i="1" s="1"/>
  <c r="H58" i="1" s="1"/>
  <c r="I43" i="1"/>
  <c r="E85" i="1" s="1"/>
  <c r="B41" i="1"/>
  <c r="C70" i="1" s="1"/>
  <c r="B56" i="1" s="1"/>
  <c r="C42" i="1"/>
  <c r="E42" i="1"/>
  <c r="D71" i="1" s="1"/>
  <c r="F42" i="1"/>
  <c r="H42" i="1"/>
  <c r="I42" i="1"/>
  <c r="E84" i="1" s="1"/>
  <c r="C41" i="1"/>
  <c r="E41" i="1"/>
  <c r="F41" i="1"/>
  <c r="D83" i="1" s="1"/>
  <c r="H41" i="1"/>
  <c r="I41" i="1"/>
  <c r="E83" i="1" s="1"/>
  <c r="B40" i="1"/>
  <c r="C40" i="1"/>
  <c r="E40" i="1"/>
  <c r="D69" i="1" s="1"/>
  <c r="F40" i="1"/>
  <c r="F55" i="1" s="1"/>
  <c r="H40" i="1"/>
  <c r="E69" i="1" s="1"/>
  <c r="H55" i="1" s="1"/>
  <c r="I40" i="1"/>
  <c r="E82" i="1" s="1"/>
  <c r="B39" i="1"/>
  <c r="C39" i="1"/>
  <c r="C81" i="1" s="1"/>
  <c r="E39" i="1"/>
  <c r="F39" i="1"/>
  <c r="D81" i="1" s="1"/>
  <c r="H39" i="1"/>
  <c r="I39" i="1"/>
  <c r="E81" i="1" s="1"/>
  <c r="B38" i="1"/>
  <c r="C67" i="1" s="1"/>
  <c r="B53" i="1" s="1"/>
  <c r="C38" i="1"/>
  <c r="C80" i="1" s="1"/>
  <c r="E38" i="1"/>
  <c r="F38" i="1"/>
  <c r="D80" i="1" s="1"/>
  <c r="H38" i="1"/>
  <c r="I38" i="1"/>
  <c r="E80" i="1" s="1"/>
  <c r="B37" i="1"/>
  <c r="C66" i="1" s="1"/>
  <c r="B52" i="1" s="1"/>
  <c r="C37" i="1"/>
  <c r="E37" i="1"/>
  <c r="D66" i="1" s="1"/>
  <c r="F37" i="1"/>
  <c r="F52" i="1" s="1"/>
  <c r="H37" i="1"/>
  <c r="E66" i="1" s="1"/>
  <c r="H52" i="1" s="1"/>
  <c r="I37" i="1"/>
  <c r="I36" i="1"/>
  <c r="H36" i="1"/>
  <c r="E65" i="1" s="1"/>
  <c r="H51" i="1" s="1"/>
  <c r="F36" i="1"/>
  <c r="F51" i="1" s="1"/>
  <c r="E36" i="1"/>
  <c r="D65" i="1" s="1"/>
  <c r="C36" i="1"/>
  <c r="B36" i="1"/>
  <c r="I35" i="1"/>
  <c r="H35" i="1"/>
  <c r="E64" i="1" s="1"/>
  <c r="H50" i="1" s="1"/>
  <c r="F35" i="1"/>
  <c r="E35" i="1"/>
  <c r="C35" i="1"/>
  <c r="B35" i="1"/>
  <c r="C63" i="1"/>
  <c r="B49" i="1" s="1"/>
  <c r="I34" i="1"/>
  <c r="H34" i="1"/>
  <c r="F34" i="1"/>
  <c r="D76" i="1" s="1"/>
  <c r="E34" i="1"/>
  <c r="C34" i="1"/>
  <c r="C76" i="1" s="1"/>
  <c r="L57" i="1" l="1"/>
  <c r="M42" i="1"/>
  <c r="R55" i="1"/>
  <c r="R54" i="1"/>
  <c r="F71" i="1"/>
  <c r="E57" i="1" s="1"/>
  <c r="R58" i="1"/>
  <c r="S58" i="1" s="1"/>
  <c r="S42" i="1"/>
  <c r="S39" i="1"/>
  <c r="M41" i="1"/>
  <c r="M39" i="1"/>
  <c r="L54" i="1"/>
  <c r="M35" i="1"/>
  <c r="L50" i="1"/>
  <c r="I57" i="1"/>
  <c r="S43" i="1"/>
  <c r="L55" i="1"/>
  <c r="S38" i="1"/>
  <c r="F68" i="1"/>
  <c r="M40" i="1"/>
  <c r="S34" i="1"/>
  <c r="S54" i="1"/>
  <c r="R57" i="1"/>
  <c r="S57" i="1" s="1"/>
  <c r="O57" i="1"/>
  <c r="P57" i="1" s="1"/>
  <c r="F56" i="1"/>
  <c r="G56" i="1" s="1"/>
  <c r="C84" i="1"/>
  <c r="C57" i="1"/>
  <c r="O56" i="1"/>
  <c r="P56" i="1" s="1"/>
  <c r="B81" i="1"/>
  <c r="P54" i="1"/>
  <c r="O53" i="1"/>
  <c r="P53" i="1" s="1"/>
  <c r="P38" i="1"/>
  <c r="K55" i="1"/>
  <c r="E55" i="1"/>
  <c r="G55" i="1" s="1"/>
  <c r="K56" i="1"/>
  <c r="F53" i="1"/>
  <c r="I56" i="1"/>
  <c r="C53" i="1"/>
  <c r="D53" i="1" s="1"/>
  <c r="E76" i="1"/>
  <c r="I49" i="1"/>
  <c r="C82" i="1"/>
  <c r="C55" i="1"/>
  <c r="F85" i="1"/>
  <c r="L58" i="1"/>
  <c r="D84" i="1"/>
  <c r="F57" i="1"/>
  <c r="C85" i="1"/>
  <c r="R56" i="1"/>
  <c r="I58" i="1"/>
  <c r="J58" i="1" s="1"/>
  <c r="C54" i="1"/>
  <c r="P40" i="1"/>
  <c r="O55" i="1"/>
  <c r="R49" i="1"/>
  <c r="S49" i="1" s="1"/>
  <c r="C49" i="1"/>
  <c r="D49" i="1" s="1"/>
  <c r="I54" i="1"/>
  <c r="F80" i="1"/>
  <c r="L53" i="1"/>
  <c r="M53" i="1" s="1"/>
  <c r="G69" i="1"/>
  <c r="Q55" i="1" s="1"/>
  <c r="S55" i="1" s="1"/>
  <c r="S40" i="1"/>
  <c r="E53" i="1"/>
  <c r="F49" i="1"/>
  <c r="M37" i="1"/>
  <c r="O58" i="1"/>
  <c r="P58" i="1" s="1"/>
  <c r="L52" i="1"/>
  <c r="C83" i="1"/>
  <c r="C56" i="1"/>
  <c r="D56" i="1" s="1"/>
  <c r="L49" i="1"/>
  <c r="M49" i="1" s="1"/>
  <c r="R53" i="1"/>
  <c r="S53" i="1" s="1"/>
  <c r="F54" i="1"/>
  <c r="G70" i="1"/>
  <c r="Q56" i="1" s="1"/>
  <c r="S41" i="1"/>
  <c r="I55" i="1"/>
  <c r="J55" i="1" s="1"/>
  <c r="I53" i="1"/>
  <c r="F58" i="1"/>
  <c r="L56" i="1"/>
  <c r="O52" i="1"/>
  <c r="P52" i="1" s="1"/>
  <c r="P37" i="1"/>
  <c r="G79" i="1"/>
  <c r="R52" i="1"/>
  <c r="S52" i="1" s="1"/>
  <c r="E79" i="1"/>
  <c r="I52" i="1"/>
  <c r="J52" i="1" s="1"/>
  <c r="C79" i="1"/>
  <c r="C52" i="1"/>
  <c r="D52" i="1" s="1"/>
  <c r="F78" i="1"/>
  <c r="L51" i="1"/>
  <c r="C78" i="1"/>
  <c r="C51" i="1"/>
  <c r="E78" i="1"/>
  <c r="I51" i="1"/>
  <c r="J51" i="1" s="1"/>
  <c r="B78" i="1"/>
  <c r="O51" i="1"/>
  <c r="P51" i="1" s="1"/>
  <c r="K51" i="1"/>
  <c r="E51" i="1"/>
  <c r="G51" i="1" s="1"/>
  <c r="G78" i="1"/>
  <c r="R51" i="1"/>
  <c r="S51" i="1" s="1"/>
  <c r="E77" i="1"/>
  <c r="I50" i="1"/>
  <c r="J50" i="1" s="1"/>
  <c r="G77" i="1"/>
  <c r="R50" i="1"/>
  <c r="D77" i="1"/>
  <c r="F50" i="1"/>
  <c r="B77" i="1"/>
  <c r="O50" i="1"/>
  <c r="P50" i="1" s="1"/>
  <c r="C77" i="1"/>
  <c r="C50" i="1"/>
  <c r="K50" i="1"/>
  <c r="E50" i="1"/>
  <c r="B76" i="1"/>
  <c r="O49" i="1"/>
  <c r="P34" i="1"/>
  <c r="B63" i="1"/>
  <c r="N49" i="1" s="1"/>
  <c r="P36" i="1"/>
  <c r="P35" i="1"/>
  <c r="F66" i="1"/>
  <c r="S37" i="1"/>
  <c r="M36" i="1"/>
  <c r="G64" i="1"/>
  <c r="Q50" i="1" s="1"/>
  <c r="S35" i="1"/>
  <c r="M34" i="1"/>
  <c r="S36" i="1"/>
  <c r="B69" i="1"/>
  <c r="N55" i="1" s="1"/>
  <c r="P41" i="1"/>
  <c r="P43" i="1"/>
  <c r="P42" i="1"/>
  <c r="P39" i="1"/>
  <c r="M43" i="1"/>
  <c r="F72" i="1"/>
  <c r="M38" i="1"/>
  <c r="J42" i="1"/>
  <c r="J34" i="1"/>
  <c r="D36" i="1"/>
  <c r="E71" i="1"/>
  <c r="H57" i="1" s="1"/>
  <c r="J43" i="1"/>
  <c r="D43" i="1"/>
  <c r="D42" i="1"/>
  <c r="G37" i="1"/>
  <c r="G42" i="1"/>
  <c r="J41" i="1"/>
  <c r="J38" i="1"/>
  <c r="D35" i="1"/>
  <c r="J39" i="1"/>
  <c r="C72" i="1"/>
  <c r="B58" i="1" s="1"/>
  <c r="D58" i="1" s="1"/>
  <c r="G35" i="1"/>
  <c r="D38" i="1"/>
  <c r="G40" i="1"/>
  <c r="G43" i="1"/>
  <c r="G34" i="1"/>
  <c r="D37" i="1"/>
  <c r="C71" i="1"/>
  <c r="B57" i="1" s="1"/>
  <c r="D41" i="1"/>
  <c r="J40" i="1"/>
  <c r="G38" i="1"/>
  <c r="G39" i="1"/>
  <c r="E70" i="1"/>
  <c r="H56" i="1" s="1"/>
  <c r="G41" i="1"/>
  <c r="G36" i="1"/>
  <c r="D39" i="1"/>
  <c r="E67" i="1"/>
  <c r="H53" i="1" s="1"/>
  <c r="E68" i="1"/>
  <c r="H54" i="1" s="1"/>
  <c r="D40" i="1"/>
  <c r="D67" i="1"/>
  <c r="D68" i="1"/>
  <c r="D70" i="1"/>
  <c r="C64" i="1"/>
  <c r="B50" i="1" s="1"/>
  <c r="C65" i="1"/>
  <c r="B51" i="1" s="1"/>
  <c r="C68" i="1"/>
  <c r="B54" i="1" s="1"/>
  <c r="C69" i="1"/>
  <c r="B55" i="1" s="1"/>
  <c r="D64" i="1"/>
  <c r="D79" i="1"/>
  <c r="D63" i="1"/>
  <c r="E49" i="1" s="1"/>
  <c r="E63" i="1"/>
  <c r="H49" i="1" s="1"/>
  <c r="J37" i="1"/>
  <c r="D82" i="1"/>
  <c r="J35" i="1"/>
  <c r="J36" i="1"/>
  <c r="D78" i="1"/>
  <c r="D34" i="1"/>
  <c r="G57" i="1" l="1"/>
  <c r="K57" i="1"/>
  <c r="M57" i="1" s="1"/>
  <c r="S50" i="1"/>
  <c r="J57" i="1"/>
  <c r="M55" i="1"/>
  <c r="M50" i="1"/>
  <c r="E54" i="1"/>
  <c r="G54" i="1" s="1"/>
  <c r="K54" i="1"/>
  <c r="M54" i="1" s="1"/>
  <c r="J53" i="1"/>
  <c r="M51" i="1"/>
  <c r="J54" i="1"/>
  <c r="J49" i="1"/>
  <c r="G50" i="1"/>
  <c r="D57" i="1"/>
  <c r="P55" i="1"/>
  <c r="D55" i="1"/>
  <c r="G49" i="1"/>
  <c r="G53" i="1"/>
  <c r="M56" i="1"/>
  <c r="J56" i="1"/>
  <c r="S56" i="1"/>
  <c r="D54" i="1"/>
  <c r="E58" i="1"/>
  <c r="G58" i="1" s="1"/>
  <c r="K58" i="1"/>
  <c r="M58" i="1" s="1"/>
  <c r="E52" i="1"/>
  <c r="G52" i="1" s="1"/>
  <c r="K52" i="1"/>
  <c r="M52" i="1" s="1"/>
  <c r="D51" i="1"/>
  <c r="D50" i="1"/>
  <c r="P49" i="1"/>
</calcChain>
</file>

<file path=xl/sharedStrings.xml><?xml version="1.0" encoding="utf-8"?>
<sst xmlns="http://schemas.openxmlformats.org/spreadsheetml/2006/main" count="150" uniqueCount="33">
  <si>
    <t>Support</t>
    <phoneticPr fontId="2" type="noConversion"/>
  </si>
  <si>
    <t>RF</t>
    <phoneticPr fontId="2" type="noConversion"/>
  </si>
  <si>
    <t>total</t>
    <phoneticPr fontId="2" type="noConversion"/>
  </si>
  <si>
    <t>Precision</t>
    <phoneticPr fontId="2" type="noConversion"/>
  </si>
  <si>
    <t>F1-Score</t>
    <phoneticPr fontId="2" type="noConversion"/>
  </si>
  <si>
    <t>total(Acc)</t>
    <phoneticPr fontId="2" type="noConversion"/>
  </si>
  <si>
    <t>TPR of failed disk</t>
    <phoneticPr fontId="2" type="noConversion"/>
  </si>
  <si>
    <t>FPR of failed disk</t>
    <phoneticPr fontId="2" type="noConversion"/>
  </si>
  <si>
    <t>AUC</t>
    <phoneticPr fontId="2" type="noConversion"/>
  </si>
  <si>
    <t>KNN</t>
    <phoneticPr fontId="2" type="noConversion"/>
  </si>
  <si>
    <t>LR</t>
    <phoneticPr fontId="2" type="noConversion"/>
  </si>
  <si>
    <t>SVM</t>
    <phoneticPr fontId="2" type="noConversion"/>
  </si>
  <si>
    <t>DT</t>
    <phoneticPr fontId="2" type="noConversion"/>
  </si>
  <si>
    <t>NN</t>
    <phoneticPr fontId="2" type="noConversion"/>
  </si>
  <si>
    <t>LSTM</t>
    <phoneticPr fontId="2" type="noConversion"/>
  </si>
  <si>
    <t>Test Time(50000条)/sec</t>
    <phoneticPr fontId="7" type="noConversion"/>
  </si>
  <si>
    <t>RF</t>
  </si>
  <si>
    <t>KNN</t>
  </si>
  <si>
    <t>LR</t>
  </si>
  <si>
    <t>SVM</t>
  </si>
  <si>
    <t>NN</t>
  </si>
  <si>
    <t>LSTM</t>
  </si>
  <si>
    <t>模型存储大小</t>
    <phoneticPr fontId="2" type="noConversion"/>
  </si>
  <si>
    <t>2116772 B = 2.02 M</t>
    <phoneticPr fontId="2" type="noConversion"/>
  </si>
  <si>
    <t>50000条testing内存开销/KB</t>
    <phoneticPr fontId="2" type="noConversion"/>
  </si>
  <si>
    <t>32000条：4123556，10000条：4103196</t>
    <phoneticPr fontId="2" type="noConversion"/>
  </si>
  <si>
    <t>APSNet</t>
  </si>
  <si>
    <t>DT</t>
  </si>
  <si>
    <t>Days Lookahead</t>
  </si>
  <si>
    <t>F1-Score</t>
  </si>
  <si>
    <t>Precision</t>
  </si>
  <si>
    <t>failed</t>
    <phoneticPr fontId="2" type="noConversion"/>
  </si>
  <si>
    <t>healthy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</si>
</sst>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0_ "/>
    <numFmt numFmtId="177" formatCode="0_ "/>
    <numFmt numFmtId="178" formatCode="0.00000_);[Red]\(0.00000\)"/>
    <numFmt numFmtId="179" formatCode="0_);[Red]\(0\)"/>
    <numFmt numFmtId="181" formatCode="0.000_);[Red]\(0.000\)"/>
    <numFmt numFmtId="183" formatCode="0.000_ "/>
    <numFmt numFmtId="186" formatCode="0.000"/>
  </numFmts>
  <fonts count="8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0"/>
      <color theme="1"/>
      <name val="Var(--jp-code-font-family)"/>
      <family val="2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3" fillId="0" borderId="0" xfId="0" applyNumberFormat="1" applyFont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78" fontId="6" fillId="0" borderId="0" xfId="0" applyNumberFormat="1" applyFont="1">
      <alignment vertical="center"/>
    </xf>
    <xf numFmtId="178" fontId="6" fillId="0" borderId="0" xfId="0" applyNumberFormat="1" applyFont="1" applyAlignment="1">
      <alignment vertical="center"/>
    </xf>
    <xf numFmtId="177" fontId="6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81" fontId="0" fillId="0" borderId="0" xfId="0" applyNumberFormat="1">
      <alignment vertical="center"/>
    </xf>
    <xf numFmtId="183" fontId="0" fillId="0" borderId="0" xfId="0" applyNumberFormat="1">
      <alignment vertical="center"/>
    </xf>
    <xf numFmtId="183" fontId="0" fillId="0" borderId="0" xfId="0" applyNumberFormat="1" applyAlignment="1"/>
    <xf numFmtId="18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989B-1310-4AD0-8F3B-42D19E88F94D}">
  <dimension ref="A1:Y106"/>
  <sheetViews>
    <sheetView tabSelected="1" topLeftCell="A31" zoomScale="70" zoomScaleNormal="70" workbookViewId="0">
      <selection activeCell="R24" sqref="R24"/>
    </sheetView>
  </sheetViews>
  <sheetFormatPr defaultRowHeight="14.25"/>
  <cols>
    <col min="2" max="2" width="11.5" bestFit="1" customWidth="1"/>
  </cols>
  <sheetData>
    <row r="1" spans="1: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>
      <c r="A2" s="23" t="s">
        <v>28</v>
      </c>
      <c r="B2" s="23" t="s">
        <v>1</v>
      </c>
      <c r="C2" s="23"/>
      <c r="D2" s="23"/>
      <c r="E2" s="23" t="s">
        <v>9</v>
      </c>
      <c r="F2" s="23"/>
      <c r="G2" s="23"/>
      <c r="H2" s="23" t="s">
        <v>10</v>
      </c>
      <c r="I2" s="23"/>
      <c r="J2" s="23"/>
      <c r="K2" s="23" t="s">
        <v>27</v>
      </c>
      <c r="L2" s="23"/>
      <c r="M2" s="23"/>
      <c r="N2" s="23" t="s">
        <v>26</v>
      </c>
      <c r="O2" s="23"/>
      <c r="P2" s="23"/>
      <c r="Q2" s="23" t="s">
        <v>11</v>
      </c>
      <c r="R2" s="23"/>
      <c r="S2" s="23"/>
      <c r="T2" s="23" t="s">
        <v>13</v>
      </c>
      <c r="U2" s="23"/>
      <c r="V2" s="23"/>
      <c r="W2" s="23" t="s">
        <v>14</v>
      </c>
      <c r="X2" s="23"/>
      <c r="Y2" s="23"/>
    </row>
    <row r="3" spans="1:25">
      <c r="A3" s="23"/>
      <c r="B3" s="1">
        <v>1</v>
      </c>
      <c r="C3" s="1">
        <v>0</v>
      </c>
      <c r="D3" s="1" t="s">
        <v>2</v>
      </c>
      <c r="E3" s="1">
        <v>1</v>
      </c>
      <c r="F3" s="1">
        <v>0</v>
      </c>
      <c r="G3" s="1" t="s">
        <v>2</v>
      </c>
      <c r="H3" s="1">
        <v>1</v>
      </c>
      <c r="I3" s="1">
        <v>0</v>
      </c>
      <c r="J3" s="1" t="s">
        <v>2</v>
      </c>
      <c r="K3" s="7">
        <v>1</v>
      </c>
      <c r="L3" s="7">
        <v>0</v>
      </c>
      <c r="M3" t="s">
        <v>2</v>
      </c>
      <c r="N3" s="7">
        <v>1</v>
      </c>
      <c r="O3" s="7">
        <v>0</v>
      </c>
      <c r="P3" t="s">
        <v>2</v>
      </c>
      <c r="Q3" s="7">
        <v>1</v>
      </c>
      <c r="R3" s="7">
        <v>0</v>
      </c>
      <c r="S3" t="s">
        <v>2</v>
      </c>
      <c r="T3" s="12">
        <v>1</v>
      </c>
      <c r="U3" s="12">
        <v>0</v>
      </c>
      <c r="V3" t="s">
        <v>2</v>
      </c>
      <c r="W3" s="12">
        <v>1</v>
      </c>
      <c r="X3" s="12">
        <v>0</v>
      </c>
      <c r="Y3" t="s">
        <v>2</v>
      </c>
    </row>
    <row r="4" spans="1:25">
      <c r="A4" s="7">
        <v>5</v>
      </c>
      <c r="B4" s="4">
        <v>20000</v>
      </c>
      <c r="C4" s="4">
        <v>20000</v>
      </c>
      <c r="D4" s="4">
        <f t="shared" ref="D4" si="0">B4+C4</f>
        <v>40000</v>
      </c>
      <c r="E4" s="4">
        <v>20000</v>
      </c>
      <c r="F4" s="4">
        <v>20000</v>
      </c>
      <c r="G4" s="4">
        <f t="shared" ref="G4" si="1">E4+F4</f>
        <v>40000</v>
      </c>
      <c r="H4" s="4">
        <v>20000</v>
      </c>
      <c r="I4" s="4">
        <v>20000</v>
      </c>
      <c r="J4" s="4">
        <f t="shared" ref="J4" si="2">H4+I4</f>
        <v>40000</v>
      </c>
      <c r="K4" s="4">
        <v>20000</v>
      </c>
      <c r="L4" s="4">
        <v>20000</v>
      </c>
      <c r="M4" s="4">
        <f t="shared" ref="M4" si="3">K4+L4</f>
        <v>40000</v>
      </c>
      <c r="N4" s="4">
        <v>20000</v>
      </c>
      <c r="O4" s="4">
        <v>20000</v>
      </c>
      <c r="P4" s="4">
        <f t="shared" ref="P4" si="4">N4+O4</f>
        <v>40000</v>
      </c>
      <c r="Q4" s="4">
        <v>20000</v>
      </c>
      <c r="R4" s="4">
        <v>20000</v>
      </c>
      <c r="S4" s="4">
        <f t="shared" ref="S4" si="5">Q4+R4</f>
        <v>40000</v>
      </c>
      <c r="T4" s="4">
        <v>25000</v>
      </c>
      <c r="U4" s="4">
        <v>25000</v>
      </c>
      <c r="V4" s="4">
        <f t="shared" ref="V4:V13" si="6">T4+U4</f>
        <v>50000</v>
      </c>
      <c r="W4" s="4">
        <v>25000</v>
      </c>
      <c r="X4" s="4">
        <v>25000</v>
      </c>
      <c r="Y4" s="4">
        <f t="shared" ref="Y4:Y13" si="7">W4+X4</f>
        <v>50000</v>
      </c>
    </row>
    <row r="5" spans="1:25">
      <c r="A5" s="7">
        <v>7</v>
      </c>
      <c r="B5" s="4">
        <v>20000</v>
      </c>
      <c r="C5" s="4">
        <v>20000</v>
      </c>
      <c r="D5" s="4">
        <f t="shared" ref="D5:D7" si="8">B5+C5</f>
        <v>40000</v>
      </c>
      <c r="E5" s="4">
        <v>20000</v>
      </c>
      <c r="F5" s="4">
        <v>20000</v>
      </c>
      <c r="G5" s="4">
        <f t="shared" ref="G5:G7" si="9">E5+F5</f>
        <v>40000</v>
      </c>
      <c r="H5" s="4">
        <v>20000</v>
      </c>
      <c r="I5" s="4">
        <v>20000</v>
      </c>
      <c r="J5" s="4">
        <f t="shared" ref="J5:J7" si="10">H5+I5</f>
        <v>40000</v>
      </c>
      <c r="K5" s="4">
        <v>20000</v>
      </c>
      <c r="L5" s="4">
        <v>20000</v>
      </c>
      <c r="M5" s="4">
        <f t="shared" ref="M5:M7" si="11">K5+L5</f>
        <v>40000</v>
      </c>
      <c r="N5" s="4">
        <v>20000</v>
      </c>
      <c r="O5" s="4">
        <v>20000</v>
      </c>
      <c r="P5" s="4">
        <f t="shared" ref="P5:P7" si="12">N5+O5</f>
        <v>40000</v>
      </c>
      <c r="Q5" s="4">
        <v>20000</v>
      </c>
      <c r="R5" s="4">
        <v>20000</v>
      </c>
      <c r="S5" s="4">
        <f t="shared" ref="S5:S7" si="13">Q5+R5</f>
        <v>40000</v>
      </c>
      <c r="T5" s="4">
        <v>25000</v>
      </c>
      <c r="U5" s="4">
        <v>25000</v>
      </c>
      <c r="V5" s="4">
        <f t="shared" si="6"/>
        <v>50000</v>
      </c>
      <c r="W5" s="4">
        <v>25000</v>
      </c>
      <c r="X5" s="4">
        <v>25000</v>
      </c>
      <c r="Y5" s="4">
        <f t="shared" si="7"/>
        <v>50000</v>
      </c>
    </row>
    <row r="6" spans="1:25">
      <c r="A6" s="7">
        <v>15</v>
      </c>
      <c r="B6" s="4">
        <v>20000</v>
      </c>
      <c r="C6" s="4">
        <v>20000</v>
      </c>
      <c r="D6" s="4">
        <f t="shared" si="8"/>
        <v>40000</v>
      </c>
      <c r="E6" s="4">
        <v>20000</v>
      </c>
      <c r="F6" s="4">
        <v>20000</v>
      </c>
      <c r="G6" s="4">
        <f t="shared" si="9"/>
        <v>40000</v>
      </c>
      <c r="H6" s="4">
        <v>20000</v>
      </c>
      <c r="I6" s="4">
        <v>20000</v>
      </c>
      <c r="J6" s="4">
        <f t="shared" si="10"/>
        <v>40000</v>
      </c>
      <c r="K6" s="4">
        <v>20000</v>
      </c>
      <c r="L6" s="4">
        <v>20000</v>
      </c>
      <c r="M6" s="4">
        <f t="shared" si="11"/>
        <v>40000</v>
      </c>
      <c r="N6" s="4">
        <v>20000</v>
      </c>
      <c r="O6" s="4">
        <v>20000</v>
      </c>
      <c r="P6" s="4">
        <f t="shared" si="12"/>
        <v>40000</v>
      </c>
      <c r="Q6" s="4">
        <v>20000</v>
      </c>
      <c r="R6" s="4">
        <v>20000</v>
      </c>
      <c r="S6" s="4">
        <f t="shared" si="13"/>
        <v>40000</v>
      </c>
      <c r="T6" s="4">
        <v>25000</v>
      </c>
      <c r="U6" s="4">
        <v>25000</v>
      </c>
      <c r="V6" s="4">
        <f t="shared" si="6"/>
        <v>50000</v>
      </c>
      <c r="W6" s="4">
        <v>25000</v>
      </c>
      <c r="X6" s="4">
        <v>25000</v>
      </c>
      <c r="Y6" s="4">
        <f t="shared" si="7"/>
        <v>50000</v>
      </c>
    </row>
    <row r="7" spans="1:25">
      <c r="A7" s="7">
        <v>30</v>
      </c>
      <c r="B7" s="4">
        <v>20000</v>
      </c>
      <c r="C7" s="4">
        <v>20000</v>
      </c>
      <c r="D7" s="4">
        <f t="shared" si="8"/>
        <v>40000</v>
      </c>
      <c r="E7" s="4">
        <v>20000</v>
      </c>
      <c r="F7" s="4">
        <v>20000</v>
      </c>
      <c r="G7" s="4">
        <f t="shared" si="9"/>
        <v>40000</v>
      </c>
      <c r="H7" s="4">
        <v>20000</v>
      </c>
      <c r="I7" s="4">
        <v>20000</v>
      </c>
      <c r="J7" s="4">
        <f t="shared" si="10"/>
        <v>40000</v>
      </c>
      <c r="K7" s="4">
        <v>20000</v>
      </c>
      <c r="L7" s="4">
        <v>20000</v>
      </c>
      <c r="M7" s="4">
        <f t="shared" si="11"/>
        <v>40000</v>
      </c>
      <c r="N7" s="4">
        <v>20000</v>
      </c>
      <c r="O7" s="4">
        <v>20000</v>
      </c>
      <c r="P7" s="4">
        <f t="shared" si="12"/>
        <v>40000</v>
      </c>
      <c r="Q7" s="4">
        <v>20000</v>
      </c>
      <c r="R7" s="4">
        <v>20000</v>
      </c>
      <c r="S7" s="4">
        <f t="shared" si="13"/>
        <v>40000</v>
      </c>
      <c r="T7" s="4">
        <v>25000</v>
      </c>
      <c r="U7" s="4">
        <v>25000</v>
      </c>
      <c r="V7" s="4">
        <f t="shared" si="6"/>
        <v>50000</v>
      </c>
      <c r="W7" s="4">
        <v>25000</v>
      </c>
      <c r="X7" s="4">
        <v>25000</v>
      </c>
      <c r="Y7" s="4">
        <f t="shared" si="7"/>
        <v>50000</v>
      </c>
    </row>
    <row r="8" spans="1:25">
      <c r="A8" s="7">
        <v>45</v>
      </c>
      <c r="B8" s="4">
        <v>25000</v>
      </c>
      <c r="C8" s="4">
        <v>25000</v>
      </c>
      <c r="D8" s="4">
        <f t="shared" ref="D8" si="14">B8+C8</f>
        <v>50000</v>
      </c>
      <c r="E8" s="4">
        <v>25000</v>
      </c>
      <c r="F8" s="4">
        <v>25000</v>
      </c>
      <c r="G8" s="4">
        <f t="shared" ref="G8" si="15">E8+F8</f>
        <v>50000</v>
      </c>
      <c r="H8" s="4">
        <v>25000</v>
      </c>
      <c r="I8" s="4">
        <v>25000</v>
      </c>
      <c r="J8" s="4">
        <f t="shared" ref="J8" si="16">H8+I8</f>
        <v>50000</v>
      </c>
      <c r="K8" s="4">
        <v>25000</v>
      </c>
      <c r="L8" s="4">
        <v>25000</v>
      </c>
      <c r="M8" s="4">
        <f t="shared" ref="M8" si="17">K8+L8</f>
        <v>50000</v>
      </c>
      <c r="N8" s="4">
        <v>25000</v>
      </c>
      <c r="O8" s="4">
        <v>25000</v>
      </c>
      <c r="P8" s="4">
        <f t="shared" ref="P8" si="18">N8+O8</f>
        <v>50000</v>
      </c>
      <c r="Q8" s="4">
        <v>25000</v>
      </c>
      <c r="R8" s="4">
        <v>25000</v>
      </c>
      <c r="S8" s="4">
        <f t="shared" ref="S8" si="19">Q8+R8</f>
        <v>50000</v>
      </c>
      <c r="T8" s="4">
        <v>25000</v>
      </c>
      <c r="U8" s="4">
        <v>25000</v>
      </c>
      <c r="V8" s="4">
        <f t="shared" si="6"/>
        <v>50000</v>
      </c>
      <c r="W8" s="4">
        <v>25000</v>
      </c>
      <c r="X8" s="4">
        <v>25000</v>
      </c>
      <c r="Y8" s="4">
        <f t="shared" si="7"/>
        <v>50000</v>
      </c>
    </row>
    <row r="9" spans="1:25">
      <c r="A9" s="7">
        <v>60</v>
      </c>
      <c r="B9" s="4">
        <v>25000</v>
      </c>
      <c r="C9" s="4">
        <v>25000</v>
      </c>
      <c r="D9" s="4">
        <f t="shared" ref="D9" si="20">B9+C9</f>
        <v>50000</v>
      </c>
      <c r="E9" s="4">
        <v>25000</v>
      </c>
      <c r="F9" s="4">
        <v>25000</v>
      </c>
      <c r="G9" s="4">
        <f t="shared" ref="G9:G13" si="21">E9+F9</f>
        <v>50000</v>
      </c>
      <c r="H9" s="4">
        <v>25000</v>
      </c>
      <c r="I9" s="4">
        <v>25000</v>
      </c>
      <c r="J9" s="4">
        <f t="shared" ref="J9:J13" si="22">H9+I9</f>
        <v>50000</v>
      </c>
      <c r="K9" s="4">
        <v>25000</v>
      </c>
      <c r="L9" s="4">
        <v>25000</v>
      </c>
      <c r="M9" s="4">
        <f t="shared" ref="M9:M13" si="23">K9+L9</f>
        <v>50000</v>
      </c>
      <c r="N9" s="4">
        <v>25000</v>
      </c>
      <c r="O9" s="4">
        <v>25000</v>
      </c>
      <c r="P9" s="4">
        <f t="shared" ref="P9:P13" si="24">N9+O9</f>
        <v>50000</v>
      </c>
      <c r="Q9" s="4">
        <v>25000</v>
      </c>
      <c r="R9" s="4">
        <v>25000</v>
      </c>
      <c r="S9" s="4">
        <f t="shared" ref="S9:S13" si="25">Q9+R9</f>
        <v>50000</v>
      </c>
      <c r="T9" s="4">
        <v>25000</v>
      </c>
      <c r="U9" s="4">
        <v>25000</v>
      </c>
      <c r="V9" s="4">
        <f t="shared" si="6"/>
        <v>50000</v>
      </c>
      <c r="W9" s="4">
        <v>25000</v>
      </c>
      <c r="X9" s="4">
        <v>25000</v>
      </c>
      <c r="Y9" s="4">
        <f t="shared" si="7"/>
        <v>50000</v>
      </c>
    </row>
    <row r="10" spans="1:25">
      <c r="A10" s="7">
        <v>90</v>
      </c>
      <c r="B10" s="4">
        <v>25000</v>
      </c>
      <c r="C10" s="4">
        <v>25000</v>
      </c>
      <c r="D10" s="4">
        <f t="shared" ref="D10:D13" si="26">B10+C10</f>
        <v>50000</v>
      </c>
      <c r="E10" s="4">
        <v>25000</v>
      </c>
      <c r="F10" s="4">
        <v>25000</v>
      </c>
      <c r="G10" s="4">
        <f t="shared" si="21"/>
        <v>50000</v>
      </c>
      <c r="H10" s="4">
        <v>25000</v>
      </c>
      <c r="I10" s="4">
        <v>25000</v>
      </c>
      <c r="J10" s="4">
        <f t="shared" si="22"/>
        <v>50000</v>
      </c>
      <c r="K10" s="4">
        <v>25000</v>
      </c>
      <c r="L10" s="4">
        <v>25000</v>
      </c>
      <c r="M10" s="4">
        <f t="shared" si="23"/>
        <v>50000</v>
      </c>
      <c r="N10" s="4">
        <v>25000</v>
      </c>
      <c r="O10" s="4">
        <v>25000</v>
      </c>
      <c r="P10" s="4">
        <f t="shared" si="24"/>
        <v>50000</v>
      </c>
      <c r="Q10" s="4">
        <v>25000</v>
      </c>
      <c r="R10" s="4">
        <v>25000</v>
      </c>
      <c r="S10" s="4">
        <f t="shared" si="25"/>
        <v>50000</v>
      </c>
      <c r="T10" s="4">
        <v>25000</v>
      </c>
      <c r="U10" s="4">
        <v>25000</v>
      </c>
      <c r="V10" s="4">
        <f t="shared" si="6"/>
        <v>50000</v>
      </c>
      <c r="W10" s="4">
        <v>25000</v>
      </c>
      <c r="X10" s="4">
        <v>25000</v>
      </c>
      <c r="Y10" s="4">
        <f t="shared" si="7"/>
        <v>50000</v>
      </c>
    </row>
    <row r="11" spans="1:25">
      <c r="A11" s="7">
        <v>120</v>
      </c>
      <c r="B11" s="4">
        <v>25000</v>
      </c>
      <c r="C11" s="4">
        <v>25000</v>
      </c>
      <c r="D11" s="4">
        <f t="shared" si="26"/>
        <v>50000</v>
      </c>
      <c r="E11" s="4">
        <v>25000</v>
      </c>
      <c r="F11" s="4">
        <v>25000</v>
      </c>
      <c r="G11" s="4">
        <f t="shared" si="21"/>
        <v>50000</v>
      </c>
      <c r="H11" s="4">
        <v>25000</v>
      </c>
      <c r="I11" s="4">
        <v>25000</v>
      </c>
      <c r="J11" s="4">
        <f t="shared" si="22"/>
        <v>50000</v>
      </c>
      <c r="K11" s="4">
        <v>25000</v>
      </c>
      <c r="L11" s="4">
        <v>25000</v>
      </c>
      <c r="M11" s="4">
        <f t="shared" si="23"/>
        <v>50000</v>
      </c>
      <c r="N11" s="4">
        <v>25000</v>
      </c>
      <c r="O11" s="4">
        <v>25000</v>
      </c>
      <c r="P11" s="4">
        <f t="shared" si="24"/>
        <v>50000</v>
      </c>
      <c r="Q11" s="4">
        <v>25000</v>
      </c>
      <c r="R11" s="4">
        <v>25000</v>
      </c>
      <c r="S11" s="4">
        <f t="shared" si="25"/>
        <v>50000</v>
      </c>
      <c r="T11" s="4">
        <v>25000</v>
      </c>
      <c r="U11" s="4">
        <v>25000</v>
      </c>
      <c r="V11" s="4">
        <f t="shared" si="6"/>
        <v>50000</v>
      </c>
      <c r="W11" s="4">
        <v>25000</v>
      </c>
      <c r="X11" s="4">
        <v>25000</v>
      </c>
      <c r="Y11" s="4">
        <f t="shared" si="7"/>
        <v>50000</v>
      </c>
    </row>
    <row r="12" spans="1:25">
      <c r="A12" s="15">
        <v>210</v>
      </c>
      <c r="B12" s="18">
        <v>25000</v>
      </c>
      <c r="C12" s="18">
        <v>25000</v>
      </c>
      <c r="D12" s="18">
        <f t="shared" si="26"/>
        <v>50000</v>
      </c>
      <c r="E12" s="18">
        <v>25000</v>
      </c>
      <c r="F12" s="18">
        <v>25000</v>
      </c>
      <c r="G12" s="18">
        <f t="shared" si="21"/>
        <v>50000</v>
      </c>
      <c r="H12" s="18">
        <v>25000</v>
      </c>
      <c r="I12" s="18">
        <v>25000</v>
      </c>
      <c r="J12" s="18">
        <f t="shared" si="22"/>
        <v>50000</v>
      </c>
      <c r="K12" s="18">
        <v>25000</v>
      </c>
      <c r="L12" s="18">
        <v>25000</v>
      </c>
      <c r="M12" s="18">
        <f t="shared" si="23"/>
        <v>50000</v>
      </c>
      <c r="N12" s="18">
        <v>25000</v>
      </c>
      <c r="O12" s="18">
        <v>25000</v>
      </c>
      <c r="P12" s="18">
        <f t="shared" si="24"/>
        <v>50000</v>
      </c>
      <c r="Q12" s="18">
        <v>25000</v>
      </c>
      <c r="R12" s="18">
        <v>25000</v>
      </c>
      <c r="S12" s="18">
        <f t="shared" si="25"/>
        <v>50000</v>
      </c>
      <c r="T12" s="18">
        <v>25000</v>
      </c>
      <c r="U12" s="18">
        <v>25000</v>
      </c>
      <c r="V12" s="18">
        <f t="shared" si="6"/>
        <v>50000</v>
      </c>
      <c r="W12" s="18">
        <v>25000</v>
      </c>
      <c r="X12" s="18">
        <v>25000</v>
      </c>
      <c r="Y12" s="18">
        <f t="shared" si="7"/>
        <v>50000</v>
      </c>
    </row>
    <row r="13" spans="1:25">
      <c r="A13" s="15">
        <v>300</v>
      </c>
      <c r="B13" s="18">
        <v>25000</v>
      </c>
      <c r="C13" s="18">
        <v>25000</v>
      </c>
      <c r="D13" s="18">
        <f t="shared" si="26"/>
        <v>50000</v>
      </c>
      <c r="E13" s="18">
        <v>25000</v>
      </c>
      <c r="F13" s="18">
        <v>25000</v>
      </c>
      <c r="G13" s="18">
        <f t="shared" si="21"/>
        <v>50000</v>
      </c>
      <c r="H13" s="18">
        <v>25000</v>
      </c>
      <c r="I13" s="18">
        <v>25000</v>
      </c>
      <c r="J13" s="18">
        <f t="shared" si="22"/>
        <v>50000</v>
      </c>
      <c r="K13" s="18">
        <v>25000</v>
      </c>
      <c r="L13" s="18">
        <v>25000</v>
      </c>
      <c r="M13" s="18">
        <f t="shared" si="23"/>
        <v>50000</v>
      </c>
      <c r="N13" s="18">
        <v>25000</v>
      </c>
      <c r="O13" s="18">
        <v>25000</v>
      </c>
      <c r="P13" s="18">
        <f t="shared" si="24"/>
        <v>50000</v>
      </c>
      <c r="Q13" s="18">
        <v>25000</v>
      </c>
      <c r="R13" s="18">
        <v>25000</v>
      </c>
      <c r="S13" s="18">
        <f t="shared" si="25"/>
        <v>50000</v>
      </c>
      <c r="T13" s="18">
        <v>25000</v>
      </c>
      <c r="U13" s="18">
        <v>25000</v>
      </c>
      <c r="V13" s="18">
        <f t="shared" si="6"/>
        <v>50000</v>
      </c>
      <c r="W13" s="18">
        <v>25000</v>
      </c>
      <c r="X13" s="18">
        <v>25000</v>
      </c>
      <c r="Y13" s="18">
        <f t="shared" si="7"/>
        <v>50000</v>
      </c>
    </row>
    <row r="14" spans="1:25">
      <c r="A14" s="1"/>
    </row>
    <row r="15" spans="1:25">
      <c r="D15" s="2"/>
      <c r="E15" s="2"/>
      <c r="F15" s="2"/>
      <c r="G15" s="2"/>
    </row>
    <row r="16" spans="1:25">
      <c r="A16" s="23" t="s">
        <v>3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25">
      <c r="A17" s="23" t="s">
        <v>28</v>
      </c>
      <c r="B17" s="23" t="s">
        <v>1</v>
      </c>
      <c r="C17" s="23"/>
      <c r="D17" s="23"/>
      <c r="E17" s="23" t="s">
        <v>9</v>
      </c>
      <c r="F17" s="23"/>
      <c r="G17" s="23"/>
      <c r="H17" s="23" t="s">
        <v>10</v>
      </c>
      <c r="I17" s="23"/>
      <c r="J17" s="23"/>
      <c r="K17" s="23" t="s">
        <v>27</v>
      </c>
      <c r="L17" s="23"/>
      <c r="M17" s="23"/>
      <c r="N17" s="23" t="s">
        <v>26</v>
      </c>
      <c r="O17" s="23"/>
      <c r="P17" s="23"/>
      <c r="Q17" s="23" t="s">
        <v>11</v>
      </c>
      <c r="R17" s="23"/>
      <c r="S17" s="23"/>
      <c r="T17" s="23" t="s">
        <v>13</v>
      </c>
      <c r="U17" s="23"/>
      <c r="V17" s="23"/>
      <c r="W17" s="23" t="s">
        <v>14</v>
      </c>
      <c r="X17" s="23"/>
      <c r="Y17" s="23"/>
    </row>
    <row r="18" spans="1:25">
      <c r="A18" s="23"/>
      <c r="B18" s="7">
        <v>1</v>
      </c>
      <c r="C18" s="7">
        <v>0</v>
      </c>
      <c r="D18" s="1" t="s">
        <v>5</v>
      </c>
      <c r="E18" s="7">
        <v>1</v>
      </c>
      <c r="F18" s="7">
        <v>0</v>
      </c>
      <c r="G18" s="1" t="s">
        <v>5</v>
      </c>
      <c r="H18" s="7">
        <v>1</v>
      </c>
      <c r="I18" s="7">
        <v>0</v>
      </c>
      <c r="J18" s="1" t="s">
        <v>5</v>
      </c>
      <c r="K18" s="7">
        <v>1</v>
      </c>
      <c r="L18" s="7">
        <v>0</v>
      </c>
      <c r="M18" s="7" t="s">
        <v>5</v>
      </c>
      <c r="N18" s="7">
        <v>1</v>
      </c>
      <c r="O18" s="7">
        <v>0</v>
      </c>
      <c r="P18" s="7" t="s">
        <v>5</v>
      </c>
      <c r="Q18" s="7">
        <v>1</v>
      </c>
      <c r="R18" s="7">
        <v>0</v>
      </c>
      <c r="S18" s="7" t="s">
        <v>5</v>
      </c>
      <c r="T18" s="12">
        <v>1</v>
      </c>
      <c r="U18" s="12">
        <v>0</v>
      </c>
      <c r="V18" s="12" t="s">
        <v>5</v>
      </c>
      <c r="W18" s="12">
        <v>1</v>
      </c>
      <c r="X18" s="12">
        <v>0</v>
      </c>
      <c r="Y18" s="12" t="s">
        <v>5</v>
      </c>
    </row>
    <row r="19" spans="1:25">
      <c r="A19" s="10">
        <v>5</v>
      </c>
      <c r="B19" s="11">
        <f>0.87708*0.94</f>
        <v>0.82445519999999994</v>
      </c>
      <c r="C19" s="11">
        <f>0.915884*0.94</f>
        <v>0.86093096000000002</v>
      </c>
      <c r="D19" s="11">
        <f>0.89587*0.94</f>
        <v>0.84211780000000003</v>
      </c>
      <c r="E19" s="11">
        <f>(0.7588+0.74267+0.74478+0.75484+0.75439)/5</f>
        <v>0.75109599999999987</v>
      </c>
      <c r="F19" s="11">
        <f>(0.78657+0.77999+0.79342+0.77612+0.78513)/5</f>
        <v>0.78424600000000011</v>
      </c>
      <c r="G19" s="11">
        <f>(0.77187+0.76025+0.765+0.7685+0.7675)/5</f>
        <v>0.76662399999999997</v>
      </c>
      <c r="H19" s="11">
        <f>(0.69364+0.67527+0.68512+0.68428+0.6883)/5</f>
        <v>0.68532199999999999</v>
      </c>
      <c r="I19" s="11">
        <f>(0.67624+0.66203+0.68107+0.66444+0.6644)/5</f>
        <v>0.66963600000000001</v>
      </c>
      <c r="J19" s="11">
        <f>(0.676+0.67388+0.683+0.66825+0.68463)/5</f>
        <v>0.67715200000000009</v>
      </c>
      <c r="K19" s="11">
        <f>(0.83833+0.84795+0.83245+0.8423+0.8349)/5*0.95</f>
        <v>0.79722670000000007</v>
      </c>
      <c r="L19" s="11">
        <f>(0.864+0.86765+0.87175+0.86209+0.86665)/5*0.95</f>
        <v>0.82310659999999991</v>
      </c>
      <c r="M19" s="11">
        <f>(0.85062+0.85763+0.85137+0.85188+0.84975)/5*0.95</f>
        <v>0.8096374999999999</v>
      </c>
      <c r="N19" s="11">
        <f>0.90589</f>
        <v>0.90588999999999997</v>
      </c>
      <c r="O19" s="11">
        <f>0.90571</f>
        <v>0.90571000000000002</v>
      </c>
      <c r="P19" s="11">
        <f>0.9058</f>
        <v>0.90580000000000005</v>
      </c>
      <c r="Q19" s="11">
        <f>(0.69032+0.67028+0.67889+0.68123+0.67948)/5</f>
        <v>0.68003999999999998</v>
      </c>
      <c r="R19" s="11">
        <f>(0.66408+0.65191+0.66925+0.65401+0.64735)/5</f>
        <v>0.65732000000000002</v>
      </c>
      <c r="S19" s="11">
        <f>(0.6625+0.66663+0.67375+0.66038+0.67637)/5</f>
        <v>0.66792599999999991</v>
      </c>
      <c r="T19" s="9">
        <v>0.79964999999999997</v>
      </c>
      <c r="U19" s="9">
        <v>0.81766000000000005</v>
      </c>
      <c r="V19" s="9">
        <v>0.80840000000000001</v>
      </c>
      <c r="W19" s="9">
        <v>0.80347000000000002</v>
      </c>
      <c r="X19" s="9">
        <v>0.80613999999999997</v>
      </c>
      <c r="Y19" s="9">
        <v>0.80479999999999996</v>
      </c>
    </row>
    <row r="20" spans="1:25">
      <c r="A20" s="10">
        <v>7</v>
      </c>
      <c r="B20" s="11">
        <f>0.87659*0.94</f>
        <v>0.82399459999999991</v>
      </c>
      <c r="C20" s="11">
        <f>0.9156*0.94</f>
        <v>0.86066399999999987</v>
      </c>
      <c r="D20" s="11">
        <f>0.89525*0.94</f>
        <v>0.84153499999999992</v>
      </c>
      <c r="E20" s="11">
        <f>(0.75423+0.75428+0.74899+0.75903+0.75244)/5</f>
        <v>0.75379399999999996</v>
      </c>
      <c r="F20" s="11">
        <f>(0.77085+0.78095+0.78348+0.77257+0.78528)/5</f>
        <v>0.77862600000000004</v>
      </c>
      <c r="G20" s="11">
        <f>(0.76213+0.76712+0.76538+0.7655+0.768)/5</f>
        <v>0.76562599999999992</v>
      </c>
      <c r="H20" s="11">
        <f>(0.69047+0.69207+0.6851+0.68708+0.6956)/5</f>
        <v>0.6900639999999999</v>
      </c>
      <c r="I20" s="11">
        <f>(0.66052+0.68448+0.68613+0.66266+0.68696)/5</f>
        <v>0.67615000000000003</v>
      </c>
      <c r="J20" s="11">
        <f>(0.69112+0.67437+0.68563+0.68812+0.67463)/5</f>
        <v>0.68277399999999999</v>
      </c>
      <c r="K20" s="11">
        <f>(0.83361+0.83821+0.83734+0.83621+0.83855)/5*0.95</f>
        <v>0.7949447999999999</v>
      </c>
      <c r="L20" s="11">
        <f>(0.86529+0.86543+0.87305+0.86908+0.85673)/5*0.95</f>
        <v>0.82262020000000002</v>
      </c>
      <c r="M20" s="11">
        <f>(0.84462+0.85313+0.8545+0.85+0.8515)/5*0.95</f>
        <v>0.8082125</v>
      </c>
      <c r="N20" s="11">
        <v>0.88822999999999996</v>
      </c>
      <c r="O20" s="11">
        <v>0.89183000000000001</v>
      </c>
      <c r="P20" s="11">
        <v>0.89</v>
      </c>
      <c r="Q20" s="11">
        <f>(0.68005+0.67577+0.68566+0.68892+0.68675)/5</f>
        <v>0.68342999999999998</v>
      </c>
      <c r="R20" s="11">
        <f>(0.64685+0.66343+0.67934+0.66033+0.668)/5</f>
        <v>0.66359000000000001</v>
      </c>
      <c r="S20" s="11">
        <f>(0.67675+0.67388+0.68237+0.66925+0.66225)/5</f>
        <v>0.67289999999999994</v>
      </c>
      <c r="T20" s="9">
        <v>0.80388000000000004</v>
      </c>
      <c r="U20" s="9">
        <v>0.80715000000000003</v>
      </c>
      <c r="V20" s="9">
        <v>0.80549999999999999</v>
      </c>
      <c r="W20" s="9">
        <v>0.79896</v>
      </c>
      <c r="X20" s="9">
        <v>0.79862999999999995</v>
      </c>
      <c r="Y20" s="9">
        <v>0.79879999999999995</v>
      </c>
    </row>
    <row r="21" spans="1:25">
      <c r="A21" s="10">
        <v>15</v>
      </c>
      <c r="B21" s="11">
        <f>0.94*0.86322</f>
        <v>0.81142679999999989</v>
      </c>
      <c r="C21" s="11">
        <f>0.94*0.91196</f>
        <v>0.85724239999999996</v>
      </c>
      <c r="D21" s="11">
        <f>0.94*0.88675</f>
        <v>0.83354499999999998</v>
      </c>
      <c r="E21" s="11">
        <f>(0.75436+0.74358+0.7492+0.75504+0.73068)/5</f>
        <v>0.74657200000000001</v>
      </c>
      <c r="F21" s="11">
        <f>(0.74624+0.75761+0.75435+0.75471+0.75758)/5</f>
        <v>0.75409799999999994</v>
      </c>
      <c r="G21" s="11">
        <f>(0.75038+0.75038+0.75175+0.75487+0.744)/5</f>
        <v>0.75027600000000005</v>
      </c>
      <c r="H21" s="11">
        <f>(0.68832+0.69119+0.67926+0.69682+0.67778)/5</f>
        <v>0.68667400000000001</v>
      </c>
      <c r="I21" s="11">
        <f>(0.66163+0.67542+0.66555+0.68143+0.68517)/5</f>
        <v>0.67383999999999999</v>
      </c>
      <c r="J21" s="11">
        <f>(0.67463+0.683+0.67212+0.68888+0.68163)/5</f>
        <v>0.6800520000000001</v>
      </c>
      <c r="K21" s="11">
        <f>(0.83216+0.83211+0.82772+0.8509+0.81851)/5*0.95</f>
        <v>0.79066600000000009</v>
      </c>
      <c r="L21" s="11">
        <f>(0.8602+0.8486+0.84444+0.84492+0.83726)/5*0.95</f>
        <v>0.80472980000000005</v>
      </c>
      <c r="M21" s="11">
        <f>(0.83875+0.84975+0.83588+0.83837+0.83462)/5*0.95</f>
        <v>0.79750029999999983</v>
      </c>
      <c r="N21" s="11">
        <v>0.88658000000000003</v>
      </c>
      <c r="O21" s="11">
        <v>0.88566999999999996</v>
      </c>
      <c r="P21" s="11">
        <v>0.88612999999999997</v>
      </c>
      <c r="Q21" s="11">
        <f>(0.67961+0.68606+0.6733+0.69602+0.67325)/5</f>
        <v>0.68164799999999992</v>
      </c>
      <c r="R21" s="11">
        <f>(0.67349+0.67591+0.65454+0.66375+0.64866)/5</f>
        <v>0.66327000000000003</v>
      </c>
      <c r="S21" s="11">
        <f>(0.6635+0.67425+0.66338+0.6855+0.67337)/5</f>
        <v>0.67200000000000004</v>
      </c>
      <c r="T21" s="9">
        <v>0.79388999999999998</v>
      </c>
      <c r="U21" s="9">
        <v>0.79861000000000004</v>
      </c>
      <c r="V21" s="9">
        <v>0.79620000000000002</v>
      </c>
      <c r="W21" s="9">
        <v>0.79464999999999997</v>
      </c>
      <c r="X21" s="9">
        <v>0.79698999999999998</v>
      </c>
      <c r="Y21" s="9">
        <v>0.79579999999999995</v>
      </c>
    </row>
    <row r="22" spans="1:25">
      <c r="A22" s="10">
        <v>30</v>
      </c>
      <c r="B22" s="11">
        <f>0.94*0.85128</f>
        <v>0.8002032</v>
      </c>
      <c r="C22" s="11">
        <f>0.94*0.887</f>
        <v>0.83377999999999997</v>
      </c>
      <c r="D22" s="11">
        <f>0.94*0.86862</f>
        <v>0.81650279999999986</v>
      </c>
      <c r="E22" s="11">
        <v>0.73740000000000006</v>
      </c>
      <c r="F22" s="11">
        <v>0.73063</v>
      </c>
      <c r="G22" s="11">
        <v>0.73399999999999999</v>
      </c>
      <c r="H22" s="11">
        <f>(0.68263+0.68206+0.67417+0.67647+0.66883)/5</f>
        <v>0.6768320000000001</v>
      </c>
      <c r="I22" s="11">
        <f>(0.66002+0.66969+0.67357+0.67338+0.68421)/5</f>
        <v>0.67217400000000005</v>
      </c>
      <c r="J22" s="11">
        <f>(0.671+0.67575+0.67388+0.67488+0.6765)/5</f>
        <v>0.67440199999999995</v>
      </c>
      <c r="K22" s="11">
        <f>(0.82308+0.8113+0.81069+0.80345+0.80015)/5*0.95</f>
        <v>0.76924730000000008</v>
      </c>
      <c r="L22" s="11">
        <f>(0.81239+0.81705+0.8221+0.81105+0.82212)/5*0.95</f>
        <v>0.77609490000000003</v>
      </c>
      <c r="M22" s="11">
        <f>(0.81775+0.81412+0.81625+0.80725+0.811)/5*0.95</f>
        <v>0.77261029999999997</v>
      </c>
      <c r="N22" s="11">
        <f>0.884496</f>
        <v>0.88449599999999995</v>
      </c>
      <c r="O22" s="11">
        <f>0.8586946</f>
        <v>0.85869459999999997</v>
      </c>
      <c r="P22" s="11">
        <f>(0.875+0.871+0.868+0.87362+0.87013)/5</f>
        <v>0.87154999999999982</v>
      </c>
      <c r="Q22" s="11">
        <f>(0.67698+0.68027+0.66961+0.67555+0.66921)/5</f>
        <v>0.67432400000000003</v>
      </c>
      <c r="R22" s="11">
        <f>(0.65173+0.66193+0.6627+0.66548+0.67764)/5</f>
        <v>0.66389600000000004</v>
      </c>
      <c r="S22" s="11">
        <f>(0.6735+0.67025+0.66612+0.67075+0.66387)/5</f>
        <v>0.6688980000000001</v>
      </c>
      <c r="T22" s="9">
        <v>0.80357999999999996</v>
      </c>
      <c r="U22" s="9">
        <v>0.79129000000000005</v>
      </c>
      <c r="V22" s="9">
        <v>0.7974</v>
      </c>
      <c r="W22" s="9">
        <v>0.78822000000000003</v>
      </c>
      <c r="X22" s="9">
        <v>0.78837999999999997</v>
      </c>
      <c r="Y22" s="9">
        <v>0.7883</v>
      </c>
    </row>
    <row r="23" spans="1:25">
      <c r="A23" s="7">
        <v>45</v>
      </c>
      <c r="B23" s="9">
        <f>0.94*0.85616</f>
        <v>0.80479040000000002</v>
      </c>
      <c r="C23" s="9">
        <f>0.94*0.86276</f>
        <v>0.81099439999999989</v>
      </c>
      <c r="D23" s="9">
        <f>0.94*0.8594</f>
        <v>0.807836</v>
      </c>
      <c r="E23" s="9">
        <f>(0.69766+0.71152+0.71618+0.71185+0.71803)/5</f>
        <v>0.71104800000000012</v>
      </c>
      <c r="F23" s="9">
        <f>(0.72238+0.71107+0.71258+0.71801+0.72325)/5</f>
        <v>0.71745800000000004</v>
      </c>
      <c r="G23" s="9">
        <f>(0.7097+0.7113+0.7144+0.7149+0.7206)/5</f>
        <v>0.71418000000000004</v>
      </c>
      <c r="H23" s="9">
        <v>0.65880000000000005</v>
      </c>
      <c r="I23" s="9">
        <v>0.66120000000000001</v>
      </c>
      <c r="J23" s="9">
        <v>0.66</v>
      </c>
      <c r="K23" s="9">
        <f>(0.78826+0.80281+0.80184+0.7952+0.81417)/5*0.95</f>
        <v>0.76043319999999992</v>
      </c>
      <c r="L23" s="9">
        <f>(0.79506+0.79482+0.79415+0.80206+0.80012)/5*0.95</f>
        <v>0.75737989999999999</v>
      </c>
      <c r="M23" s="9">
        <f>(0.7917+0.7988+0.798+0.7986+0.807)/5*0.95</f>
        <v>0.75887899999999997</v>
      </c>
      <c r="N23" s="9">
        <f>(0.86558+0.86688+0.86068+0.85992+0.86902)/5</f>
        <v>0.86441599999999996</v>
      </c>
      <c r="O23" s="9">
        <f>(0.8644+0.8764+0.8652+0.86331+0.87819)/5</f>
        <v>0.86950000000000005</v>
      </c>
      <c r="P23" s="9">
        <f>(0.8719+0.8651+0.8629+0.868+0.8667)/5</f>
        <v>0.86692000000000002</v>
      </c>
      <c r="Q23" s="9">
        <f>(0.68123+0.68834+0.68116+0.68012+0.69485)/5</f>
        <v>0.68513999999999997</v>
      </c>
      <c r="R23" s="9">
        <f>(0.66728+0.64699+0.64378+0.64836+0.65478)/5</f>
        <v>0.6522380000000001</v>
      </c>
      <c r="S23" s="9">
        <f>(0.6737+0.6655+0.6608+0.6626+0.6726)/5</f>
        <v>0.66703999999999997</v>
      </c>
      <c r="T23" s="9">
        <v>0.78239999999999998</v>
      </c>
      <c r="U23" s="9">
        <v>0.79300000000000004</v>
      </c>
      <c r="V23" s="9">
        <v>0.78769999999999996</v>
      </c>
      <c r="W23" s="9">
        <v>0.75970000000000004</v>
      </c>
      <c r="X23" s="9">
        <v>0.75788</v>
      </c>
      <c r="Y23" s="9">
        <v>0.75880000000000003</v>
      </c>
    </row>
    <row r="24" spans="1:25">
      <c r="A24" s="7">
        <v>60</v>
      </c>
      <c r="B24" s="9">
        <f>0.94*0.8443</f>
        <v>0.79364199999999996</v>
      </c>
      <c r="C24" s="9">
        <f>0.94*0.85307</f>
        <v>0.80188579999999998</v>
      </c>
      <c r="D24" s="9">
        <f>0.94*0.8487</f>
        <v>0.79777799999999999</v>
      </c>
      <c r="E24" s="9">
        <f>(0.6941+0.69241+0.70803+0.70704+0.69594)/5</f>
        <v>0.6995039999999999</v>
      </c>
      <c r="F24" s="9">
        <f>(0.70946+0.70656+0.68795+0.7112+0.69929)/5</f>
        <v>0.70289200000000007</v>
      </c>
      <c r="G24" s="9">
        <f>(0.7017+0.6994+0.698+0.7091+0.6976)/5</f>
        <v>0.70116000000000001</v>
      </c>
      <c r="H24" s="9">
        <f>(0.66529+0.65685+0.66135+0.66667+0.66947)/5</f>
        <v>0.66392600000000002</v>
      </c>
      <c r="I24" s="9">
        <f>(0.68156+0.6746+0.64561+0.67098+0.66933)/5</f>
        <v>0.66841600000000001</v>
      </c>
      <c r="J24" s="9">
        <f>(0.6733+0.6655+0.6536+0.6688+0.6694)/5</f>
        <v>0.66612000000000005</v>
      </c>
      <c r="K24" s="9">
        <f>(0.79004+0.78369+0.80281+0.79485+0.78629)/5*0.95</f>
        <v>0.75195919999999994</v>
      </c>
      <c r="L24" s="9">
        <f>(0.78471+0.79048+0.7795+0.79655+0.78631)/5*0.95</f>
        <v>0.74813449999999992</v>
      </c>
      <c r="M24" s="9">
        <f>(0.7873+0.7871+0.7911+0.7957+0.7863)/5*0.95</f>
        <v>0.75002499999999994</v>
      </c>
      <c r="N24" s="9">
        <f>(0.86865+0.86137+0.86812+0.86246+0.86695)/5</f>
        <v>0.86550999999999989</v>
      </c>
      <c r="O24" s="9">
        <f>(0.86645+0.86315+0.85495+0.8652+0.86757)/5</f>
        <v>0.8634639999999999</v>
      </c>
      <c r="P24" s="9">
        <f>(0.8681+0.8633+0.8616+0.8628+0.8667)/5</f>
        <v>0.86449999999999994</v>
      </c>
      <c r="Q24" s="9">
        <f>(0.67797+0.67008+0.67318+0.67946+0.68033)/5</f>
        <v>0.67620400000000003</v>
      </c>
      <c r="R24" s="9">
        <f>(0.67136+0.66513+0.63791+0.65723+0.66024)/5</f>
        <v>0.65837400000000001</v>
      </c>
      <c r="S24" s="9">
        <f>(0.6745+0.6675+0.6547+0.6676+0.6697)/5</f>
        <v>0.66679999999999995</v>
      </c>
      <c r="T24" s="9">
        <v>0.78332999999999997</v>
      </c>
      <c r="U24" s="9">
        <v>0.77146000000000003</v>
      </c>
      <c r="V24" s="9">
        <v>0.77729999999999999</v>
      </c>
      <c r="W24" s="9">
        <v>0.75266999999999995</v>
      </c>
      <c r="X24" s="9">
        <v>0.73694999999999999</v>
      </c>
      <c r="Y24" s="9">
        <v>0.74460000000000004</v>
      </c>
    </row>
    <row r="25" spans="1:25">
      <c r="A25" s="7">
        <v>90</v>
      </c>
      <c r="B25" s="9">
        <f>0.94*0.84206</f>
        <v>0.79153640000000003</v>
      </c>
      <c r="C25" s="9">
        <f>0.94*0.8559</f>
        <v>0.80454599999999998</v>
      </c>
      <c r="D25" s="9">
        <f>0.94*0.8489</f>
        <v>0.79796599999999995</v>
      </c>
      <c r="E25" s="9">
        <f>(0.68021+0.68776+0.68136+0.68187+0.69369)/5</f>
        <v>0.68497800000000009</v>
      </c>
      <c r="F25" s="9">
        <f>(0.68483+0.69651+0.68571+0.67638+0.68736)/5</f>
        <v>0.68615800000000005</v>
      </c>
      <c r="G25" s="9">
        <f>(0.6825+0.6921+0.6835+0.6791+0.6905)/5</f>
        <v>0.68554000000000004</v>
      </c>
      <c r="H25" s="9">
        <f>(0.66238+0.65723+0.65873+0.65496+0.67441)/5</f>
        <v>0.66154200000000007</v>
      </c>
      <c r="I25" s="9">
        <f>(0.67228+0.67568+0.66818+0.66078+0.67379)/5</f>
        <v>0.67014200000000002</v>
      </c>
      <c r="J25" s="9">
        <f>(0.6672+0.6661+0.6633+0.6578+0.6741)/5</f>
        <v>0.66569999999999996</v>
      </c>
      <c r="K25" s="9">
        <f>(0.78072+0.79426+0.79286+0.79204+0.7902)/5*0.95</f>
        <v>0.75051520000000005</v>
      </c>
      <c r="L25" s="9">
        <f>(0.77569+0.78385+0.78308+0.79773+0.77633)/5*0.95</f>
        <v>0.74416919999999998</v>
      </c>
      <c r="M25" s="9">
        <f>(0.7785+0.796+0.7879+0.7879+0.7828)/5*0.95</f>
        <v>0.74728899999999998</v>
      </c>
      <c r="N25" s="9">
        <f>0.854343</f>
        <v>0.85434299999999996</v>
      </c>
      <c r="O25" s="9">
        <f>0.864422</f>
        <v>0.86442200000000002</v>
      </c>
      <c r="P25" s="9">
        <f>0.8593</f>
        <v>0.85929999999999995</v>
      </c>
      <c r="Q25" s="9">
        <f>(0.66136+0.65859+0.65808+0.65478+0.66773)/5</f>
        <v>0.66010800000000003</v>
      </c>
      <c r="R25" s="9">
        <f>(0.66836+0.66917+0.66179+0.65543+0.66626)/5</f>
        <v>0.66420199999999996</v>
      </c>
      <c r="S25" s="9">
        <f>(0.667+0.6551+0.6599+0.6638+0.6648)/5</f>
        <v>0.66212000000000004</v>
      </c>
      <c r="T25" s="9">
        <v>0.78154999999999997</v>
      </c>
      <c r="U25" s="9">
        <v>0.75946000000000002</v>
      </c>
      <c r="V25" s="9">
        <v>0.77</v>
      </c>
      <c r="W25" s="9">
        <v>0.73855999999999999</v>
      </c>
      <c r="X25" s="9">
        <v>0.74611000000000005</v>
      </c>
      <c r="Y25" s="9">
        <v>0.74229999999999996</v>
      </c>
    </row>
    <row r="26" spans="1:25">
      <c r="A26" s="7">
        <v>120</v>
      </c>
      <c r="B26" s="5">
        <f>0.94*0.83096</f>
        <v>0.78110239999999997</v>
      </c>
      <c r="C26" s="5">
        <f>0.94*0.83144</f>
        <v>0.78155359999999996</v>
      </c>
      <c r="D26" s="5">
        <f>0.94*0.8312</f>
        <v>0.78132800000000002</v>
      </c>
      <c r="E26" s="5">
        <v>0.67278000000000004</v>
      </c>
      <c r="F26" s="5">
        <v>0.66559999999999997</v>
      </c>
      <c r="G26" s="5">
        <v>0.66920000000000002</v>
      </c>
      <c r="H26" s="5">
        <f>(0.65566+0.66001+0.65067+0.64447+0.65333)/5</f>
        <v>0.65282799999999996</v>
      </c>
      <c r="I26" s="5">
        <f>(0.65989+0.65836+0.66149+0.66695+0.66976)/5</f>
        <v>0.66329000000000005</v>
      </c>
      <c r="J26" s="5">
        <f>(0.6577+0.6592+0.6559+0.6552+0.6613)/5</f>
        <v>0.65786</v>
      </c>
      <c r="K26" s="9">
        <f>(0.77689+0.77847+0.76729+0.77018+0.7793)/5*0.95</f>
        <v>0.73570469999999988</v>
      </c>
      <c r="L26" s="9">
        <f>(0.75793+0.76486+0.76651+0.77101+0.77479)/5*0.95</f>
        <v>0.7286689999999999</v>
      </c>
      <c r="M26" s="9">
        <f>(0.7672+0.7716+0.7669+0.7706+0.777)/5*0.95</f>
        <v>0.73212699999999997</v>
      </c>
      <c r="N26" s="9">
        <f>0.8494953</f>
        <v>0.84949529999999995</v>
      </c>
      <c r="O26" s="9">
        <f>0.849062</f>
        <v>0.84906199999999998</v>
      </c>
      <c r="P26" s="9">
        <f>0.84928</f>
        <v>0.84928000000000003</v>
      </c>
      <c r="Q26" s="9">
        <f>(0.64676+0.65095+0.64235+0.63685+0.64038)/5</f>
        <v>0.64345799999999997</v>
      </c>
      <c r="R26" s="9">
        <f>(0.6724+0.67052+0.6658+0.66149+0.66608)/5</f>
        <v>0.66725800000000002</v>
      </c>
      <c r="S26" s="9">
        <f>(0.6556+0.6559+0.6532+0.6523+0.6551)/5</f>
        <v>0.65442</v>
      </c>
      <c r="T26" s="9">
        <v>0.75044</v>
      </c>
      <c r="U26" s="9">
        <v>0.76710999999999996</v>
      </c>
      <c r="V26" s="9">
        <v>0.75849999999999995</v>
      </c>
      <c r="W26" s="9">
        <v>0.72865000000000002</v>
      </c>
      <c r="X26" s="9">
        <v>0.73690999999999995</v>
      </c>
      <c r="Y26" s="9">
        <v>0.73270000000000002</v>
      </c>
    </row>
    <row r="27" spans="1:25">
      <c r="A27" s="15">
        <v>210</v>
      </c>
      <c r="B27" s="16">
        <v>0.82182999999999995</v>
      </c>
      <c r="C27" s="16">
        <v>0.81411</v>
      </c>
      <c r="D27" s="16">
        <v>0.81799999999999995</v>
      </c>
      <c r="E27" s="17">
        <v>0.65115999999999996</v>
      </c>
      <c r="F27" s="17">
        <v>0.63521000000000005</v>
      </c>
      <c r="G27" s="17">
        <v>0.6431</v>
      </c>
      <c r="H27" s="16">
        <f>(0.63259+0.6399+0.63936+0.63098+0.62588)/5</f>
        <v>0.63374200000000003</v>
      </c>
      <c r="I27" s="16">
        <f>(0.64882+0.62882+0.63472+0.64932+0.637)/5</f>
        <v>0.63973599999999997</v>
      </c>
      <c r="J27" s="16">
        <f>(0.6405+0.6344+0.6371+0.6399+0.6313)/5</f>
        <v>0.63663999999999998</v>
      </c>
      <c r="K27" s="16">
        <f>(0.76444+0.7773+0.76883+0.75334+0.75158)/5</f>
        <v>0.76309800000000005</v>
      </c>
      <c r="L27" s="16">
        <f>(0.76123+0.75005+0.75099+0.75841+0.74535)/5</f>
        <v>0.75320599999999993</v>
      </c>
      <c r="M27" s="16">
        <f>(0.7628+0.7633+0.7598+0.7559+0.7484)/5</f>
        <v>0.75803999999999994</v>
      </c>
      <c r="N27" s="16">
        <f>0.84452</f>
        <v>0.84452000000000005</v>
      </c>
      <c r="O27" s="16">
        <f>0.84203</f>
        <v>0.84202999999999995</v>
      </c>
      <c r="P27" s="16">
        <f>0.84328</f>
        <v>0.84328000000000003</v>
      </c>
      <c r="Q27" s="16">
        <f>(0.61758+0.62225+0.62877+0.6153+0.61569)/5</f>
        <v>0.61991799999999997</v>
      </c>
      <c r="R27" s="16">
        <f>(0.66421+0.64051+0.64919+0.66589+0.64993)/5</f>
        <v>0.65394600000000003</v>
      </c>
      <c r="S27" s="16">
        <f>(0.6378+0.6303+0.6378+0.637+0.6309)/5</f>
        <v>0.63475999999999999</v>
      </c>
      <c r="T27" s="16">
        <v>0.73987000000000003</v>
      </c>
      <c r="U27" s="16">
        <v>0.74170999999999998</v>
      </c>
      <c r="V27" s="16">
        <v>0.74080000000000001</v>
      </c>
      <c r="W27" s="16">
        <v>0.72492999999999996</v>
      </c>
      <c r="X27" s="16">
        <v>0.71394999999999997</v>
      </c>
      <c r="Y27" s="16">
        <v>0.71940000000000004</v>
      </c>
    </row>
    <row r="28" spans="1:25">
      <c r="A28" s="15">
        <v>300</v>
      </c>
      <c r="B28" s="16">
        <f>(0.79422+0.80622+0.80147+0.79365+0.79629)/5</f>
        <v>0.79837000000000002</v>
      </c>
      <c r="C28" s="16">
        <f>(0.81337+0.81354+0.80294+0.79862+0.80463)/5</f>
        <v>0.80662</v>
      </c>
      <c r="D28" s="16">
        <f>(0.8037+0.8098+0.8022+0.7961+0.8004)/5</f>
        <v>0.80244000000000004</v>
      </c>
      <c r="E28" s="16">
        <f>(0.61529+0.62336+0.6227+0.62302+0.6217)/5</f>
        <v>0.62121400000000004</v>
      </c>
      <c r="F28" s="16">
        <f>(0.62641+0.61881+0.61637+0.62257+0.61991)/5</f>
        <v>0.62081399999999998</v>
      </c>
      <c r="G28" s="16">
        <f>(0.6209+0.6211+0.6195+0.6228+0.6208)/5</f>
        <v>0.62102000000000002</v>
      </c>
      <c r="H28" s="16">
        <f>(0.59896+0.61111+0.61169+0.61052+0.60016)/5</f>
        <v>0.60648799999999992</v>
      </c>
      <c r="I28" s="16">
        <f>(0.61246+0.60354+0.60635+0.60728+0.59689)/5</f>
        <v>0.60530400000000006</v>
      </c>
      <c r="J28" s="16">
        <f>(0.6057+0.6073+0.609+0.6089+0.5985)/5</f>
        <v>0.60588000000000009</v>
      </c>
      <c r="K28" s="16">
        <f>(0.7437+0.75188+0.7482+0.74985+0.74447)/5</f>
        <v>0.74762000000000006</v>
      </c>
      <c r="L28" s="16">
        <f>(0.74526+0.73833+0.73052+0.73624+0.73762)/5</f>
        <v>0.73759399999999997</v>
      </c>
      <c r="M28" s="16">
        <f>(0.7445+0.745+0.7429+0.7391+0.741)/5</f>
        <v>0.74250000000000005</v>
      </c>
      <c r="N28" s="16">
        <f>0.83117</f>
        <v>0.83116999999999996</v>
      </c>
      <c r="O28" s="16">
        <f>0.8293</f>
        <v>0.82930000000000004</v>
      </c>
      <c r="P28" s="16">
        <f>0.83024</f>
        <v>0.83023999999999998</v>
      </c>
      <c r="Q28" s="16">
        <f>(0.57872+0.5931+0.59344+0.59284+0.58819)/5</f>
        <v>0.58925799999999995</v>
      </c>
      <c r="R28" s="16">
        <f>(0.63641+0.63213+0.63255+0.63222+0.62798)/5</f>
        <v>0.63225799999999999</v>
      </c>
      <c r="S28" s="16">
        <f>(0.6044+0.6088+0.6093+0.6087+0.6016)/5</f>
        <v>0.60655999999999999</v>
      </c>
      <c r="T28" s="16">
        <v>0.71786000000000005</v>
      </c>
      <c r="U28" s="16">
        <v>0.72545999999999999</v>
      </c>
      <c r="V28" s="16">
        <v>0.72160000000000002</v>
      </c>
      <c r="W28" s="16">
        <v>0.70879000000000003</v>
      </c>
      <c r="X28" s="16">
        <v>0.70426999999999995</v>
      </c>
      <c r="Y28" s="16">
        <v>0.70650000000000002</v>
      </c>
    </row>
    <row r="29" spans="1: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25">
      <c r="K30" s="8"/>
    </row>
    <row r="31" spans="1:25">
      <c r="A31" s="23" t="b">
        <v>1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</row>
    <row r="32" spans="1:25">
      <c r="A32" s="23" t="s">
        <v>28</v>
      </c>
      <c r="B32" s="23" t="s">
        <v>1</v>
      </c>
      <c r="C32" s="23"/>
      <c r="D32" s="23"/>
      <c r="E32" s="23" t="s">
        <v>9</v>
      </c>
      <c r="F32" s="23"/>
      <c r="G32" s="23"/>
      <c r="H32" s="23" t="s">
        <v>10</v>
      </c>
      <c r="I32" s="23"/>
      <c r="J32" s="23"/>
      <c r="K32" s="23" t="s">
        <v>27</v>
      </c>
      <c r="L32" s="23"/>
      <c r="M32" s="23"/>
      <c r="N32" s="23" t="s">
        <v>26</v>
      </c>
      <c r="O32" s="23"/>
      <c r="P32" s="23"/>
      <c r="Q32" s="23" t="s">
        <v>11</v>
      </c>
      <c r="R32" s="23"/>
      <c r="S32" s="23"/>
      <c r="T32" s="23" t="s">
        <v>13</v>
      </c>
      <c r="U32" s="23"/>
      <c r="V32" s="23"/>
      <c r="W32" s="23" t="s">
        <v>14</v>
      </c>
      <c r="X32" s="23"/>
      <c r="Y32" s="23"/>
    </row>
    <row r="33" spans="1:25">
      <c r="A33" s="23"/>
      <c r="B33" s="7">
        <v>1</v>
      </c>
      <c r="C33" s="7">
        <v>0</v>
      </c>
      <c r="D33" s="1" t="s">
        <v>2</v>
      </c>
      <c r="E33" s="7">
        <v>1</v>
      </c>
      <c r="F33" s="7">
        <v>0</v>
      </c>
      <c r="G33" s="1" t="s">
        <v>2</v>
      </c>
      <c r="H33" s="7">
        <v>1</v>
      </c>
      <c r="I33" s="7">
        <v>0</v>
      </c>
      <c r="J33" s="1" t="s">
        <v>2</v>
      </c>
      <c r="K33" s="7">
        <v>1</v>
      </c>
      <c r="L33" s="7">
        <v>0</v>
      </c>
      <c r="M33" s="7" t="s">
        <v>2</v>
      </c>
      <c r="N33" s="7">
        <v>1</v>
      </c>
      <c r="O33" s="7">
        <v>0</v>
      </c>
      <c r="P33" s="7" t="s">
        <v>2</v>
      </c>
      <c r="Q33" s="7">
        <v>1</v>
      </c>
      <c r="R33" s="7">
        <v>0</v>
      </c>
      <c r="S33" s="7" t="s">
        <v>2</v>
      </c>
      <c r="T33" s="12">
        <v>1</v>
      </c>
      <c r="U33" s="12">
        <v>0</v>
      </c>
      <c r="V33" s="12" t="s">
        <v>2</v>
      </c>
      <c r="W33" s="12">
        <v>1</v>
      </c>
      <c r="X33" s="12">
        <v>0</v>
      </c>
      <c r="Y33" s="12" t="s">
        <v>2</v>
      </c>
    </row>
    <row r="34" spans="1:25">
      <c r="A34" s="7">
        <v>5</v>
      </c>
      <c r="B34" s="13">
        <f t="shared" ref="B34:B43" si="27">ROUND(B19*D4*(C19-D19)/(C19-B19),0)</f>
        <v>17009</v>
      </c>
      <c r="C34" s="13">
        <f t="shared" ref="C34:C43" si="28">ROUND(C19*D4*(B19-D19)/(B19-C19),0)</f>
        <v>16675</v>
      </c>
      <c r="D34" s="13">
        <f t="shared" ref="D34:D43" si="29">B34+C34</f>
        <v>33684</v>
      </c>
      <c r="E34" s="13">
        <f t="shared" ref="E34:E43" si="30">ROUND(E19*G4*(F19-G19)/(F19-E19),0)</f>
        <v>15971</v>
      </c>
      <c r="F34" s="13">
        <f t="shared" ref="F34:F43" si="31">ROUND(F19*G4*(E19-G19)/(E19-F19),0)</f>
        <v>14694</v>
      </c>
      <c r="G34" s="13">
        <f t="shared" ref="G34:G43" si="32">E34+F34</f>
        <v>30665</v>
      </c>
      <c r="H34" s="13">
        <f t="shared" ref="H34:H43" si="33">ROUND(H19*J4*(I19-J19)/(I19-H19),0)</f>
        <v>13135</v>
      </c>
      <c r="I34" s="13">
        <f t="shared" ref="I34:I43" si="34">ROUND(I19*J4*(H19-J19)/(H19-I19),0)</f>
        <v>13951</v>
      </c>
      <c r="J34" s="13">
        <f t="shared" ref="J34:J43" si="35">H34+I34</f>
        <v>27086</v>
      </c>
      <c r="K34" s="13">
        <f t="shared" ref="K34:K43" si="36">ROUND(K19*M4*(L19-M19)/(L19-K19),0)</f>
        <v>16597</v>
      </c>
      <c r="L34" s="13">
        <f t="shared" ref="L34:L43" si="37">ROUND(L19*M4*(K19-M19)/(K19-L19),0)</f>
        <v>15789</v>
      </c>
      <c r="M34" s="13">
        <f t="shared" ref="M34:M43" si="38">K34+L34</f>
        <v>32386</v>
      </c>
      <c r="N34" s="13">
        <f t="shared" ref="N34:N43" si="39">ROUND(N19*P4*(O19-P19)/(O19-N19),0)</f>
        <v>18118</v>
      </c>
      <c r="O34" s="13">
        <f t="shared" ref="O34:O43" si="40">ROUND(O19*P4*(N19-P19)/(N19-O19),0)</f>
        <v>18114</v>
      </c>
      <c r="P34" s="13">
        <f t="shared" ref="P34:P36" si="41">N34+O34</f>
        <v>36232</v>
      </c>
      <c r="Q34" s="13">
        <f t="shared" ref="Q34:Q43" si="42">ROUND(Q19*S4*(R19-S19)/(R19-Q19),0)</f>
        <v>12698</v>
      </c>
      <c r="R34" s="13">
        <f t="shared" ref="R34:R43" si="43">ROUND(R19*S4*(Q19-S19)/(Q19-R19),0)</f>
        <v>14019</v>
      </c>
      <c r="S34" s="13">
        <f t="shared" ref="S34:S36" si="44">Q34+R34</f>
        <v>26717</v>
      </c>
      <c r="T34" s="13">
        <f t="shared" ref="T34:T43" si="45">ROUND(T19*V4*(U19-V19)/(U19-T19),0)</f>
        <v>20557</v>
      </c>
      <c r="U34" s="13">
        <f t="shared" ref="U34:U43" si="46">ROUND(U19*V4*(T19-V19)/(T19-U19),0)</f>
        <v>19863</v>
      </c>
      <c r="V34" s="13">
        <f t="shared" ref="V34" si="47">T34+U34</f>
        <v>40420</v>
      </c>
      <c r="W34" s="13">
        <f t="shared" ref="W34:W43" si="48">ROUND(W19*Y4*(X19-Y19)/(X19-W19),0)</f>
        <v>20162</v>
      </c>
      <c r="X34" s="13">
        <f t="shared" ref="X34:X43" si="49">ROUND(X19*Y4*(W19-Y19)/(W19-X19),0)</f>
        <v>20078</v>
      </c>
      <c r="Y34" s="13">
        <f t="shared" ref="Y34" si="50">W34+X34</f>
        <v>40240</v>
      </c>
    </row>
    <row r="35" spans="1:25">
      <c r="A35" s="7">
        <v>7</v>
      </c>
      <c r="B35" s="13">
        <f t="shared" si="27"/>
        <v>17194</v>
      </c>
      <c r="C35" s="13">
        <f t="shared" si="28"/>
        <v>16468</v>
      </c>
      <c r="D35" s="13">
        <f t="shared" si="29"/>
        <v>33662</v>
      </c>
      <c r="E35" s="13">
        <f t="shared" si="30"/>
        <v>15785</v>
      </c>
      <c r="F35" s="13">
        <f t="shared" si="31"/>
        <v>14840</v>
      </c>
      <c r="G35" s="13">
        <f t="shared" si="32"/>
        <v>30625</v>
      </c>
      <c r="H35" s="13">
        <f t="shared" si="33"/>
        <v>13141</v>
      </c>
      <c r="I35" s="13">
        <f t="shared" si="34"/>
        <v>14170</v>
      </c>
      <c r="J35" s="13">
        <f t="shared" si="35"/>
        <v>27311</v>
      </c>
      <c r="K35" s="13">
        <f t="shared" si="36"/>
        <v>16554</v>
      </c>
      <c r="L35" s="13">
        <f t="shared" si="37"/>
        <v>15775</v>
      </c>
      <c r="M35" s="13">
        <f t="shared" si="38"/>
        <v>32329</v>
      </c>
      <c r="N35" s="13">
        <f t="shared" si="39"/>
        <v>18061</v>
      </c>
      <c r="O35" s="13">
        <f t="shared" si="40"/>
        <v>17539</v>
      </c>
      <c r="P35" s="13">
        <f t="shared" si="41"/>
        <v>35600</v>
      </c>
      <c r="Q35" s="13">
        <f t="shared" si="42"/>
        <v>12828</v>
      </c>
      <c r="R35" s="13">
        <f t="shared" si="43"/>
        <v>14088</v>
      </c>
      <c r="S35" s="13">
        <f t="shared" si="44"/>
        <v>26916</v>
      </c>
      <c r="T35" s="13">
        <f t="shared" si="45"/>
        <v>20281</v>
      </c>
      <c r="U35" s="13">
        <f t="shared" si="46"/>
        <v>19994</v>
      </c>
      <c r="V35" s="13">
        <f t="shared" ref="V35:V43" si="51">T35+U35</f>
        <v>40275</v>
      </c>
      <c r="W35" s="13">
        <f t="shared" si="48"/>
        <v>20579</v>
      </c>
      <c r="X35" s="13">
        <f t="shared" si="49"/>
        <v>19361</v>
      </c>
      <c r="Y35" s="13">
        <f t="shared" ref="Y35:Y43" si="52">W35+X35</f>
        <v>39940</v>
      </c>
    </row>
    <row r="36" spans="1:25">
      <c r="A36" s="7">
        <v>15</v>
      </c>
      <c r="B36" s="13">
        <f t="shared" si="27"/>
        <v>16788</v>
      </c>
      <c r="C36" s="13">
        <f t="shared" si="28"/>
        <v>16554</v>
      </c>
      <c r="D36" s="13">
        <f t="shared" si="29"/>
        <v>33342</v>
      </c>
      <c r="E36" s="13">
        <f t="shared" si="30"/>
        <v>15166</v>
      </c>
      <c r="F36" s="13">
        <f t="shared" si="31"/>
        <v>14845</v>
      </c>
      <c r="G36" s="13">
        <f t="shared" si="32"/>
        <v>30011</v>
      </c>
      <c r="H36" s="13">
        <f t="shared" si="33"/>
        <v>13295</v>
      </c>
      <c r="I36" s="13">
        <f t="shared" si="34"/>
        <v>13907</v>
      </c>
      <c r="J36" s="13">
        <f t="shared" si="35"/>
        <v>27202</v>
      </c>
      <c r="K36" s="13">
        <f t="shared" si="36"/>
        <v>16258</v>
      </c>
      <c r="L36" s="13">
        <f t="shared" si="37"/>
        <v>15642</v>
      </c>
      <c r="M36" s="13">
        <f t="shared" si="38"/>
        <v>31900</v>
      </c>
      <c r="N36" s="13">
        <f t="shared" si="39"/>
        <v>17926</v>
      </c>
      <c r="O36" s="13">
        <f t="shared" si="40"/>
        <v>17519</v>
      </c>
      <c r="P36" s="13">
        <f t="shared" si="41"/>
        <v>35445</v>
      </c>
      <c r="Q36" s="13">
        <f t="shared" si="42"/>
        <v>12952</v>
      </c>
      <c r="R36" s="13">
        <f t="shared" si="43"/>
        <v>13928</v>
      </c>
      <c r="S36" s="13">
        <f t="shared" si="44"/>
        <v>26880</v>
      </c>
      <c r="T36" s="13">
        <f t="shared" si="45"/>
        <v>20268</v>
      </c>
      <c r="U36" s="13">
        <f t="shared" si="46"/>
        <v>19542</v>
      </c>
      <c r="V36" s="13">
        <f t="shared" si="51"/>
        <v>39810</v>
      </c>
      <c r="W36" s="13">
        <f t="shared" si="48"/>
        <v>20206</v>
      </c>
      <c r="X36" s="13">
        <f t="shared" si="49"/>
        <v>19584</v>
      </c>
      <c r="Y36" s="13">
        <f t="shared" si="52"/>
        <v>39790</v>
      </c>
    </row>
    <row r="37" spans="1:25">
      <c r="A37" s="7">
        <v>30</v>
      </c>
      <c r="B37" s="13">
        <f t="shared" si="27"/>
        <v>16470</v>
      </c>
      <c r="C37" s="13">
        <f t="shared" si="28"/>
        <v>16190</v>
      </c>
      <c r="D37" s="13">
        <f t="shared" si="29"/>
        <v>32660</v>
      </c>
      <c r="E37" s="13">
        <f t="shared" si="30"/>
        <v>14683</v>
      </c>
      <c r="F37" s="13">
        <f t="shared" si="31"/>
        <v>14677</v>
      </c>
      <c r="G37" s="13">
        <f t="shared" si="32"/>
        <v>29360</v>
      </c>
      <c r="H37" s="13">
        <f t="shared" si="33"/>
        <v>12950</v>
      </c>
      <c r="I37" s="13">
        <f t="shared" si="34"/>
        <v>14026</v>
      </c>
      <c r="J37" s="13">
        <f t="shared" si="35"/>
        <v>26976</v>
      </c>
      <c r="K37" s="13">
        <f t="shared" si="36"/>
        <v>15658</v>
      </c>
      <c r="L37" s="13">
        <f t="shared" si="37"/>
        <v>15246</v>
      </c>
      <c r="M37" s="13">
        <f>K37+L37</f>
        <v>30904</v>
      </c>
      <c r="N37" s="13">
        <f t="shared" si="39"/>
        <v>17628</v>
      </c>
      <c r="O37" s="13">
        <f t="shared" si="40"/>
        <v>17234</v>
      </c>
      <c r="P37" s="13">
        <f>N37+O37</f>
        <v>34862</v>
      </c>
      <c r="Q37" s="13">
        <f t="shared" si="42"/>
        <v>12938</v>
      </c>
      <c r="R37" s="13">
        <f t="shared" si="43"/>
        <v>13818</v>
      </c>
      <c r="S37" s="13">
        <f>Q37+R37</f>
        <v>26756</v>
      </c>
      <c r="T37" s="13">
        <f t="shared" si="45"/>
        <v>19975</v>
      </c>
      <c r="U37" s="13">
        <f t="shared" si="46"/>
        <v>19895</v>
      </c>
      <c r="V37" s="13">
        <f t="shared" si="51"/>
        <v>39870</v>
      </c>
      <c r="W37" s="13">
        <f t="shared" si="48"/>
        <v>19706</v>
      </c>
      <c r="X37" s="13">
        <f t="shared" si="49"/>
        <v>19710</v>
      </c>
      <c r="Y37" s="13">
        <f t="shared" si="52"/>
        <v>39416</v>
      </c>
    </row>
    <row r="38" spans="1:25">
      <c r="A38" s="7">
        <v>45</v>
      </c>
      <c r="B38" s="13">
        <f t="shared" si="27"/>
        <v>20486</v>
      </c>
      <c r="C38" s="13">
        <f t="shared" si="28"/>
        <v>19906</v>
      </c>
      <c r="D38" s="13">
        <f t="shared" si="29"/>
        <v>40392</v>
      </c>
      <c r="E38" s="13">
        <f t="shared" si="30"/>
        <v>18181</v>
      </c>
      <c r="F38" s="13">
        <f t="shared" si="31"/>
        <v>17528</v>
      </c>
      <c r="G38" s="13">
        <f t="shared" si="32"/>
        <v>35709</v>
      </c>
      <c r="H38" s="13">
        <f t="shared" si="33"/>
        <v>16470</v>
      </c>
      <c r="I38" s="13">
        <f t="shared" si="34"/>
        <v>16530</v>
      </c>
      <c r="J38" s="13">
        <f t="shared" si="35"/>
        <v>33000</v>
      </c>
      <c r="K38" s="13">
        <f t="shared" si="36"/>
        <v>18668</v>
      </c>
      <c r="L38" s="13">
        <f t="shared" si="37"/>
        <v>19276</v>
      </c>
      <c r="M38" s="13">
        <f t="shared" si="38"/>
        <v>37944</v>
      </c>
      <c r="N38" s="13">
        <f t="shared" si="39"/>
        <v>21933</v>
      </c>
      <c r="O38" s="13">
        <f t="shared" si="40"/>
        <v>21413</v>
      </c>
      <c r="P38" s="13">
        <f t="shared" ref="P38:P43" si="53">N38+O38</f>
        <v>43346</v>
      </c>
      <c r="Q38" s="13">
        <f t="shared" si="42"/>
        <v>15412</v>
      </c>
      <c r="R38" s="13">
        <f t="shared" si="43"/>
        <v>17940</v>
      </c>
      <c r="S38" s="13">
        <f t="shared" ref="S38:S43" si="54">Q38+R38</f>
        <v>33352</v>
      </c>
      <c r="T38" s="13">
        <f t="shared" si="45"/>
        <v>19560</v>
      </c>
      <c r="U38" s="13">
        <f t="shared" si="46"/>
        <v>19825</v>
      </c>
      <c r="V38" s="13">
        <f t="shared" si="51"/>
        <v>39385</v>
      </c>
      <c r="W38" s="13">
        <f t="shared" si="48"/>
        <v>19201</v>
      </c>
      <c r="X38" s="13">
        <f t="shared" si="49"/>
        <v>18739</v>
      </c>
      <c r="Y38" s="13">
        <f t="shared" si="52"/>
        <v>37940</v>
      </c>
    </row>
    <row r="39" spans="1:25">
      <c r="A39" s="7">
        <v>60</v>
      </c>
      <c r="B39" s="13">
        <f t="shared" si="27"/>
        <v>19773</v>
      </c>
      <c r="C39" s="13">
        <f t="shared" si="28"/>
        <v>20116</v>
      </c>
      <c r="D39" s="13">
        <f t="shared" si="29"/>
        <v>39889</v>
      </c>
      <c r="E39" s="13">
        <f t="shared" si="30"/>
        <v>17880</v>
      </c>
      <c r="F39" s="13">
        <f t="shared" si="31"/>
        <v>17178</v>
      </c>
      <c r="G39" s="13">
        <f t="shared" si="32"/>
        <v>35058</v>
      </c>
      <c r="H39" s="13">
        <f t="shared" si="33"/>
        <v>16975</v>
      </c>
      <c r="I39" s="13">
        <f t="shared" si="34"/>
        <v>16331</v>
      </c>
      <c r="J39" s="13">
        <f t="shared" si="35"/>
        <v>33306</v>
      </c>
      <c r="K39" s="13">
        <f t="shared" si="36"/>
        <v>18584</v>
      </c>
      <c r="L39" s="13">
        <f t="shared" si="37"/>
        <v>18917</v>
      </c>
      <c r="M39" s="13">
        <f t="shared" si="38"/>
        <v>37501</v>
      </c>
      <c r="N39" s="13">
        <f t="shared" si="39"/>
        <v>21913</v>
      </c>
      <c r="O39" s="13">
        <f t="shared" si="40"/>
        <v>21312</v>
      </c>
      <c r="P39" s="13">
        <f t="shared" si="53"/>
        <v>43225</v>
      </c>
      <c r="Q39" s="13">
        <f t="shared" si="42"/>
        <v>15978</v>
      </c>
      <c r="R39" s="13">
        <f t="shared" si="43"/>
        <v>17362</v>
      </c>
      <c r="S39" s="13">
        <f t="shared" si="54"/>
        <v>33340</v>
      </c>
      <c r="T39" s="13">
        <f t="shared" si="45"/>
        <v>19270</v>
      </c>
      <c r="U39" s="13">
        <f t="shared" si="46"/>
        <v>19595</v>
      </c>
      <c r="V39" s="13">
        <f t="shared" si="51"/>
        <v>38865</v>
      </c>
      <c r="W39" s="13">
        <f t="shared" si="48"/>
        <v>18314</v>
      </c>
      <c r="X39" s="13">
        <f t="shared" si="49"/>
        <v>18916</v>
      </c>
      <c r="Y39" s="13">
        <f t="shared" si="52"/>
        <v>37230</v>
      </c>
    </row>
    <row r="40" spans="1:25">
      <c r="A40" s="7">
        <v>90</v>
      </c>
      <c r="B40" s="13">
        <f t="shared" si="27"/>
        <v>20017</v>
      </c>
      <c r="C40" s="13">
        <f t="shared" si="28"/>
        <v>19881</v>
      </c>
      <c r="D40" s="13">
        <f t="shared" si="29"/>
        <v>39898</v>
      </c>
      <c r="E40" s="13">
        <f t="shared" si="30"/>
        <v>17937</v>
      </c>
      <c r="F40" s="13">
        <f t="shared" si="31"/>
        <v>16340</v>
      </c>
      <c r="G40" s="13">
        <f t="shared" si="32"/>
        <v>34277</v>
      </c>
      <c r="H40" s="13">
        <f t="shared" si="33"/>
        <v>17085</v>
      </c>
      <c r="I40" s="13">
        <f t="shared" si="34"/>
        <v>16200</v>
      </c>
      <c r="J40" s="13">
        <f t="shared" si="35"/>
        <v>33285</v>
      </c>
      <c r="K40" s="13">
        <f t="shared" si="36"/>
        <v>18448</v>
      </c>
      <c r="L40" s="13">
        <f t="shared" si="37"/>
        <v>18916</v>
      </c>
      <c r="M40" s="13">
        <f t="shared" si="38"/>
        <v>37364</v>
      </c>
      <c r="N40" s="13">
        <f t="shared" si="39"/>
        <v>21708</v>
      </c>
      <c r="O40" s="13">
        <f t="shared" si="40"/>
        <v>21257</v>
      </c>
      <c r="P40" s="13">
        <f t="shared" si="53"/>
        <v>42965</v>
      </c>
      <c r="Q40" s="13">
        <f t="shared" si="42"/>
        <v>16785</v>
      </c>
      <c r="R40" s="13">
        <f t="shared" si="43"/>
        <v>16321</v>
      </c>
      <c r="S40" s="13">
        <f t="shared" si="54"/>
        <v>33106</v>
      </c>
      <c r="T40" s="13">
        <f t="shared" si="45"/>
        <v>18645</v>
      </c>
      <c r="U40" s="13">
        <f t="shared" si="46"/>
        <v>19855</v>
      </c>
      <c r="V40" s="13">
        <f t="shared" si="51"/>
        <v>38500</v>
      </c>
      <c r="W40" s="13">
        <f t="shared" si="48"/>
        <v>18635</v>
      </c>
      <c r="X40" s="13">
        <f t="shared" si="49"/>
        <v>18480</v>
      </c>
      <c r="Y40" s="13">
        <f t="shared" si="52"/>
        <v>37115</v>
      </c>
    </row>
    <row r="41" spans="1:25">
      <c r="A41" s="7">
        <v>120</v>
      </c>
      <c r="B41" s="13">
        <f t="shared" si="27"/>
        <v>19528</v>
      </c>
      <c r="C41" s="13">
        <f t="shared" si="28"/>
        <v>19539</v>
      </c>
      <c r="D41" s="13">
        <f t="shared" si="29"/>
        <v>39067</v>
      </c>
      <c r="E41" s="13">
        <f t="shared" si="30"/>
        <v>16866</v>
      </c>
      <c r="F41" s="13">
        <f t="shared" si="31"/>
        <v>16594</v>
      </c>
      <c r="G41" s="13">
        <f t="shared" si="32"/>
        <v>33460</v>
      </c>
      <c r="H41" s="13">
        <f t="shared" si="33"/>
        <v>16942</v>
      </c>
      <c r="I41" s="13">
        <f t="shared" si="34"/>
        <v>15951</v>
      </c>
      <c r="J41" s="13">
        <f t="shared" si="35"/>
        <v>32893</v>
      </c>
      <c r="K41" s="13">
        <f t="shared" si="36"/>
        <v>18080</v>
      </c>
      <c r="L41" s="13">
        <f t="shared" si="37"/>
        <v>18527</v>
      </c>
      <c r="M41" s="13">
        <f t="shared" si="38"/>
        <v>36607</v>
      </c>
      <c r="N41" s="13">
        <f t="shared" si="39"/>
        <v>21370</v>
      </c>
      <c r="O41" s="13">
        <f t="shared" si="40"/>
        <v>21094</v>
      </c>
      <c r="P41" s="13">
        <f t="shared" si="53"/>
        <v>42464</v>
      </c>
      <c r="Q41" s="13">
        <f t="shared" si="42"/>
        <v>17354</v>
      </c>
      <c r="R41" s="13">
        <f t="shared" si="43"/>
        <v>15367</v>
      </c>
      <c r="S41" s="13">
        <f t="shared" si="54"/>
        <v>32721</v>
      </c>
      <c r="T41" s="13">
        <f t="shared" si="45"/>
        <v>19380</v>
      </c>
      <c r="U41" s="13">
        <f t="shared" si="46"/>
        <v>18545</v>
      </c>
      <c r="V41" s="13">
        <f t="shared" si="51"/>
        <v>37925</v>
      </c>
      <c r="W41" s="13">
        <f t="shared" si="48"/>
        <v>18569</v>
      </c>
      <c r="X41" s="13">
        <f t="shared" si="49"/>
        <v>18066</v>
      </c>
      <c r="Y41" s="13">
        <f t="shared" si="52"/>
        <v>36635</v>
      </c>
    </row>
    <row r="42" spans="1:25">
      <c r="A42" s="15">
        <v>210</v>
      </c>
      <c r="B42" s="19">
        <f t="shared" si="27"/>
        <v>20705</v>
      </c>
      <c r="C42" s="19">
        <f t="shared" si="28"/>
        <v>20195</v>
      </c>
      <c r="D42" s="19">
        <f t="shared" si="29"/>
        <v>40900</v>
      </c>
      <c r="E42" s="19">
        <f t="shared" si="30"/>
        <v>16105</v>
      </c>
      <c r="F42" s="19">
        <f t="shared" si="31"/>
        <v>16050</v>
      </c>
      <c r="G42" s="19">
        <f t="shared" si="32"/>
        <v>32155</v>
      </c>
      <c r="H42" s="19">
        <f t="shared" si="33"/>
        <v>16367</v>
      </c>
      <c r="I42" s="19">
        <f t="shared" si="34"/>
        <v>15465</v>
      </c>
      <c r="J42" s="19">
        <f t="shared" si="35"/>
        <v>31832</v>
      </c>
      <c r="K42" s="19">
        <f t="shared" si="36"/>
        <v>18645</v>
      </c>
      <c r="L42" s="19">
        <f t="shared" si="37"/>
        <v>19257</v>
      </c>
      <c r="M42" s="19">
        <f t="shared" si="38"/>
        <v>37902</v>
      </c>
      <c r="N42" s="19">
        <f t="shared" si="39"/>
        <v>21198</v>
      </c>
      <c r="O42" s="19">
        <f t="shared" si="40"/>
        <v>20966</v>
      </c>
      <c r="P42" s="19">
        <f t="shared" si="53"/>
        <v>42164</v>
      </c>
      <c r="Q42" s="19">
        <f t="shared" si="42"/>
        <v>17476</v>
      </c>
      <c r="R42" s="19">
        <f t="shared" si="43"/>
        <v>14262</v>
      </c>
      <c r="S42" s="19">
        <f t="shared" si="54"/>
        <v>31738</v>
      </c>
      <c r="T42" s="19">
        <f t="shared" si="45"/>
        <v>18296</v>
      </c>
      <c r="U42" s="19">
        <f t="shared" si="46"/>
        <v>18744</v>
      </c>
      <c r="V42" s="19">
        <f t="shared" si="51"/>
        <v>37040</v>
      </c>
      <c r="W42" s="19">
        <f t="shared" si="48"/>
        <v>17991</v>
      </c>
      <c r="X42" s="19">
        <f t="shared" si="49"/>
        <v>17979</v>
      </c>
      <c r="Y42" s="19">
        <f t="shared" si="52"/>
        <v>35970</v>
      </c>
    </row>
    <row r="43" spans="1:25">
      <c r="A43" s="15">
        <v>300</v>
      </c>
      <c r="B43" s="19">
        <f t="shared" si="27"/>
        <v>20225</v>
      </c>
      <c r="C43" s="19">
        <f t="shared" si="28"/>
        <v>19897</v>
      </c>
      <c r="D43" s="19">
        <f t="shared" si="29"/>
        <v>40122</v>
      </c>
      <c r="E43" s="19">
        <f t="shared" si="30"/>
        <v>15996</v>
      </c>
      <c r="F43" s="19">
        <f t="shared" si="31"/>
        <v>15055</v>
      </c>
      <c r="G43" s="19">
        <f t="shared" si="32"/>
        <v>31051</v>
      </c>
      <c r="H43" s="19">
        <f t="shared" si="33"/>
        <v>14752</v>
      </c>
      <c r="I43" s="19">
        <f t="shared" si="34"/>
        <v>15542</v>
      </c>
      <c r="J43" s="19">
        <f t="shared" si="35"/>
        <v>30294</v>
      </c>
      <c r="K43" s="19">
        <f t="shared" si="36"/>
        <v>18292</v>
      </c>
      <c r="L43" s="19">
        <f t="shared" si="37"/>
        <v>18833</v>
      </c>
      <c r="M43" s="19">
        <f t="shared" si="38"/>
        <v>37125</v>
      </c>
      <c r="N43" s="19">
        <f t="shared" si="39"/>
        <v>20890</v>
      </c>
      <c r="O43" s="19">
        <f t="shared" si="40"/>
        <v>20622</v>
      </c>
      <c r="P43" s="19">
        <f t="shared" si="53"/>
        <v>41512</v>
      </c>
      <c r="Q43" s="19">
        <f t="shared" si="42"/>
        <v>17608</v>
      </c>
      <c r="R43" s="19">
        <f t="shared" si="43"/>
        <v>12720</v>
      </c>
      <c r="S43" s="19">
        <f t="shared" si="54"/>
        <v>30328</v>
      </c>
      <c r="T43" s="19">
        <f t="shared" si="45"/>
        <v>18230</v>
      </c>
      <c r="U43" s="19">
        <f t="shared" si="46"/>
        <v>17850</v>
      </c>
      <c r="V43" s="19">
        <f t="shared" si="51"/>
        <v>36080</v>
      </c>
      <c r="W43" s="19">
        <f t="shared" si="48"/>
        <v>17485</v>
      </c>
      <c r="X43" s="19">
        <f t="shared" si="49"/>
        <v>17840</v>
      </c>
      <c r="Y43" s="19">
        <f t="shared" si="52"/>
        <v>35325</v>
      </c>
    </row>
    <row r="44" spans="1:25">
      <c r="A44" s="1"/>
      <c r="B44" s="4"/>
      <c r="C44" s="4"/>
      <c r="D44" s="4"/>
      <c r="E44" s="4"/>
      <c r="F44" s="4"/>
      <c r="G44" s="4"/>
      <c r="H44" s="4"/>
      <c r="I44" s="4"/>
      <c r="J44" s="4"/>
    </row>
    <row r="46" spans="1:25">
      <c r="A46" s="23" t="s">
        <v>4</v>
      </c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</row>
    <row r="47" spans="1:25">
      <c r="A47" s="23" t="s">
        <v>28</v>
      </c>
      <c r="B47" s="23" t="s">
        <v>1</v>
      </c>
      <c r="C47" s="23"/>
      <c r="D47" s="23"/>
      <c r="E47" s="23" t="s">
        <v>9</v>
      </c>
      <c r="F47" s="23"/>
      <c r="G47" s="23"/>
      <c r="H47" s="23" t="s">
        <v>10</v>
      </c>
      <c r="I47" s="23"/>
      <c r="J47" s="23"/>
      <c r="K47" s="23" t="s">
        <v>27</v>
      </c>
      <c r="L47" s="23"/>
      <c r="M47" s="23"/>
      <c r="N47" s="23" t="s">
        <v>26</v>
      </c>
      <c r="O47" s="23"/>
      <c r="P47" s="23"/>
      <c r="Q47" s="23" t="s">
        <v>11</v>
      </c>
      <c r="R47" s="23"/>
      <c r="S47" s="23"/>
      <c r="T47" s="23" t="s">
        <v>13</v>
      </c>
      <c r="U47" s="23"/>
      <c r="V47" s="23"/>
      <c r="W47" s="23" t="s">
        <v>14</v>
      </c>
      <c r="X47" s="23"/>
      <c r="Y47" s="23"/>
    </row>
    <row r="48" spans="1:25">
      <c r="A48" s="23"/>
      <c r="B48" s="7">
        <v>1</v>
      </c>
      <c r="C48" s="7">
        <v>0</v>
      </c>
      <c r="D48" s="1" t="s">
        <v>2</v>
      </c>
      <c r="E48" s="7">
        <v>1</v>
      </c>
      <c r="F48" s="7">
        <v>0</v>
      </c>
      <c r="G48" s="1" t="s">
        <v>2</v>
      </c>
      <c r="H48" s="7">
        <v>1</v>
      </c>
      <c r="I48" s="7">
        <v>0</v>
      </c>
      <c r="J48" s="1" t="s">
        <v>2</v>
      </c>
      <c r="K48" s="7">
        <v>1</v>
      </c>
      <c r="L48" s="7">
        <v>0</v>
      </c>
      <c r="M48" s="7" t="s">
        <v>2</v>
      </c>
      <c r="N48" s="7">
        <v>1</v>
      </c>
      <c r="O48" s="7">
        <v>0</v>
      </c>
      <c r="P48" s="7" t="s">
        <v>2</v>
      </c>
      <c r="Q48" s="7">
        <v>1</v>
      </c>
      <c r="R48" s="7">
        <v>0</v>
      </c>
      <c r="S48" s="7" t="s">
        <v>2</v>
      </c>
      <c r="T48" s="12">
        <v>1</v>
      </c>
      <c r="U48" s="12">
        <v>0</v>
      </c>
      <c r="V48" s="12" t="s">
        <v>2</v>
      </c>
      <c r="W48" s="12">
        <v>1</v>
      </c>
      <c r="X48" s="12">
        <v>0</v>
      </c>
      <c r="Y48" s="12" t="s">
        <v>2</v>
      </c>
    </row>
    <row r="49" spans="1:25">
      <c r="A49" s="7">
        <v>5</v>
      </c>
      <c r="B49" s="5">
        <f t="shared" ref="B49:B58" si="55">2*B19*C63/(C63+B19)</f>
        <v>0.83725087824672106</v>
      </c>
      <c r="C49" s="5">
        <f t="shared" ref="C49:C58" si="56">2*C19*(C34/C4)/(C19+(C34/C4))</f>
        <v>0.84712250251516374</v>
      </c>
      <c r="D49" s="5">
        <f>(B49+C49)/2</f>
        <v>0.8421866903809424</v>
      </c>
      <c r="E49" s="5">
        <f>2*E19*D63/(D63+E19)</f>
        <v>0.77409642047280469</v>
      </c>
      <c r="F49" s="5">
        <f t="shared" ref="F49:F58" si="57">2*F19*(F34/F4)/(F19+(F34/F4))</f>
        <v>0.75866493766072007</v>
      </c>
      <c r="G49" s="5">
        <f>(E49+F49)/2</f>
        <v>0.76638067906676244</v>
      </c>
      <c r="H49" s="5">
        <f t="shared" ref="H49:H58" si="58">2*H19*E63/(E63+H19)</f>
        <v>0.67073185864841822</v>
      </c>
      <c r="I49" s="5">
        <f t="shared" ref="I49:I58" si="59">2*I19*(I34/I4)/(I19+(I34/I4))</f>
        <v>0.68330803826253339</v>
      </c>
      <c r="J49" s="5">
        <f>(H49+I49)/2</f>
        <v>0.67701994845547575</v>
      </c>
      <c r="K49" s="9">
        <f t="shared" ref="K49:K58" si="60">2*K19*F63/(F63+K19)</f>
        <v>0.81321129728549368</v>
      </c>
      <c r="L49" s="9">
        <f t="shared" ref="L49:L58" si="61">2*L19*(L34/L4)/(L19+(L34/L4))</f>
        <v>0.80592706683287885</v>
      </c>
      <c r="M49" s="9">
        <f>(K49+L49)/2</f>
        <v>0.80956918205918627</v>
      </c>
      <c r="N49" s="9">
        <f t="shared" ref="N49:N58" si="62">2*N19*B63/(B63+N19)</f>
        <v>0.90589499997240297</v>
      </c>
      <c r="O49" s="9">
        <f t="shared" ref="O49:O58" si="63">2*O19*(O34/L4)/(O19+(O34/O4))</f>
        <v>0.90570499997239728</v>
      </c>
      <c r="P49" s="9">
        <f>(N49+O49)/2</f>
        <v>0.90579999997240013</v>
      </c>
      <c r="Q49" s="9">
        <f t="shared" ref="Q49:Q58" si="64">2*Q19*G63/(G63+Q19)</f>
        <v>0.65669520434392448</v>
      </c>
      <c r="R49" s="9">
        <f t="shared" ref="R49:R58" si="65">2*R19*(R34/O4)/(R19+(R34/R4))</f>
        <v>0.67843426417428043</v>
      </c>
      <c r="S49" s="9">
        <f>(Q49+R49)/2</f>
        <v>0.66756473425910245</v>
      </c>
      <c r="T49" s="9">
        <f t="shared" ref="T49:T58" si="66">2*T19*H63/(H63+T19)</f>
        <v>0.81080712731128968</v>
      </c>
      <c r="U49" s="9">
        <f t="shared" ref="U49:U58" si="67">2*U19*(U34/U4)/(U19+(U34/U4))</f>
        <v>0.80592393305958399</v>
      </c>
      <c r="V49" s="9">
        <f>(T49+U49)/2</f>
        <v>0.80836553018543689</v>
      </c>
      <c r="W49" s="9">
        <f t="shared" ref="W49:W58" si="68">2*W19*I63/(I63+W19)</f>
        <v>0.80497218621696331</v>
      </c>
      <c r="X49" s="9">
        <f t="shared" ref="X49:X58" si="69">2*X19*(X34/X4)/(X19+(X34/X4))</f>
        <v>0.80462716627518238</v>
      </c>
      <c r="Y49" s="9">
        <f>(W49+X49)/2</f>
        <v>0.80479967624607285</v>
      </c>
    </row>
    <row r="50" spans="1:25">
      <c r="A50" s="7">
        <v>7</v>
      </c>
      <c r="B50" s="5">
        <f t="shared" si="55"/>
        <v>0.84146870533409091</v>
      </c>
      <c r="C50" s="5">
        <f t="shared" si="56"/>
        <v>0.84161972181579792</v>
      </c>
      <c r="D50" s="5">
        <f t="shared" ref="D50:D58" si="70">(B50+C50)/2</f>
        <v>0.84154421357494447</v>
      </c>
      <c r="E50" s="5">
        <f t="shared" ref="E50:E58" si="71">2*E20*F64/(F64+E20)</f>
        <v>0.78902012122714349</v>
      </c>
      <c r="F50" s="5">
        <f t="shared" si="57"/>
        <v>0.75987191064732551</v>
      </c>
      <c r="G50" s="5">
        <f t="shared" ref="G50:G58" si="72">(E50+F50)/2</f>
        <v>0.7744460159372345</v>
      </c>
      <c r="H50" s="5">
        <f t="shared" si="58"/>
        <v>0.67315245955427672</v>
      </c>
      <c r="I50" s="5">
        <f t="shared" si="59"/>
        <v>0.69194709854475855</v>
      </c>
      <c r="J50" s="5">
        <f t="shared" ref="J50:J58" si="73">(H50+I50)/2</f>
        <v>0.68254977904951764</v>
      </c>
      <c r="K50" s="9">
        <f t="shared" si="60"/>
        <v>0.81099179679989108</v>
      </c>
      <c r="L50" s="9">
        <f t="shared" si="61"/>
        <v>0.80532913262265859</v>
      </c>
      <c r="M50" s="9">
        <f t="shared" ref="M50:M58" si="74">(K50+L50)/2</f>
        <v>0.80816046471127478</v>
      </c>
      <c r="N50" s="9">
        <f t="shared" si="62"/>
        <v>0.89557869400652046</v>
      </c>
      <c r="O50" s="9">
        <f t="shared" si="63"/>
        <v>0.88432741041848051</v>
      </c>
      <c r="P50" s="9">
        <f t="shared" ref="P50:P58" si="75">(N50+O50)/2</f>
        <v>0.88995305221250054</v>
      </c>
      <c r="Q50" s="9">
        <f t="shared" si="64"/>
        <v>0.66174830280111407</v>
      </c>
      <c r="R50" s="9">
        <f t="shared" si="65"/>
        <v>0.68338627621546943</v>
      </c>
      <c r="S50" s="9">
        <f t="shared" ref="S50:S58" si="76">(Q50+R50)/2</f>
        <v>0.6725672895082917</v>
      </c>
      <c r="T50" s="9">
        <f t="shared" si="66"/>
        <v>0.80754323047203913</v>
      </c>
      <c r="U50" s="9">
        <f t="shared" si="67"/>
        <v>0.80343800710680746</v>
      </c>
      <c r="V50" s="9">
        <f t="shared" ref="V50:V58" si="77">(T50+U50)/2</f>
        <v>0.8054906187894233</v>
      </c>
      <c r="W50" s="9">
        <f t="shared" si="68"/>
        <v>0.81087948314551328</v>
      </c>
      <c r="X50" s="9">
        <f t="shared" si="69"/>
        <v>0.78634900824502407</v>
      </c>
      <c r="Y50" s="9">
        <f t="shared" ref="Y50:Y58" si="78">(W50+X50)/2</f>
        <v>0.79861424569526873</v>
      </c>
    </row>
    <row r="51" spans="1:25">
      <c r="A51" s="7">
        <v>15</v>
      </c>
      <c r="B51" s="5">
        <f t="shared" si="55"/>
        <v>0.82517639757241634</v>
      </c>
      <c r="C51" s="5">
        <f t="shared" si="56"/>
        <v>0.84221221387745948</v>
      </c>
      <c r="D51" s="5">
        <f t="shared" si="70"/>
        <v>0.83369430572493797</v>
      </c>
      <c r="E51" s="5">
        <f t="shared" si="71"/>
        <v>0.77832545733427727</v>
      </c>
      <c r="F51" s="5">
        <f t="shared" si="57"/>
        <v>0.7481270940984317</v>
      </c>
      <c r="G51" s="5">
        <f t="shared" si="72"/>
        <v>0.76322627571635449</v>
      </c>
      <c r="H51" s="5">
        <f t="shared" si="58"/>
        <v>0.67553416470330552</v>
      </c>
      <c r="I51" s="5">
        <f t="shared" si="59"/>
        <v>0.68442603875283925</v>
      </c>
      <c r="J51" s="5">
        <f t="shared" si="73"/>
        <v>0.67998010172807244</v>
      </c>
      <c r="K51" s="9">
        <f t="shared" si="60"/>
        <v>0.80162885893065838</v>
      </c>
      <c r="L51" s="9">
        <f t="shared" si="61"/>
        <v>0.79325353806690557</v>
      </c>
      <c r="M51" s="9">
        <f t="shared" si="74"/>
        <v>0.79744119849878192</v>
      </c>
      <c r="N51" s="9">
        <f t="shared" si="62"/>
        <v>0.89141350399353847</v>
      </c>
      <c r="O51" s="9">
        <f t="shared" si="63"/>
        <v>0.8807831842281536</v>
      </c>
      <c r="P51" s="9">
        <f t="shared" si="75"/>
        <v>0.88609834411084609</v>
      </c>
      <c r="Q51" s="9">
        <f t="shared" si="64"/>
        <v>0.66418793904523454</v>
      </c>
      <c r="R51" s="9">
        <f t="shared" si="65"/>
        <v>0.67943137378922835</v>
      </c>
      <c r="S51" s="9">
        <f t="shared" si="76"/>
        <v>0.67180965641723145</v>
      </c>
      <c r="T51" s="9">
        <f t="shared" si="66"/>
        <v>0.80221673902069646</v>
      </c>
      <c r="U51" s="9">
        <f t="shared" si="67"/>
        <v>0.79005431256288405</v>
      </c>
      <c r="V51" s="9">
        <f t="shared" si="77"/>
        <v>0.79613552579179026</v>
      </c>
      <c r="W51" s="9">
        <f t="shared" si="68"/>
        <v>0.80138738902856721</v>
      </c>
      <c r="X51" s="9">
        <f t="shared" si="69"/>
        <v>0.79011622286202421</v>
      </c>
      <c r="Y51" s="9">
        <f t="shared" si="78"/>
        <v>0.79575180594529571</v>
      </c>
    </row>
    <row r="52" spans="1:25">
      <c r="A52" s="7">
        <v>30</v>
      </c>
      <c r="B52" s="5">
        <f t="shared" si="55"/>
        <v>0.81168446942766392</v>
      </c>
      <c r="C52" s="5">
        <f t="shared" si="56"/>
        <v>0.82146062752543703</v>
      </c>
      <c r="D52" s="5">
        <f t="shared" si="70"/>
        <v>0.81657254847655047</v>
      </c>
      <c r="E52" s="5">
        <f t="shared" si="71"/>
        <v>0.75946913109254754</v>
      </c>
      <c r="F52" s="5">
        <f t="shared" si="57"/>
        <v>0.73223646004042386</v>
      </c>
      <c r="G52" s="5">
        <f t="shared" si="72"/>
        <v>0.74585279556648576</v>
      </c>
      <c r="H52" s="5">
        <f t="shared" si="58"/>
        <v>0.66184116973689378</v>
      </c>
      <c r="I52" s="5">
        <f t="shared" si="59"/>
        <v>0.68642817585189098</v>
      </c>
      <c r="J52" s="5">
        <f t="shared" si="73"/>
        <v>0.67413467279439243</v>
      </c>
      <c r="K52" s="9">
        <f t="shared" si="60"/>
        <v>0.77601360537108821</v>
      </c>
      <c r="L52" s="9">
        <f t="shared" si="61"/>
        <v>0.76913560005951642</v>
      </c>
      <c r="M52" s="9">
        <f t="shared" si="74"/>
        <v>0.77257460271530232</v>
      </c>
      <c r="N52" s="9">
        <f t="shared" si="62"/>
        <v>0.88294528601910871</v>
      </c>
      <c r="O52" s="9">
        <f t="shared" si="63"/>
        <v>0.86019467489609636</v>
      </c>
      <c r="P52" s="9">
        <f t="shared" si="75"/>
        <v>0.87156998045760248</v>
      </c>
      <c r="Q52" s="9">
        <f t="shared" si="64"/>
        <v>0.6603273867262478</v>
      </c>
      <c r="R52" s="9">
        <f t="shared" si="65"/>
        <v>0.67712887608171268</v>
      </c>
      <c r="S52" s="9">
        <f t="shared" si="76"/>
        <v>0.66872813140398024</v>
      </c>
      <c r="T52" s="9">
        <f t="shared" si="66"/>
        <v>0.80128345542812207</v>
      </c>
      <c r="U52" s="9">
        <f t="shared" si="67"/>
        <v>0.79353859201431554</v>
      </c>
      <c r="V52" s="9">
        <f t="shared" si="77"/>
        <v>0.79741102372121886</v>
      </c>
      <c r="W52" s="9">
        <f t="shared" si="68"/>
        <v>0.78822999987313358</v>
      </c>
      <c r="X52" s="9">
        <f t="shared" si="69"/>
        <v>0.78838999987315928</v>
      </c>
      <c r="Y52" s="9">
        <f t="shared" si="78"/>
        <v>0.78830999987314643</v>
      </c>
    </row>
    <row r="53" spans="1:25">
      <c r="A53" s="7">
        <v>45</v>
      </c>
      <c r="B53" s="5">
        <f t="shared" si="55"/>
        <v>0.81204913462523531</v>
      </c>
      <c r="C53" s="5">
        <f t="shared" si="56"/>
        <v>0.80354947735812521</v>
      </c>
      <c r="D53" s="5">
        <f t="shared" si="70"/>
        <v>0.80779930599168026</v>
      </c>
      <c r="E53" s="5">
        <f t="shared" si="71"/>
        <v>0.72844754797745603</v>
      </c>
      <c r="F53" s="5">
        <f t="shared" si="57"/>
        <v>0.70919491626121367</v>
      </c>
      <c r="G53" s="5">
        <f t="shared" si="72"/>
        <v>0.7188212321193348</v>
      </c>
      <c r="H53" s="5">
        <f t="shared" si="58"/>
        <v>0.65880000000000005</v>
      </c>
      <c r="I53" s="5">
        <f t="shared" si="59"/>
        <v>0.66120000000000001</v>
      </c>
      <c r="J53" s="5">
        <f t="shared" si="73"/>
        <v>0.66</v>
      </c>
      <c r="K53" s="9">
        <f t="shared" si="60"/>
        <v>0.75351421355705583</v>
      </c>
      <c r="L53" s="9">
        <f t="shared" si="61"/>
        <v>0.76414890711119376</v>
      </c>
      <c r="M53" s="9">
        <f t="shared" si="74"/>
        <v>0.7588315603341248</v>
      </c>
      <c r="N53" s="9">
        <f t="shared" si="62"/>
        <v>0.87082019906575958</v>
      </c>
      <c r="O53" s="9">
        <f t="shared" si="63"/>
        <v>0.8629611939606725</v>
      </c>
      <c r="P53" s="9">
        <f t="shared" si="75"/>
        <v>0.86689069651321604</v>
      </c>
      <c r="Q53" s="9">
        <f t="shared" si="64"/>
        <v>0.64899910450054543</v>
      </c>
      <c r="R53" s="9">
        <f t="shared" si="65"/>
        <v>0.68335962179469401</v>
      </c>
      <c r="S53" s="9">
        <f t="shared" si="76"/>
        <v>0.66617936314761972</v>
      </c>
      <c r="T53" s="9">
        <f t="shared" si="66"/>
        <v>0.78239999999999998</v>
      </c>
      <c r="U53" s="9">
        <f t="shared" si="67"/>
        <v>0.79300000000000004</v>
      </c>
      <c r="V53" s="9">
        <f t="shared" si="77"/>
        <v>0.78770000000000007</v>
      </c>
      <c r="W53" s="9">
        <f t="shared" si="68"/>
        <v>0.76384723578619396</v>
      </c>
      <c r="X53" s="9">
        <f t="shared" si="69"/>
        <v>0.75369703974950919</v>
      </c>
      <c r="Y53" s="9">
        <f t="shared" si="78"/>
        <v>0.75877213776785157</v>
      </c>
    </row>
    <row r="54" spans="1:25">
      <c r="A54" s="7">
        <v>60</v>
      </c>
      <c r="B54" s="5">
        <f t="shared" si="55"/>
        <v>0.7922786620403619</v>
      </c>
      <c r="C54" s="5">
        <f t="shared" si="56"/>
        <v>0.80326053912361695</v>
      </c>
      <c r="D54" s="5">
        <f t="shared" si="70"/>
        <v>0.79776960058198942</v>
      </c>
      <c r="E54" s="5">
        <f t="shared" si="71"/>
        <v>0.72076549617982011</v>
      </c>
      <c r="F54" s="5">
        <f t="shared" si="57"/>
        <v>0.69491652020270323</v>
      </c>
      <c r="G54" s="5">
        <f t="shared" si="72"/>
        <v>0.70784100819126161</v>
      </c>
      <c r="H54" s="5">
        <f t="shared" si="58"/>
        <v>0.67137839910762032</v>
      </c>
      <c r="I54" s="5">
        <f t="shared" si="59"/>
        <v>0.66074087030210593</v>
      </c>
      <c r="J54" s="5">
        <f t="shared" si="73"/>
        <v>0.66605963470486307</v>
      </c>
      <c r="K54" s="9">
        <f t="shared" si="60"/>
        <v>0.74763487409510965</v>
      </c>
      <c r="L54" s="9">
        <f t="shared" si="61"/>
        <v>0.75238298602252973</v>
      </c>
      <c r="M54" s="9">
        <f t="shared" si="74"/>
        <v>0.75000893005881974</v>
      </c>
      <c r="N54" s="9">
        <f t="shared" si="62"/>
        <v>0.87098020722949654</v>
      </c>
      <c r="O54" s="9">
        <f t="shared" si="63"/>
        <v>0.8579368449320024</v>
      </c>
      <c r="P54" s="9">
        <f t="shared" si="75"/>
        <v>0.86445852608074947</v>
      </c>
      <c r="Q54" s="9">
        <f t="shared" si="64"/>
        <v>0.65713923030371235</v>
      </c>
      <c r="R54" s="9">
        <f t="shared" si="65"/>
        <v>0.67594518775861989</v>
      </c>
      <c r="S54" s="9">
        <f t="shared" si="76"/>
        <v>0.66654220903116612</v>
      </c>
      <c r="T54" s="9">
        <f t="shared" si="66"/>
        <v>0.7770144891354005</v>
      </c>
      <c r="U54" s="9">
        <f t="shared" si="67"/>
        <v>0.77758104496997293</v>
      </c>
      <c r="V54" s="9">
        <f t="shared" si="77"/>
        <v>0.77729776705268672</v>
      </c>
      <c r="W54" s="9">
        <f t="shared" si="68"/>
        <v>0.74247885539613379</v>
      </c>
      <c r="X54" s="9">
        <f t="shared" si="69"/>
        <v>0.74666521334502778</v>
      </c>
      <c r="Y54" s="9">
        <f t="shared" si="78"/>
        <v>0.74457203437058084</v>
      </c>
    </row>
    <row r="55" spans="1:25">
      <c r="A55" s="7">
        <v>90</v>
      </c>
      <c r="B55" s="5">
        <f t="shared" si="55"/>
        <v>0.79608194558478362</v>
      </c>
      <c r="C55" s="5">
        <f t="shared" si="56"/>
        <v>0.79986593336858791</v>
      </c>
      <c r="D55" s="5">
        <f t="shared" si="70"/>
        <v>0.79797393947668582</v>
      </c>
      <c r="E55" s="5">
        <f t="shared" si="71"/>
        <v>0.71046408914764103</v>
      </c>
      <c r="F55" s="5">
        <f t="shared" si="57"/>
        <v>0.66948339744939012</v>
      </c>
      <c r="G55" s="5">
        <f t="shared" si="72"/>
        <v>0.68997374329851557</v>
      </c>
      <c r="H55" s="5">
        <f t="shared" si="58"/>
        <v>0.67229338187074239</v>
      </c>
      <c r="I55" s="5">
        <f t="shared" si="59"/>
        <v>0.65888503059609671</v>
      </c>
      <c r="J55" s="5">
        <f t="shared" si="73"/>
        <v>0.66558920623341955</v>
      </c>
      <c r="K55" s="9">
        <f t="shared" si="60"/>
        <v>0.74416430944927936</v>
      </c>
      <c r="L55" s="9">
        <f t="shared" si="61"/>
        <v>0.75035278766681324</v>
      </c>
      <c r="M55" s="9">
        <f t="shared" si="74"/>
        <v>0.7472585485580463</v>
      </c>
      <c r="N55" s="9">
        <f t="shared" si="62"/>
        <v>0.8612747981003831</v>
      </c>
      <c r="O55" s="9">
        <f t="shared" si="63"/>
        <v>0.8572926819470672</v>
      </c>
      <c r="P55" s="9">
        <f t="shared" si="75"/>
        <v>0.85928374002372521</v>
      </c>
      <c r="Q55" s="9">
        <f t="shared" si="64"/>
        <v>0.66570611847619399</v>
      </c>
      <c r="R55" s="9">
        <f t="shared" si="65"/>
        <v>0.65847199053636862</v>
      </c>
      <c r="S55" s="9">
        <f t="shared" si="76"/>
        <v>0.6620890545062813</v>
      </c>
      <c r="T55" s="9">
        <f t="shared" si="66"/>
        <v>0.76325660785019811</v>
      </c>
      <c r="U55" s="9">
        <f t="shared" si="67"/>
        <v>0.77644160498435955</v>
      </c>
      <c r="V55" s="9">
        <f t="shared" si="77"/>
        <v>0.76984910641727877</v>
      </c>
      <c r="W55" s="9">
        <f t="shared" si="68"/>
        <v>0.74196423623278251</v>
      </c>
      <c r="X55" s="9">
        <f t="shared" si="69"/>
        <v>0.74263892655405261</v>
      </c>
      <c r="Y55" s="9">
        <f t="shared" si="78"/>
        <v>0.74230158139341751</v>
      </c>
    </row>
    <row r="56" spans="1:25">
      <c r="A56" s="7">
        <v>120</v>
      </c>
      <c r="B56" s="5">
        <f t="shared" si="55"/>
        <v>0.78111119990085909</v>
      </c>
      <c r="C56" s="5">
        <f t="shared" si="56"/>
        <v>0.78155679998689798</v>
      </c>
      <c r="D56" s="5">
        <f t="shared" si="70"/>
        <v>0.78133399994387853</v>
      </c>
      <c r="E56" s="5">
        <f t="shared" si="71"/>
        <v>0.69707946532185272</v>
      </c>
      <c r="F56" s="5">
        <f t="shared" si="57"/>
        <v>0.66467872660528382</v>
      </c>
      <c r="G56" s="5">
        <f t="shared" si="72"/>
        <v>0.68087909596356821</v>
      </c>
      <c r="H56" s="5">
        <f t="shared" si="58"/>
        <v>0.66502189996602801</v>
      </c>
      <c r="I56" s="5">
        <f t="shared" si="59"/>
        <v>0.65042003427262884</v>
      </c>
      <c r="J56" s="5">
        <f t="shared" si="73"/>
        <v>0.65772096711932848</v>
      </c>
      <c r="K56" s="9">
        <f t="shared" si="60"/>
        <v>0.72939875927468056</v>
      </c>
      <c r="L56" s="9">
        <f t="shared" si="61"/>
        <v>0.73482209890260164</v>
      </c>
      <c r="M56" s="9">
        <f t="shared" si="74"/>
        <v>0.7321104290886411</v>
      </c>
      <c r="N56" s="9">
        <f t="shared" si="62"/>
        <v>0.85213939443475539</v>
      </c>
      <c r="O56" s="9">
        <f t="shared" si="63"/>
        <v>0.84640269694037518</v>
      </c>
      <c r="P56" s="9">
        <f t="shared" si="75"/>
        <v>0.84927104568756528</v>
      </c>
      <c r="Q56" s="9">
        <f t="shared" si="64"/>
        <v>0.66784807812095826</v>
      </c>
      <c r="R56" s="9">
        <f t="shared" si="65"/>
        <v>0.63989077075490386</v>
      </c>
      <c r="S56" s="9">
        <f t="shared" si="76"/>
        <v>0.65386942443793106</v>
      </c>
      <c r="T56" s="9">
        <f t="shared" si="66"/>
        <v>0.76261908182795413</v>
      </c>
      <c r="U56" s="9">
        <f t="shared" si="67"/>
        <v>0.75424272885725463</v>
      </c>
      <c r="V56" s="9">
        <f t="shared" si="77"/>
        <v>0.75843090534260438</v>
      </c>
      <c r="W56" s="9">
        <f t="shared" si="68"/>
        <v>0.73563734649078094</v>
      </c>
      <c r="X56" s="9">
        <f t="shared" si="69"/>
        <v>0.72970524120448088</v>
      </c>
      <c r="Y56" s="9">
        <f t="shared" si="78"/>
        <v>0.73267129384763097</v>
      </c>
    </row>
    <row r="57" spans="1:25">
      <c r="A57" s="15">
        <v>210</v>
      </c>
      <c r="B57" s="17">
        <f t="shared" si="55"/>
        <v>0.82500270419325694</v>
      </c>
      <c r="C57" s="17">
        <f t="shared" si="56"/>
        <v>0.81094272555197267</v>
      </c>
      <c r="D57" s="17">
        <f t="shared" si="70"/>
        <v>0.8179727148726148</v>
      </c>
      <c r="E57" s="17">
        <f t="shared" si="71"/>
        <v>0.69527420684915819</v>
      </c>
      <c r="F57" s="17">
        <f t="shared" si="57"/>
        <v>0.63858695124529252</v>
      </c>
      <c r="G57" s="17">
        <f t="shared" si="72"/>
        <v>0.6669305790472253</v>
      </c>
      <c r="H57" s="17">
        <f t="shared" si="58"/>
        <v>0.64404086946668093</v>
      </c>
      <c r="I57" s="17">
        <f t="shared" si="59"/>
        <v>0.62899049156981923</v>
      </c>
      <c r="J57" s="17">
        <f t="shared" si="73"/>
        <v>0.63651568051825014</v>
      </c>
      <c r="K57" s="16">
        <f t="shared" si="60"/>
        <v>0.75434984790224391</v>
      </c>
      <c r="L57" s="16">
        <f t="shared" si="61"/>
        <v>0.76164732420251957</v>
      </c>
      <c r="M57" s="16">
        <f t="shared" si="74"/>
        <v>0.75799858605238168</v>
      </c>
      <c r="N57" s="16">
        <f t="shared" si="62"/>
        <v>0.8462165848124602</v>
      </c>
      <c r="O57" s="16">
        <f t="shared" si="63"/>
        <v>0.84033158109563444</v>
      </c>
      <c r="P57" s="16">
        <f t="shared" si="75"/>
        <v>0.84327408295404727</v>
      </c>
      <c r="Q57" s="16">
        <f t="shared" si="64"/>
        <v>0.65710580430915921</v>
      </c>
      <c r="R57" s="16">
        <f t="shared" si="65"/>
        <v>0.60936816774553948</v>
      </c>
      <c r="S57" s="16">
        <f t="shared" si="76"/>
        <v>0.63323698602734935</v>
      </c>
      <c r="T57" s="16">
        <f t="shared" si="66"/>
        <v>0.73583309320450363</v>
      </c>
      <c r="U57" s="16">
        <f t="shared" si="67"/>
        <v>0.74571327562740097</v>
      </c>
      <c r="V57" s="16">
        <f t="shared" si="77"/>
        <v>0.7407731844159523</v>
      </c>
      <c r="W57" s="16">
        <f t="shared" si="68"/>
        <v>0.72227531403808742</v>
      </c>
      <c r="X57" s="16">
        <f t="shared" si="69"/>
        <v>0.71654552965229468</v>
      </c>
      <c r="Y57" s="16">
        <f t="shared" si="78"/>
        <v>0.71941042184519111</v>
      </c>
    </row>
    <row r="58" spans="1:25">
      <c r="A58" s="15">
        <v>300</v>
      </c>
      <c r="B58" s="17">
        <f t="shared" si="55"/>
        <v>0.80364985037670233</v>
      </c>
      <c r="C58" s="17">
        <f t="shared" si="56"/>
        <v>0.80121401010920446</v>
      </c>
      <c r="D58" s="17">
        <f t="shared" si="70"/>
        <v>0.80243193024295345</v>
      </c>
      <c r="E58" s="17">
        <f t="shared" si="71"/>
        <v>0.67193713553316081</v>
      </c>
      <c r="F58" s="17">
        <f t="shared" si="57"/>
        <v>0.61136534953810828</v>
      </c>
      <c r="G58" s="17">
        <f t="shared" si="72"/>
        <v>0.64165124253563455</v>
      </c>
      <c r="H58" s="17">
        <f t="shared" si="58"/>
        <v>0.59817150222971027</v>
      </c>
      <c r="I58" s="17">
        <f t="shared" si="59"/>
        <v>0.61338271847065651</v>
      </c>
      <c r="J58" s="17">
        <f t="shared" si="73"/>
        <v>0.60577711035018345</v>
      </c>
      <c r="K58" s="16">
        <f t="shared" si="60"/>
        <v>0.73956412032718177</v>
      </c>
      <c r="L58" s="16">
        <f t="shared" si="61"/>
        <v>0.74537406192443023</v>
      </c>
      <c r="M58" s="16">
        <f t="shared" si="74"/>
        <v>0.74246909112580606</v>
      </c>
      <c r="N58" s="16">
        <f t="shared" si="62"/>
        <v>0.83337911289500044</v>
      </c>
      <c r="O58" s="16">
        <f t="shared" si="63"/>
        <v>0.82708409483853018</v>
      </c>
      <c r="P58" s="16">
        <f t="shared" si="75"/>
        <v>0.83023160386676531</v>
      </c>
      <c r="Q58" s="16">
        <f t="shared" si="64"/>
        <v>0.64167169596267093</v>
      </c>
      <c r="R58" s="16">
        <f t="shared" si="65"/>
        <v>0.56385016432118251</v>
      </c>
      <c r="S58" s="16">
        <f t="shared" si="76"/>
        <v>0.60276093014192678</v>
      </c>
      <c r="T58" s="16">
        <f t="shared" si="66"/>
        <v>0.72348556659710028</v>
      </c>
      <c r="U58" s="16">
        <f t="shared" si="67"/>
        <v>0.7196843816431161</v>
      </c>
      <c r="V58" s="16">
        <f t="shared" si="77"/>
        <v>0.72158497412010814</v>
      </c>
      <c r="W58" s="16">
        <f t="shared" si="68"/>
        <v>0.7040636931095946</v>
      </c>
      <c r="X58" s="16">
        <f t="shared" si="69"/>
        <v>0.70890430293327311</v>
      </c>
      <c r="Y58" s="16">
        <f t="shared" si="78"/>
        <v>0.70648399802143391</v>
      </c>
    </row>
    <row r="59" spans="1:25">
      <c r="A59" s="1"/>
      <c r="B59" s="5"/>
      <c r="C59" s="5"/>
      <c r="D59" s="5"/>
      <c r="E59" s="5"/>
      <c r="F59" s="5"/>
      <c r="G59" s="5"/>
      <c r="H59" s="5"/>
      <c r="I59" s="5"/>
      <c r="J59" s="5"/>
      <c r="K59" s="9"/>
    </row>
    <row r="60" spans="1:25">
      <c r="K60" s="6"/>
    </row>
    <row r="61" spans="1:25">
      <c r="A61" s="23" t="s">
        <v>6</v>
      </c>
      <c r="B61" s="23"/>
      <c r="C61" s="23"/>
      <c r="D61" s="23"/>
      <c r="E61" s="23"/>
      <c r="F61" s="23"/>
      <c r="G61" s="23"/>
      <c r="H61" s="23"/>
      <c r="I61" s="23"/>
      <c r="J61" s="2"/>
      <c r="M61" s="2"/>
      <c r="N61" s="2"/>
    </row>
    <row r="62" spans="1:25">
      <c r="A62" s="1" t="s">
        <v>28</v>
      </c>
      <c r="B62" s="7" t="s">
        <v>26</v>
      </c>
      <c r="C62" s="1" t="s">
        <v>1</v>
      </c>
      <c r="D62" s="1" t="s">
        <v>9</v>
      </c>
      <c r="E62" s="1" t="s">
        <v>10</v>
      </c>
      <c r="F62" s="7" t="s">
        <v>12</v>
      </c>
      <c r="G62" s="7" t="s">
        <v>11</v>
      </c>
      <c r="H62" s="12" t="s">
        <v>13</v>
      </c>
      <c r="I62" s="12" t="s">
        <v>14</v>
      </c>
    </row>
    <row r="63" spans="1:25">
      <c r="A63" s="7">
        <v>5</v>
      </c>
      <c r="B63" s="25">
        <f t="shared" ref="B63:B72" si="79">N34/N4</f>
        <v>0.90590000000000004</v>
      </c>
      <c r="C63" s="25">
        <f>B34/B4</f>
        <v>0.85045000000000004</v>
      </c>
      <c r="D63" s="25">
        <f t="shared" ref="D63:D72" si="80">E34/E4</f>
        <v>0.79854999999999998</v>
      </c>
      <c r="E63" s="25">
        <f t="shared" ref="E63:E72" si="81">H34/H4</f>
        <v>0.65674999999999994</v>
      </c>
      <c r="F63" s="25">
        <f>K34/K4</f>
        <v>0.82984999999999998</v>
      </c>
      <c r="G63" s="25">
        <f t="shared" ref="G63:G65" si="82">Q34/Q4</f>
        <v>0.63490000000000002</v>
      </c>
      <c r="H63" s="25">
        <f>T34/T4</f>
        <v>0.82228000000000001</v>
      </c>
      <c r="I63" s="25">
        <f>W34/W4</f>
        <v>0.80647999999999997</v>
      </c>
    </row>
    <row r="64" spans="1:25">
      <c r="A64" s="7">
        <v>7</v>
      </c>
      <c r="B64" s="25">
        <f t="shared" si="79"/>
        <v>0.90305000000000002</v>
      </c>
      <c r="C64" s="25">
        <f t="shared" ref="C64:C72" si="83">B35/B5</f>
        <v>0.85970000000000002</v>
      </c>
      <c r="D64" s="25">
        <f t="shared" si="80"/>
        <v>0.78925000000000001</v>
      </c>
      <c r="E64" s="25">
        <f t="shared" si="81"/>
        <v>0.65705000000000002</v>
      </c>
      <c r="F64" s="25">
        <f t="shared" ref="F64:F72" si="84">K35/K5</f>
        <v>0.82769999999999999</v>
      </c>
      <c r="G64" s="25">
        <f t="shared" si="82"/>
        <v>0.64139999999999997</v>
      </c>
      <c r="H64" s="25">
        <f t="shared" ref="H64:H72" si="85">T35/T5</f>
        <v>0.81123999999999996</v>
      </c>
      <c r="I64" s="25">
        <f t="shared" ref="I64:I72" si="86">W35/W5</f>
        <v>0.82316</v>
      </c>
    </row>
    <row r="65" spans="1:13">
      <c r="A65" s="7">
        <v>15</v>
      </c>
      <c r="B65" s="25">
        <f t="shared" si="79"/>
        <v>0.89629999999999999</v>
      </c>
      <c r="C65" s="25">
        <f t="shared" si="83"/>
        <v>0.83940000000000003</v>
      </c>
      <c r="D65" s="25">
        <f t="shared" si="80"/>
        <v>0.75829999999999997</v>
      </c>
      <c r="E65" s="25">
        <f t="shared" si="81"/>
        <v>0.66474999999999995</v>
      </c>
      <c r="F65" s="25">
        <f t="shared" si="84"/>
        <v>0.81289999999999996</v>
      </c>
      <c r="G65" s="25">
        <f t="shared" si="82"/>
        <v>0.64759999999999995</v>
      </c>
      <c r="H65" s="25">
        <f t="shared" si="85"/>
        <v>0.81072</v>
      </c>
      <c r="I65" s="25">
        <f t="shared" si="86"/>
        <v>0.80823999999999996</v>
      </c>
    </row>
    <row r="66" spans="1:13">
      <c r="A66" s="7">
        <v>30</v>
      </c>
      <c r="B66" s="25">
        <f t="shared" si="79"/>
        <v>0.88139999999999996</v>
      </c>
      <c r="C66" s="25">
        <f t="shared" si="83"/>
        <v>0.82350000000000001</v>
      </c>
      <c r="D66" s="25">
        <f t="shared" si="80"/>
        <v>0.73414999999999997</v>
      </c>
      <c r="E66" s="25">
        <f t="shared" si="81"/>
        <v>0.64749999999999996</v>
      </c>
      <c r="F66" s="25">
        <f t="shared" si="84"/>
        <v>0.78290000000000004</v>
      </c>
      <c r="G66" s="25">
        <f>Q37/Q7</f>
        <v>0.64690000000000003</v>
      </c>
      <c r="H66" s="25">
        <f t="shared" si="85"/>
        <v>0.79900000000000004</v>
      </c>
      <c r="I66" s="25">
        <f t="shared" si="86"/>
        <v>0.78824000000000005</v>
      </c>
    </row>
    <row r="67" spans="1:13">
      <c r="A67" s="7">
        <v>45</v>
      </c>
      <c r="B67" s="25">
        <f t="shared" si="79"/>
        <v>0.87731999999999999</v>
      </c>
      <c r="C67" s="25">
        <f t="shared" si="83"/>
        <v>0.81943999999999995</v>
      </c>
      <c r="D67" s="25">
        <f t="shared" si="80"/>
        <v>0.72724</v>
      </c>
      <c r="E67" s="25">
        <f t="shared" si="81"/>
        <v>0.65880000000000005</v>
      </c>
      <c r="F67" s="25">
        <f t="shared" si="84"/>
        <v>0.74672000000000005</v>
      </c>
      <c r="G67" s="25">
        <f t="shared" ref="G67:G72" si="87">Q38/Q8</f>
        <v>0.61648000000000003</v>
      </c>
      <c r="H67" s="25">
        <f t="shared" si="85"/>
        <v>0.78239999999999998</v>
      </c>
      <c r="I67" s="25">
        <f t="shared" si="86"/>
        <v>0.76803999999999994</v>
      </c>
    </row>
    <row r="68" spans="1:13">
      <c r="A68" s="7">
        <v>60</v>
      </c>
      <c r="B68" s="25">
        <f t="shared" si="79"/>
        <v>0.87651999999999997</v>
      </c>
      <c r="C68" s="25">
        <f t="shared" si="83"/>
        <v>0.79091999999999996</v>
      </c>
      <c r="D68" s="25">
        <f t="shared" si="80"/>
        <v>0.71519999999999995</v>
      </c>
      <c r="E68" s="25">
        <f t="shared" si="81"/>
        <v>0.67900000000000005</v>
      </c>
      <c r="F68" s="25">
        <f t="shared" si="84"/>
        <v>0.74336000000000002</v>
      </c>
      <c r="G68" s="25">
        <f t="shared" si="87"/>
        <v>0.63912000000000002</v>
      </c>
      <c r="H68" s="25">
        <f t="shared" si="85"/>
        <v>0.77080000000000004</v>
      </c>
      <c r="I68" s="25">
        <f t="shared" si="86"/>
        <v>0.73255999999999999</v>
      </c>
    </row>
    <row r="69" spans="1:13">
      <c r="A69" s="7">
        <v>90</v>
      </c>
      <c r="B69" s="25">
        <f t="shared" si="79"/>
        <v>0.86831999999999998</v>
      </c>
      <c r="C69" s="25">
        <f t="shared" si="83"/>
        <v>0.80067999999999995</v>
      </c>
      <c r="D69" s="25">
        <f t="shared" si="80"/>
        <v>0.71748000000000001</v>
      </c>
      <c r="E69" s="25">
        <f t="shared" si="81"/>
        <v>0.68340000000000001</v>
      </c>
      <c r="F69" s="25">
        <f t="shared" si="84"/>
        <v>0.73792000000000002</v>
      </c>
      <c r="G69" s="25">
        <f t="shared" si="87"/>
        <v>0.6714</v>
      </c>
      <c r="H69" s="25">
        <f t="shared" si="85"/>
        <v>0.74580000000000002</v>
      </c>
      <c r="I69" s="25">
        <f t="shared" si="86"/>
        <v>0.74539999999999995</v>
      </c>
    </row>
    <row r="70" spans="1:13">
      <c r="A70" s="7">
        <v>120</v>
      </c>
      <c r="B70" s="25">
        <f t="shared" si="79"/>
        <v>0.8548</v>
      </c>
      <c r="C70" s="25">
        <f t="shared" si="83"/>
        <v>0.78112000000000004</v>
      </c>
      <c r="D70" s="25">
        <f t="shared" si="80"/>
        <v>0.67464000000000002</v>
      </c>
      <c r="E70" s="25">
        <f t="shared" si="81"/>
        <v>0.67767999999999995</v>
      </c>
      <c r="F70" s="25">
        <f t="shared" si="84"/>
        <v>0.72319999999999995</v>
      </c>
      <c r="G70" s="25">
        <f t="shared" si="87"/>
        <v>0.69416</v>
      </c>
      <c r="H70" s="25">
        <f t="shared" si="85"/>
        <v>0.7752</v>
      </c>
      <c r="I70" s="25">
        <f t="shared" si="86"/>
        <v>0.74275999999999998</v>
      </c>
    </row>
    <row r="71" spans="1:13">
      <c r="A71" s="15">
        <v>210</v>
      </c>
      <c r="B71" s="16">
        <f t="shared" si="79"/>
        <v>0.84792000000000001</v>
      </c>
      <c r="C71" s="16">
        <f t="shared" si="83"/>
        <v>0.82820000000000005</v>
      </c>
      <c r="D71" s="16">
        <f t="shared" si="80"/>
        <v>0.64419999999999999</v>
      </c>
      <c r="E71" s="16">
        <f t="shared" si="81"/>
        <v>0.65468000000000004</v>
      </c>
      <c r="F71" s="16">
        <f t="shared" si="84"/>
        <v>0.74580000000000002</v>
      </c>
      <c r="G71" s="16">
        <f t="shared" si="87"/>
        <v>0.69903999999999999</v>
      </c>
      <c r="H71" s="16">
        <f t="shared" si="85"/>
        <v>0.73184000000000005</v>
      </c>
      <c r="I71" s="16">
        <f t="shared" si="86"/>
        <v>0.71963999999999995</v>
      </c>
    </row>
    <row r="72" spans="1:13">
      <c r="A72" s="15">
        <v>300</v>
      </c>
      <c r="B72" s="16">
        <f t="shared" si="79"/>
        <v>0.83560000000000001</v>
      </c>
      <c r="C72" s="16">
        <f t="shared" si="83"/>
        <v>0.80900000000000005</v>
      </c>
      <c r="D72" s="16">
        <f t="shared" si="80"/>
        <v>0.63983999999999996</v>
      </c>
      <c r="E72" s="16">
        <f t="shared" si="81"/>
        <v>0.59008000000000005</v>
      </c>
      <c r="F72" s="16">
        <f t="shared" si="84"/>
        <v>0.73168</v>
      </c>
      <c r="G72" s="16">
        <f t="shared" si="87"/>
        <v>0.70431999999999995</v>
      </c>
      <c r="H72" s="16">
        <f t="shared" si="85"/>
        <v>0.72919999999999996</v>
      </c>
      <c r="I72" s="16">
        <f t="shared" si="86"/>
        <v>0.69940000000000002</v>
      </c>
    </row>
    <row r="73" spans="1:13">
      <c r="A73" s="1"/>
      <c r="B73" s="3"/>
      <c r="C73" s="3"/>
      <c r="D73" s="3"/>
      <c r="E73" s="3"/>
      <c r="K73" s="1"/>
    </row>
    <row r="74" spans="1:13">
      <c r="A74" s="23" t="s">
        <v>7</v>
      </c>
      <c r="B74" s="23"/>
      <c r="C74" s="23"/>
      <c r="D74" s="23"/>
      <c r="E74" s="23"/>
      <c r="F74" s="23"/>
      <c r="G74" s="23"/>
      <c r="H74" s="23"/>
      <c r="I74" s="23"/>
      <c r="M74" s="6"/>
    </row>
    <row r="75" spans="1:13">
      <c r="A75" s="7" t="s">
        <v>28</v>
      </c>
      <c r="B75" s="7" t="s">
        <v>26</v>
      </c>
      <c r="C75" s="1" t="s">
        <v>1</v>
      </c>
      <c r="D75" s="12" t="s">
        <v>9</v>
      </c>
      <c r="E75" s="7" t="s">
        <v>10</v>
      </c>
      <c r="F75" s="7" t="s">
        <v>27</v>
      </c>
      <c r="G75" s="7" t="s">
        <v>11</v>
      </c>
      <c r="H75" s="12" t="s">
        <v>13</v>
      </c>
      <c r="I75" s="12" t="s">
        <v>14</v>
      </c>
    </row>
    <row r="76" spans="1:13">
      <c r="A76" s="7">
        <v>5</v>
      </c>
      <c r="B76" s="26">
        <f t="shared" ref="B76:B85" si="88">-(O34-O4)/O4</f>
        <v>9.4299999999999995E-2</v>
      </c>
      <c r="C76" s="26">
        <f t="shared" ref="C76:C85" si="89">(C4-C34)/C4</f>
        <v>0.16625000000000001</v>
      </c>
      <c r="D76" s="26">
        <f t="shared" ref="D76:D85" si="90">(F4-F34)/F4</f>
        <v>0.26529999999999998</v>
      </c>
      <c r="E76" s="26">
        <f>(I4-I34)/I4</f>
        <v>0.30245</v>
      </c>
      <c r="F76" s="26">
        <f t="shared" ref="F76:F78" si="91">-(L34-L4)/L4</f>
        <v>0.21054999999999999</v>
      </c>
      <c r="G76" s="26">
        <f t="shared" ref="G76:G78" si="92">-(R34-R4)/R4</f>
        <v>0.29904999999999998</v>
      </c>
      <c r="H76" s="26">
        <f>-(U34-U4)/U4</f>
        <v>0.20548</v>
      </c>
      <c r="I76" s="26">
        <f>-(X34-X4)/X4</f>
        <v>0.19688</v>
      </c>
    </row>
    <row r="77" spans="1:13">
      <c r="A77" s="7">
        <v>7</v>
      </c>
      <c r="B77" s="26">
        <f t="shared" si="88"/>
        <v>0.12305000000000001</v>
      </c>
      <c r="C77" s="26">
        <f t="shared" si="89"/>
        <v>0.17660000000000001</v>
      </c>
      <c r="D77" s="26">
        <f t="shared" si="90"/>
        <v>0.25800000000000001</v>
      </c>
      <c r="E77" s="26">
        <f t="shared" ref="E77:E85" si="93">(I5-I35)/I5</f>
        <v>0.29149999999999998</v>
      </c>
      <c r="F77" s="26">
        <f t="shared" si="91"/>
        <v>0.21124999999999999</v>
      </c>
      <c r="G77" s="26">
        <f t="shared" si="92"/>
        <v>0.29559999999999997</v>
      </c>
      <c r="H77" s="26">
        <f t="shared" ref="H77:H85" si="94">-(U35-U5)/U5</f>
        <v>0.20024</v>
      </c>
      <c r="I77" s="26">
        <f t="shared" ref="I77:I85" si="95">-(X35-X5)/X5</f>
        <v>0.22556000000000001</v>
      </c>
    </row>
    <row r="78" spans="1:13">
      <c r="A78" s="7">
        <v>15</v>
      </c>
      <c r="B78" s="26">
        <f t="shared" si="88"/>
        <v>0.12404999999999999</v>
      </c>
      <c r="C78" s="26">
        <f t="shared" si="89"/>
        <v>0.17230000000000001</v>
      </c>
      <c r="D78" s="26">
        <f t="shared" si="90"/>
        <v>0.25774999999999998</v>
      </c>
      <c r="E78" s="26">
        <f t="shared" si="93"/>
        <v>0.30464999999999998</v>
      </c>
      <c r="F78" s="26">
        <f t="shared" si="91"/>
        <v>0.21790000000000001</v>
      </c>
      <c r="G78" s="26">
        <f t="shared" si="92"/>
        <v>0.30359999999999998</v>
      </c>
      <c r="H78" s="26">
        <f t="shared" si="94"/>
        <v>0.21831999999999999</v>
      </c>
      <c r="I78" s="26">
        <f t="shared" si="95"/>
        <v>0.21664</v>
      </c>
    </row>
    <row r="79" spans="1:13">
      <c r="A79" s="7">
        <v>30</v>
      </c>
      <c r="B79" s="26">
        <f t="shared" si="88"/>
        <v>0.13830000000000001</v>
      </c>
      <c r="C79" s="26">
        <f t="shared" si="89"/>
        <v>0.1905</v>
      </c>
      <c r="D79" s="26">
        <f t="shared" si="90"/>
        <v>0.26615</v>
      </c>
      <c r="E79" s="26">
        <f>(I7-I37)/I7</f>
        <v>0.29870000000000002</v>
      </c>
      <c r="F79" s="26">
        <f>-(L37-L7)/L7</f>
        <v>0.23769999999999999</v>
      </c>
      <c r="G79" s="26">
        <f>-(R37-R7)/R7</f>
        <v>0.30909999999999999</v>
      </c>
      <c r="H79" s="26">
        <f t="shared" si="94"/>
        <v>0.20419999999999999</v>
      </c>
      <c r="I79" s="26">
        <f t="shared" si="95"/>
        <v>0.21160000000000001</v>
      </c>
    </row>
    <row r="80" spans="1:13">
      <c r="A80" s="7">
        <v>45</v>
      </c>
      <c r="B80" s="26">
        <f t="shared" si="88"/>
        <v>0.14348</v>
      </c>
      <c r="C80" s="26">
        <f t="shared" si="89"/>
        <v>0.20376</v>
      </c>
      <c r="D80" s="26">
        <f t="shared" si="90"/>
        <v>0.29887999999999998</v>
      </c>
      <c r="E80" s="26">
        <f t="shared" si="93"/>
        <v>0.33879999999999999</v>
      </c>
      <c r="F80" s="26">
        <f t="shared" ref="F80:F85" si="96">-(L38-L8)/L8</f>
        <v>0.22896</v>
      </c>
      <c r="G80" s="26">
        <f t="shared" ref="G80:G85" si="97">-(R38-R8)/R8</f>
        <v>0.28239999999999998</v>
      </c>
      <c r="H80" s="26">
        <f t="shared" si="94"/>
        <v>0.20699999999999999</v>
      </c>
      <c r="I80" s="26">
        <f t="shared" si="95"/>
        <v>0.25044</v>
      </c>
    </row>
    <row r="81" spans="1:11">
      <c r="A81" s="7">
        <v>60</v>
      </c>
      <c r="B81" s="26">
        <f t="shared" si="88"/>
        <v>0.14752000000000001</v>
      </c>
      <c r="C81" s="26">
        <f t="shared" si="89"/>
        <v>0.19536000000000001</v>
      </c>
      <c r="D81" s="26">
        <f t="shared" si="90"/>
        <v>0.31287999999999999</v>
      </c>
      <c r="E81" s="26">
        <f t="shared" si="93"/>
        <v>0.34676000000000001</v>
      </c>
      <c r="F81" s="26">
        <f t="shared" si="96"/>
        <v>0.24332000000000001</v>
      </c>
      <c r="G81" s="26">
        <f t="shared" si="97"/>
        <v>0.30552000000000001</v>
      </c>
      <c r="H81" s="26">
        <f t="shared" si="94"/>
        <v>0.2162</v>
      </c>
      <c r="I81" s="26">
        <f t="shared" si="95"/>
        <v>0.24335999999999999</v>
      </c>
    </row>
    <row r="82" spans="1:11">
      <c r="A82" s="7">
        <v>90</v>
      </c>
      <c r="B82" s="26">
        <f t="shared" si="88"/>
        <v>0.14971999999999999</v>
      </c>
      <c r="C82" s="26">
        <f t="shared" si="89"/>
        <v>0.20476</v>
      </c>
      <c r="D82" s="26">
        <f t="shared" si="90"/>
        <v>0.34639999999999999</v>
      </c>
      <c r="E82" s="26">
        <f t="shared" si="93"/>
        <v>0.35199999999999998</v>
      </c>
      <c r="F82" s="26">
        <f t="shared" si="96"/>
        <v>0.24335999999999999</v>
      </c>
      <c r="G82" s="26">
        <f t="shared" si="97"/>
        <v>0.34716000000000002</v>
      </c>
      <c r="H82" s="26">
        <f t="shared" si="94"/>
        <v>0.20580000000000001</v>
      </c>
      <c r="I82" s="26">
        <f t="shared" si="95"/>
        <v>0.26079999999999998</v>
      </c>
    </row>
    <row r="83" spans="1:11">
      <c r="A83" s="7">
        <v>120</v>
      </c>
      <c r="B83" s="26">
        <f t="shared" si="88"/>
        <v>0.15623999999999999</v>
      </c>
      <c r="C83" s="26">
        <f t="shared" si="89"/>
        <v>0.21844</v>
      </c>
      <c r="D83" s="26">
        <f t="shared" si="90"/>
        <v>0.33623999999999998</v>
      </c>
      <c r="E83" s="26">
        <f t="shared" si="93"/>
        <v>0.36196</v>
      </c>
      <c r="F83" s="26">
        <f t="shared" si="96"/>
        <v>0.25891999999999998</v>
      </c>
      <c r="G83" s="26">
        <f t="shared" si="97"/>
        <v>0.38532</v>
      </c>
      <c r="H83" s="26">
        <f t="shared" si="94"/>
        <v>0.25819999999999999</v>
      </c>
      <c r="I83" s="26">
        <f t="shared" si="95"/>
        <v>0.27736</v>
      </c>
    </row>
    <row r="84" spans="1:11">
      <c r="A84" s="15">
        <v>210</v>
      </c>
      <c r="B84" s="20">
        <f t="shared" si="88"/>
        <v>0.16136</v>
      </c>
      <c r="C84" s="20">
        <f t="shared" si="89"/>
        <v>0.19220000000000001</v>
      </c>
      <c r="D84" s="20">
        <f t="shared" si="90"/>
        <v>0.35799999999999998</v>
      </c>
      <c r="E84" s="20">
        <f t="shared" si="93"/>
        <v>0.38140000000000002</v>
      </c>
      <c r="F84" s="20">
        <f t="shared" si="96"/>
        <v>0.22972000000000001</v>
      </c>
      <c r="G84" s="20">
        <f t="shared" si="97"/>
        <v>0.42952000000000001</v>
      </c>
      <c r="H84" s="20">
        <f t="shared" si="94"/>
        <v>0.25024000000000002</v>
      </c>
      <c r="I84" s="20">
        <f t="shared" si="95"/>
        <v>0.28083999999999998</v>
      </c>
    </row>
    <row r="85" spans="1:11">
      <c r="A85" s="15">
        <v>300</v>
      </c>
      <c r="B85" s="20">
        <f t="shared" si="88"/>
        <v>0.17512</v>
      </c>
      <c r="C85" s="20">
        <f t="shared" si="89"/>
        <v>0.20412</v>
      </c>
      <c r="D85" s="20">
        <f t="shared" si="90"/>
        <v>0.39779999999999999</v>
      </c>
      <c r="E85" s="20">
        <f t="shared" si="93"/>
        <v>0.37831999999999999</v>
      </c>
      <c r="F85" s="20">
        <f t="shared" si="96"/>
        <v>0.24668000000000001</v>
      </c>
      <c r="G85" s="20">
        <f t="shared" si="97"/>
        <v>0.49120000000000003</v>
      </c>
      <c r="H85" s="20">
        <f t="shared" si="94"/>
        <v>0.28599999999999998</v>
      </c>
      <c r="I85" s="20">
        <f t="shared" si="95"/>
        <v>0.28639999999999999</v>
      </c>
    </row>
    <row r="87" spans="1:11">
      <c r="A87" s="23" t="s">
        <v>8</v>
      </c>
      <c r="B87" s="23"/>
      <c r="C87" s="23"/>
      <c r="D87" s="23"/>
      <c r="E87" s="23"/>
      <c r="F87" s="23"/>
      <c r="G87" s="23"/>
      <c r="H87" s="23"/>
      <c r="I87" s="23"/>
    </row>
    <row r="88" spans="1:11">
      <c r="A88" s="7" t="s">
        <v>28</v>
      </c>
      <c r="B88" s="7" t="s">
        <v>26</v>
      </c>
      <c r="C88" s="1" t="s">
        <v>1</v>
      </c>
      <c r="D88" s="12" t="s">
        <v>9</v>
      </c>
      <c r="E88" s="7" t="s">
        <v>10</v>
      </c>
      <c r="F88" s="7" t="s">
        <v>27</v>
      </c>
      <c r="G88" s="7" t="s">
        <v>11</v>
      </c>
      <c r="H88" s="12" t="s">
        <v>13</v>
      </c>
      <c r="I88" s="12" t="s">
        <v>14</v>
      </c>
      <c r="K88" s="14"/>
    </row>
    <row r="89" spans="1:11">
      <c r="A89" s="7">
        <v>5</v>
      </c>
      <c r="B89" s="27">
        <v>0.95689000000000002</v>
      </c>
      <c r="C89" s="27">
        <v>0.93411</v>
      </c>
      <c r="D89" s="27">
        <v>0.86512999999999995</v>
      </c>
      <c r="E89" s="27">
        <v>0.72528999999999999</v>
      </c>
      <c r="F89" s="27">
        <v>0.89946000000000004</v>
      </c>
      <c r="G89" s="27">
        <v>0.70791929208747495</v>
      </c>
      <c r="H89" s="27">
        <v>0.85780999999999996</v>
      </c>
      <c r="I89" s="27">
        <v>0.85840000000000005</v>
      </c>
      <c r="K89" s="14"/>
    </row>
    <row r="90" spans="1:11">
      <c r="A90" s="7">
        <v>7</v>
      </c>
      <c r="B90" s="27">
        <v>0.94306999999999996</v>
      </c>
      <c r="C90" s="27">
        <v>0.91678000000000004</v>
      </c>
      <c r="D90" s="27">
        <v>0.82981000000000005</v>
      </c>
      <c r="E90" s="27">
        <v>0.73355999999999999</v>
      </c>
      <c r="F90" s="27">
        <v>0.85477000000000003</v>
      </c>
      <c r="G90" s="27">
        <v>0.71392999999999995</v>
      </c>
      <c r="H90" s="27">
        <v>0.85809999999999997</v>
      </c>
      <c r="I90" s="27">
        <v>0.8448</v>
      </c>
      <c r="K90" s="14"/>
    </row>
    <row r="91" spans="1:11">
      <c r="A91" s="7">
        <v>15</v>
      </c>
      <c r="B91" s="27">
        <v>0.93542999999999998</v>
      </c>
      <c r="C91" s="27">
        <v>0.91476000000000002</v>
      </c>
      <c r="D91" s="27">
        <v>0.80928999999999995</v>
      </c>
      <c r="E91" s="27">
        <v>0.72060000000000002</v>
      </c>
      <c r="F91" s="27">
        <v>0.83586000000000005</v>
      </c>
      <c r="G91" s="27">
        <v>0.70198000000000005</v>
      </c>
      <c r="H91" s="27">
        <v>0.84943999999999997</v>
      </c>
      <c r="I91" s="27">
        <v>0.83774999999999999</v>
      </c>
      <c r="K91" s="14"/>
    </row>
    <row r="92" spans="1:11">
      <c r="A92" s="7">
        <v>30</v>
      </c>
      <c r="B92" s="27">
        <v>0.93064999999999998</v>
      </c>
      <c r="C92" s="27">
        <v>0.89910000000000001</v>
      </c>
      <c r="D92" s="27">
        <v>0.78664000000000001</v>
      </c>
      <c r="E92" s="27">
        <v>0.71726999999999996</v>
      </c>
      <c r="F92" s="27">
        <v>0.80744000000000005</v>
      </c>
      <c r="G92" s="27">
        <v>0.71892</v>
      </c>
      <c r="H92" s="27">
        <v>0.84375</v>
      </c>
      <c r="I92" s="27">
        <v>0.82806999999999997</v>
      </c>
      <c r="K92" s="14"/>
    </row>
    <row r="93" spans="1:11">
      <c r="A93" s="7">
        <v>45</v>
      </c>
      <c r="B93" s="27">
        <v>0.92681999999999998</v>
      </c>
      <c r="C93" s="27">
        <v>0.90349999999999997</v>
      </c>
      <c r="D93" s="27">
        <v>0.77695999999999998</v>
      </c>
      <c r="E93" s="27">
        <v>0.70113999999999999</v>
      </c>
      <c r="F93" s="27">
        <v>0.80718000000000001</v>
      </c>
      <c r="G93" s="27">
        <v>0.71747000000000005</v>
      </c>
      <c r="H93" s="27">
        <v>0.83753</v>
      </c>
      <c r="I93" s="27">
        <v>0.80278000000000005</v>
      </c>
      <c r="K93" s="8"/>
    </row>
    <row r="94" spans="1:11">
      <c r="A94" s="7">
        <v>60</v>
      </c>
      <c r="B94" s="27">
        <v>0.92371000000000003</v>
      </c>
      <c r="C94" s="27">
        <v>0.89234999999999998</v>
      </c>
      <c r="D94" s="27">
        <v>0.75841000000000003</v>
      </c>
      <c r="E94" s="27">
        <v>0.70316000000000001</v>
      </c>
      <c r="F94" s="27">
        <v>0.78651000000000004</v>
      </c>
      <c r="G94" s="27">
        <v>0.70267999999999997</v>
      </c>
      <c r="H94" s="27">
        <v>0.81972999999999996</v>
      </c>
      <c r="I94" s="27">
        <v>0.78693000000000002</v>
      </c>
    </row>
    <row r="95" spans="1:11">
      <c r="A95" s="7">
        <v>90</v>
      </c>
      <c r="B95" s="27">
        <v>0.92574999999999996</v>
      </c>
      <c r="C95" s="27">
        <v>0.89124999999999999</v>
      </c>
      <c r="D95" s="27">
        <v>0.74522999999999995</v>
      </c>
      <c r="E95" s="27">
        <v>0.70955999999999997</v>
      </c>
      <c r="F95" s="27">
        <v>0.79618999999999995</v>
      </c>
      <c r="G95" s="27">
        <v>0.70533000000000001</v>
      </c>
      <c r="H95" s="27">
        <v>0.79840999999999995</v>
      </c>
      <c r="I95" s="27">
        <v>0.78202000000000005</v>
      </c>
    </row>
    <row r="96" spans="1:11">
      <c r="A96" s="7">
        <v>120</v>
      </c>
      <c r="B96" s="27">
        <v>0.92152999999999996</v>
      </c>
      <c r="C96" s="27">
        <v>0.87983999999999996</v>
      </c>
      <c r="D96" s="27">
        <v>0.72160999999999997</v>
      </c>
      <c r="E96" s="27">
        <v>0.69764999999999999</v>
      </c>
      <c r="F96" s="27">
        <v>0.77702000000000004</v>
      </c>
      <c r="G96" s="27">
        <v>0.68744000000000005</v>
      </c>
      <c r="H96" s="27">
        <v>0.78949000000000003</v>
      </c>
      <c r="I96" s="27">
        <v>0.77110000000000001</v>
      </c>
    </row>
    <row r="97" spans="1:10">
      <c r="A97" s="15">
        <v>210</v>
      </c>
      <c r="B97" s="17">
        <v>0.86329</v>
      </c>
      <c r="C97" s="17">
        <v>0.82008000000000003</v>
      </c>
      <c r="D97" s="17">
        <v>0.64510000000000001</v>
      </c>
      <c r="E97" s="17">
        <v>0.63668000000000002</v>
      </c>
      <c r="F97" s="17">
        <v>0.75807000000000002</v>
      </c>
      <c r="G97" s="17">
        <v>0.63480999999999999</v>
      </c>
      <c r="H97" s="17">
        <v>0.74075999999999997</v>
      </c>
      <c r="I97" s="17">
        <v>0.71943999999999997</v>
      </c>
    </row>
    <row r="98" spans="1:10">
      <c r="A98" s="15">
        <v>300</v>
      </c>
      <c r="B98" s="17">
        <v>0.85024</v>
      </c>
      <c r="C98" s="17">
        <v>0.80245</v>
      </c>
      <c r="D98" s="17">
        <v>0.62100999999999995</v>
      </c>
      <c r="E98" s="17">
        <v>0.60589000000000004</v>
      </c>
      <c r="F98" s="17">
        <v>0.74251</v>
      </c>
      <c r="G98" s="17">
        <v>0.60658000000000001</v>
      </c>
      <c r="H98" s="17">
        <v>0.72160000000000002</v>
      </c>
      <c r="I98" s="17">
        <v>0.70650000000000002</v>
      </c>
    </row>
    <row r="101" spans="1:10">
      <c r="A101" s="24" t="s">
        <v>15</v>
      </c>
      <c r="B101" s="24"/>
      <c r="C101" s="24"/>
      <c r="D101" s="24"/>
      <c r="E101" s="24"/>
      <c r="F101" s="24"/>
      <c r="G101" s="24"/>
      <c r="H101" s="24"/>
    </row>
    <row r="102" spans="1:10">
      <c r="A102" s="21" t="s">
        <v>16</v>
      </c>
      <c r="B102" s="21" t="s">
        <v>17</v>
      </c>
      <c r="C102" s="21" t="s">
        <v>18</v>
      </c>
      <c r="D102" s="21" t="s">
        <v>27</v>
      </c>
      <c r="E102" s="21" t="s">
        <v>26</v>
      </c>
      <c r="F102" s="21" t="s">
        <v>19</v>
      </c>
      <c r="G102" s="21" t="s">
        <v>20</v>
      </c>
      <c r="H102" s="21" t="s">
        <v>21</v>
      </c>
    </row>
    <row r="103" spans="1:10">
      <c r="A103" s="22">
        <v>1.29</v>
      </c>
      <c r="B103" s="22">
        <v>46</v>
      </c>
      <c r="C103" s="22">
        <v>0.06</v>
      </c>
      <c r="D103" s="22">
        <v>0.12</v>
      </c>
      <c r="E103" s="22">
        <v>12.3</v>
      </c>
      <c r="F103" s="22">
        <v>3.3</v>
      </c>
      <c r="G103" s="22">
        <v>4.7</v>
      </c>
      <c r="H103" s="22">
        <v>10.1</v>
      </c>
    </row>
    <row r="105" spans="1:10">
      <c r="A105" s="23" t="s">
        <v>22</v>
      </c>
      <c r="B105" s="23"/>
      <c r="C105" s="23" t="s">
        <v>24</v>
      </c>
      <c r="D105" s="23"/>
      <c r="E105" s="23"/>
    </row>
    <row r="106" spans="1:10">
      <c r="A106" s="23" t="s">
        <v>23</v>
      </c>
      <c r="B106" s="23"/>
      <c r="C106" s="23">
        <f>ROUND((4123556-4103196)/(32000-10000)*40000+4103196,0)</f>
        <v>4140214</v>
      </c>
      <c r="D106" s="23"/>
      <c r="E106" s="23"/>
      <c r="F106" s="23" t="s">
        <v>25</v>
      </c>
      <c r="G106" s="23"/>
      <c r="H106" s="23"/>
      <c r="I106" s="23"/>
      <c r="J106" s="23"/>
    </row>
  </sheetData>
  <mergeCells count="49">
    <mergeCell ref="A101:H101"/>
    <mergeCell ref="A105:B105"/>
    <mergeCell ref="A106:B106"/>
    <mergeCell ref="C105:E105"/>
    <mergeCell ref="C106:E106"/>
    <mergeCell ref="F106:J106"/>
    <mergeCell ref="A31:S31"/>
    <mergeCell ref="B2:D2"/>
    <mergeCell ref="E2:G2"/>
    <mergeCell ref="H2:J2"/>
    <mergeCell ref="A2:A3"/>
    <mergeCell ref="N2:P2"/>
    <mergeCell ref="Q2:S2"/>
    <mergeCell ref="A74:I74"/>
    <mergeCell ref="A87:I87"/>
    <mergeCell ref="A16:S16"/>
    <mergeCell ref="K2:M2"/>
    <mergeCell ref="K17:M17"/>
    <mergeCell ref="K32:M32"/>
    <mergeCell ref="K47:M47"/>
    <mergeCell ref="A47:A48"/>
    <mergeCell ref="B47:D47"/>
    <mergeCell ref="E47:G47"/>
    <mergeCell ref="H47:J47"/>
    <mergeCell ref="Q17:S17"/>
    <mergeCell ref="Q32:S32"/>
    <mergeCell ref="N47:P47"/>
    <mergeCell ref="Q47:S47"/>
    <mergeCell ref="A46:S46"/>
    <mergeCell ref="T2:V2"/>
    <mergeCell ref="W2:Y2"/>
    <mergeCell ref="A1:Y1"/>
    <mergeCell ref="T17:V17"/>
    <mergeCell ref="W17:Y17"/>
    <mergeCell ref="N17:P17"/>
    <mergeCell ref="A17:A18"/>
    <mergeCell ref="B17:D17"/>
    <mergeCell ref="E17:G17"/>
    <mergeCell ref="H17:J17"/>
    <mergeCell ref="T32:V32"/>
    <mergeCell ref="W32:Y32"/>
    <mergeCell ref="T47:V47"/>
    <mergeCell ref="W47:Y47"/>
    <mergeCell ref="A61:I61"/>
    <mergeCell ref="N32:P32"/>
    <mergeCell ref="E32:G32"/>
    <mergeCell ref="A32:A33"/>
    <mergeCell ref="B32:D32"/>
    <mergeCell ref="H32:J32"/>
  </mergeCells>
  <phoneticPr fontId="2" type="noConversion"/>
  <pageMargins left="0.7" right="0.7" top="0.75" bottom="0.75" header="0.3" footer="0.3"/>
  <pageSetup paperSize="9" orientation="portrait" horizontalDpi="1200" verticalDpi="1200" r:id="rId1"/>
  <ignoredErrors>
    <ignoredError sqref="H6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E6DE-8284-4D84-8D46-940D4AD78428}">
  <dimension ref="A1:I11"/>
  <sheetViews>
    <sheetView workbookViewId="0">
      <selection activeCell="H4" sqref="H4:I11"/>
    </sheetView>
  </sheetViews>
  <sheetFormatPr defaultRowHeight="14.25"/>
  <sheetData>
    <row r="1" spans="1:9">
      <c r="A1" t="s">
        <v>29</v>
      </c>
    </row>
    <row r="2" spans="1:9">
      <c r="A2" t="s">
        <v>28</v>
      </c>
      <c r="B2" t="s">
        <v>26</v>
      </c>
      <c r="C2" t="s">
        <v>16</v>
      </c>
      <c r="D2" t="s">
        <v>17</v>
      </c>
      <c r="E2" t="s">
        <v>18</v>
      </c>
      <c r="F2" t="s">
        <v>27</v>
      </c>
      <c r="G2" t="s">
        <v>19</v>
      </c>
      <c r="H2" t="s">
        <v>20</v>
      </c>
      <c r="I2" t="s">
        <v>21</v>
      </c>
    </row>
    <row r="3" spans="1:9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</row>
    <row r="4" spans="1:9">
      <c r="A4">
        <v>5</v>
      </c>
      <c r="B4" s="28">
        <v>0.90589499997240297</v>
      </c>
      <c r="C4" s="28">
        <v>0.83725087824672106</v>
      </c>
      <c r="D4" s="28">
        <v>0.77409642047280469</v>
      </c>
      <c r="E4" s="28">
        <v>0.67073185864841822</v>
      </c>
      <c r="F4" s="28">
        <v>0.81321129728549368</v>
      </c>
      <c r="G4" s="28">
        <v>0.65669520434392448</v>
      </c>
      <c r="H4" s="28">
        <v>0.81080712731128968</v>
      </c>
      <c r="I4" s="28">
        <v>0.80497218621696331</v>
      </c>
    </row>
    <row r="5" spans="1:9">
      <c r="A5">
        <v>7</v>
      </c>
      <c r="B5" s="28">
        <v>0.89557869400652046</v>
      </c>
      <c r="C5" s="28">
        <v>0.84146870533409091</v>
      </c>
      <c r="D5" s="28">
        <v>0.78902012122714349</v>
      </c>
      <c r="E5" s="28">
        <v>0.67315245955427672</v>
      </c>
      <c r="F5" s="28">
        <v>0.81099179679989108</v>
      </c>
      <c r="G5" s="28">
        <v>0.66174830280111407</v>
      </c>
      <c r="H5" s="28">
        <v>0.80754323047203913</v>
      </c>
      <c r="I5" s="28">
        <v>0.81087948314551328</v>
      </c>
    </row>
    <row r="6" spans="1:9">
      <c r="A6">
        <v>15</v>
      </c>
      <c r="B6" s="28">
        <v>0.89141350399353847</v>
      </c>
      <c r="C6" s="28">
        <v>0.82517639757241634</v>
      </c>
      <c r="D6" s="28">
        <v>0.77832545733427727</v>
      </c>
      <c r="E6" s="28">
        <v>0.67553416470330552</v>
      </c>
      <c r="F6" s="28">
        <v>0.80162885893065838</v>
      </c>
      <c r="G6" s="28">
        <v>0.66418793904523454</v>
      </c>
      <c r="H6" s="28">
        <v>0.80221673902069646</v>
      </c>
      <c r="I6" s="28">
        <v>0.80138738902856721</v>
      </c>
    </row>
    <row r="7" spans="1:9">
      <c r="A7">
        <v>30</v>
      </c>
      <c r="B7" s="28">
        <v>0.88294528601910871</v>
      </c>
      <c r="C7" s="28">
        <v>0.81168446942766392</v>
      </c>
      <c r="D7" s="28">
        <v>0.75946913109254754</v>
      </c>
      <c r="E7" s="28">
        <v>0.66184116973689378</v>
      </c>
      <c r="F7" s="28">
        <v>0.77601360537108821</v>
      </c>
      <c r="G7" s="28">
        <v>0.6603273867262478</v>
      </c>
      <c r="H7" s="28">
        <v>0.80128345542812207</v>
      </c>
      <c r="I7" s="28">
        <v>0.78822999987313358</v>
      </c>
    </row>
    <row r="8" spans="1:9">
      <c r="A8">
        <v>45</v>
      </c>
      <c r="B8" s="28">
        <v>0.87082019906575958</v>
      </c>
      <c r="C8" s="28">
        <v>0.81204913462523531</v>
      </c>
      <c r="D8" s="28">
        <v>0.72844754797745603</v>
      </c>
      <c r="E8" s="28">
        <v>0.65880000000000005</v>
      </c>
      <c r="F8" s="28">
        <v>0.75351421355705583</v>
      </c>
      <c r="G8" s="28">
        <v>0.64899910450054543</v>
      </c>
      <c r="H8" s="28">
        <v>0.78239999999999998</v>
      </c>
      <c r="I8" s="28">
        <v>0.76384723578619396</v>
      </c>
    </row>
    <row r="9" spans="1:9">
      <c r="A9">
        <v>60</v>
      </c>
      <c r="B9" s="28">
        <v>0.87098020722949654</v>
      </c>
      <c r="C9" s="28">
        <v>0.7922786620403619</v>
      </c>
      <c r="D9" s="28">
        <v>0.72076549617982011</v>
      </c>
      <c r="E9" s="28">
        <v>0.67137839910762032</v>
      </c>
      <c r="F9" s="28">
        <v>0.74763487409510965</v>
      </c>
      <c r="G9" s="28">
        <v>0.65713923030371235</v>
      </c>
      <c r="H9" s="28">
        <v>0.7770144891354005</v>
      </c>
      <c r="I9" s="28">
        <v>0.74247885539613379</v>
      </c>
    </row>
    <row r="10" spans="1:9">
      <c r="A10">
        <v>90</v>
      </c>
      <c r="B10" s="28">
        <v>0.8612747981003831</v>
      </c>
      <c r="C10" s="28">
        <v>0.79608194558478362</v>
      </c>
      <c r="D10" s="28">
        <v>0.71046408914764103</v>
      </c>
      <c r="E10" s="28">
        <v>0.67229338187074239</v>
      </c>
      <c r="F10" s="28">
        <v>0.74416430944927936</v>
      </c>
      <c r="G10" s="28">
        <v>0.66570611847619399</v>
      </c>
      <c r="H10" s="28">
        <v>0.76325660785019811</v>
      </c>
      <c r="I10" s="28">
        <v>0.74196423623278251</v>
      </c>
    </row>
    <row r="11" spans="1:9">
      <c r="A11">
        <v>120</v>
      </c>
      <c r="B11" s="28">
        <v>0.85213939443475539</v>
      </c>
      <c r="C11" s="28">
        <v>0.78111119990085909</v>
      </c>
      <c r="D11" s="28">
        <v>0.69707946532185272</v>
      </c>
      <c r="E11" s="28">
        <v>0.66502189996602801</v>
      </c>
      <c r="F11" s="28">
        <v>0.72939875927468056</v>
      </c>
      <c r="G11" s="28">
        <v>0.66784807812095826</v>
      </c>
      <c r="H11" s="28">
        <v>0.76261908182795413</v>
      </c>
      <c r="I11" s="28">
        <v>0.73563734649078094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4F37-9F65-443B-8C3A-B2E1A3CA2D6C}">
  <dimension ref="A1:Q11"/>
  <sheetViews>
    <sheetView workbookViewId="0">
      <selection activeCell="A2" sqref="A2:Q11"/>
    </sheetView>
  </sheetViews>
  <sheetFormatPr defaultRowHeight="14.25"/>
  <sheetData>
    <row r="1" spans="1:17">
      <c r="A1" t="s">
        <v>30</v>
      </c>
    </row>
    <row r="2" spans="1:17">
      <c r="A2" t="s">
        <v>28</v>
      </c>
      <c r="B2" t="s">
        <v>26</v>
      </c>
      <c r="D2" t="s">
        <v>16</v>
      </c>
      <c r="F2" t="s">
        <v>17</v>
      </c>
      <c r="H2" t="s">
        <v>18</v>
      </c>
      <c r="J2" t="s">
        <v>27</v>
      </c>
      <c r="L2" t="s">
        <v>19</v>
      </c>
      <c r="N2" t="s">
        <v>20</v>
      </c>
      <c r="P2" t="s">
        <v>21</v>
      </c>
    </row>
    <row r="3" spans="1:17">
      <c r="B3" t="s">
        <v>31</v>
      </c>
      <c r="C3" t="s">
        <v>32</v>
      </c>
      <c r="D3" t="s">
        <v>31</v>
      </c>
      <c r="E3" t="s">
        <v>32</v>
      </c>
      <c r="F3" t="s">
        <v>31</v>
      </c>
      <c r="G3" t="s">
        <v>32</v>
      </c>
      <c r="H3" t="s">
        <v>31</v>
      </c>
      <c r="I3" t="s">
        <v>32</v>
      </c>
      <c r="J3" t="s">
        <v>31</v>
      </c>
      <c r="K3" t="s">
        <v>32</v>
      </c>
      <c r="L3" t="s">
        <v>31</v>
      </c>
      <c r="M3" t="s">
        <v>32</v>
      </c>
      <c r="N3" t="s">
        <v>31</v>
      </c>
      <c r="O3" t="s">
        <v>32</v>
      </c>
      <c r="P3" t="s">
        <v>31</v>
      </c>
      <c r="Q3" t="s">
        <v>32</v>
      </c>
    </row>
    <row r="4" spans="1:17">
      <c r="A4">
        <v>5</v>
      </c>
      <c r="B4" s="28">
        <v>0.90588999999999997</v>
      </c>
      <c r="C4" s="28">
        <v>0.90571000000000002</v>
      </c>
      <c r="D4" s="28">
        <v>0.82445519999999994</v>
      </c>
      <c r="E4" s="28">
        <v>0.86093096000000002</v>
      </c>
      <c r="F4" s="28">
        <v>0.75109599999999987</v>
      </c>
      <c r="G4" s="28">
        <v>0.78424600000000011</v>
      </c>
      <c r="H4" s="28">
        <v>0.68532199999999999</v>
      </c>
      <c r="I4" s="28">
        <v>0.66963600000000001</v>
      </c>
      <c r="J4" s="28">
        <v>0.79722670000000007</v>
      </c>
      <c r="K4" s="28">
        <v>0.82310659999999991</v>
      </c>
      <c r="L4" s="28">
        <v>0.68003999999999998</v>
      </c>
      <c r="M4" s="28">
        <v>0.65732000000000002</v>
      </c>
      <c r="N4" s="28">
        <v>0.79964999999999997</v>
      </c>
      <c r="O4" s="28">
        <v>0.81766000000000005</v>
      </c>
      <c r="P4" s="28">
        <v>0.80347000000000002</v>
      </c>
      <c r="Q4" s="28">
        <v>0.80613999999999997</v>
      </c>
    </row>
    <row r="5" spans="1:17">
      <c r="A5">
        <v>7</v>
      </c>
      <c r="B5" s="28">
        <v>0.88822999999999996</v>
      </c>
      <c r="C5" s="28">
        <v>0.89183000000000001</v>
      </c>
      <c r="D5" s="28">
        <v>0.82399459999999991</v>
      </c>
      <c r="E5" s="28">
        <v>0.86066399999999987</v>
      </c>
      <c r="F5" s="28">
        <v>0.75379399999999996</v>
      </c>
      <c r="G5" s="28">
        <v>0.77862600000000004</v>
      </c>
      <c r="H5" s="28">
        <v>0.6900639999999999</v>
      </c>
      <c r="I5" s="28">
        <v>0.67615000000000003</v>
      </c>
      <c r="J5" s="28">
        <v>0.7949447999999999</v>
      </c>
      <c r="K5" s="28">
        <v>0.82262020000000002</v>
      </c>
      <c r="L5" s="28">
        <v>0.68342999999999998</v>
      </c>
      <c r="M5" s="28">
        <v>0.66359000000000001</v>
      </c>
      <c r="N5" s="28">
        <v>0.80388000000000004</v>
      </c>
      <c r="O5" s="28">
        <v>0.80715000000000003</v>
      </c>
      <c r="P5" s="28">
        <v>0.79896</v>
      </c>
      <c r="Q5" s="28">
        <v>0.79862999999999995</v>
      </c>
    </row>
    <row r="6" spans="1:17">
      <c r="A6">
        <v>15</v>
      </c>
      <c r="B6" s="28">
        <v>0.88658000000000003</v>
      </c>
      <c r="C6" s="28">
        <v>0.88566999999999996</v>
      </c>
      <c r="D6" s="28">
        <v>0.81142679999999989</v>
      </c>
      <c r="E6" s="28">
        <v>0.85724239999999996</v>
      </c>
      <c r="F6" s="28">
        <v>0.74657200000000001</v>
      </c>
      <c r="G6" s="28">
        <v>0.75409799999999994</v>
      </c>
      <c r="H6" s="28">
        <v>0.68667400000000001</v>
      </c>
      <c r="I6" s="28">
        <v>0.67383999999999999</v>
      </c>
      <c r="J6" s="28">
        <v>0.79066600000000009</v>
      </c>
      <c r="K6" s="28">
        <v>0.80472980000000005</v>
      </c>
      <c r="L6" s="28">
        <v>0.68164799999999992</v>
      </c>
      <c r="M6" s="28">
        <v>0.66327000000000003</v>
      </c>
      <c r="N6" s="28">
        <v>0.79388999999999998</v>
      </c>
      <c r="O6" s="28">
        <v>0.79861000000000004</v>
      </c>
      <c r="P6" s="28">
        <v>0.79464999999999997</v>
      </c>
      <c r="Q6" s="28">
        <v>0.79698999999999998</v>
      </c>
    </row>
    <row r="7" spans="1:17">
      <c r="A7">
        <v>30</v>
      </c>
      <c r="B7" s="28">
        <v>0.88449599999999995</v>
      </c>
      <c r="C7" s="28">
        <v>0.85869459999999997</v>
      </c>
      <c r="D7" s="28">
        <v>0.8002032</v>
      </c>
      <c r="E7" s="28">
        <v>0.83377999999999997</v>
      </c>
      <c r="F7" s="28">
        <v>0.73740000000000006</v>
      </c>
      <c r="G7" s="28">
        <v>0.73063</v>
      </c>
      <c r="H7" s="28">
        <v>0.6768320000000001</v>
      </c>
      <c r="I7" s="28">
        <v>0.67217400000000005</v>
      </c>
      <c r="J7" s="28">
        <v>0.76924730000000008</v>
      </c>
      <c r="K7" s="28">
        <v>0.77609490000000003</v>
      </c>
      <c r="L7" s="28">
        <v>0.67432400000000003</v>
      </c>
      <c r="M7" s="28">
        <v>0.66389600000000004</v>
      </c>
      <c r="N7" s="28">
        <v>0.80357999999999996</v>
      </c>
      <c r="O7" s="28">
        <v>0.79129000000000005</v>
      </c>
      <c r="P7" s="28">
        <v>0.78822000000000003</v>
      </c>
      <c r="Q7" s="28">
        <v>0.78837999999999997</v>
      </c>
    </row>
    <row r="8" spans="1:17">
      <c r="A8">
        <v>45</v>
      </c>
      <c r="B8" s="28">
        <v>0.86441599999999996</v>
      </c>
      <c r="C8" s="28">
        <v>0.86950000000000005</v>
      </c>
      <c r="D8" s="28">
        <v>0.80479040000000002</v>
      </c>
      <c r="E8" s="28">
        <v>0.81099439999999989</v>
      </c>
      <c r="F8" s="28">
        <v>0.71104800000000012</v>
      </c>
      <c r="G8" s="28">
        <v>0.71745800000000004</v>
      </c>
      <c r="H8" s="28">
        <v>0.65880000000000005</v>
      </c>
      <c r="I8" s="28">
        <v>0.66120000000000001</v>
      </c>
      <c r="J8" s="28">
        <v>0.76043319999999992</v>
      </c>
      <c r="K8" s="28">
        <v>0.75737989999999999</v>
      </c>
      <c r="L8" s="28">
        <v>0.68513999999999997</v>
      </c>
      <c r="M8" s="28">
        <v>0.6522380000000001</v>
      </c>
      <c r="N8" s="28">
        <v>0.78239999999999998</v>
      </c>
      <c r="O8" s="28">
        <v>0.79300000000000004</v>
      </c>
      <c r="P8" s="28">
        <v>0.75970000000000004</v>
      </c>
      <c r="Q8" s="28">
        <v>0.75788</v>
      </c>
    </row>
    <row r="9" spans="1:17">
      <c r="A9">
        <v>60</v>
      </c>
      <c r="B9" s="28">
        <v>0.86550999999999989</v>
      </c>
      <c r="C9" s="28">
        <v>0.8634639999999999</v>
      </c>
      <c r="D9" s="28">
        <v>0.79364199999999996</v>
      </c>
      <c r="E9" s="28">
        <v>0.80188579999999998</v>
      </c>
      <c r="F9" s="28">
        <v>0.6995039999999999</v>
      </c>
      <c r="G9" s="28">
        <v>0.70289200000000007</v>
      </c>
      <c r="H9" s="28">
        <v>0.66392600000000002</v>
      </c>
      <c r="I9" s="28">
        <v>0.66841600000000001</v>
      </c>
      <c r="J9" s="28">
        <v>0.75195919999999994</v>
      </c>
      <c r="K9" s="28">
        <v>0.74813449999999992</v>
      </c>
      <c r="L9" s="28">
        <v>0.67620400000000003</v>
      </c>
      <c r="M9" s="28">
        <v>0.65837400000000001</v>
      </c>
      <c r="N9" s="28">
        <v>0.78332999999999997</v>
      </c>
      <c r="O9" s="28">
        <v>0.77146000000000003</v>
      </c>
      <c r="P9" s="28">
        <v>0.75266999999999995</v>
      </c>
      <c r="Q9" s="28">
        <v>0.73694999999999999</v>
      </c>
    </row>
    <row r="10" spans="1:17">
      <c r="A10">
        <v>90</v>
      </c>
      <c r="B10" s="28">
        <v>0.85434299999999996</v>
      </c>
      <c r="C10" s="28">
        <v>0.86442200000000002</v>
      </c>
      <c r="D10" s="28">
        <v>0.79153640000000003</v>
      </c>
      <c r="E10" s="28">
        <v>0.80454599999999998</v>
      </c>
      <c r="F10" s="28">
        <v>0.68497800000000009</v>
      </c>
      <c r="G10" s="28">
        <v>0.68615800000000005</v>
      </c>
      <c r="H10" s="28">
        <v>0.66154200000000007</v>
      </c>
      <c r="I10" s="28">
        <v>0.67014200000000002</v>
      </c>
      <c r="J10" s="28">
        <v>0.75051520000000005</v>
      </c>
      <c r="K10" s="28">
        <v>0.74416919999999998</v>
      </c>
      <c r="L10" s="28">
        <v>0.66010800000000003</v>
      </c>
      <c r="M10" s="28">
        <v>0.66420199999999996</v>
      </c>
      <c r="N10" s="28">
        <v>0.78154999999999997</v>
      </c>
      <c r="O10" s="28">
        <v>0.75946000000000002</v>
      </c>
      <c r="P10" s="28">
        <v>0.73855999999999999</v>
      </c>
      <c r="Q10" s="28">
        <v>0.74611000000000005</v>
      </c>
    </row>
    <row r="11" spans="1:17">
      <c r="A11">
        <v>120</v>
      </c>
      <c r="B11" s="28">
        <v>0.84949529999999995</v>
      </c>
      <c r="C11" s="28">
        <v>0.84906199999999998</v>
      </c>
      <c r="D11" s="28">
        <v>0.78110239999999997</v>
      </c>
      <c r="E11" s="28">
        <v>0.78155359999999996</v>
      </c>
      <c r="F11" s="28">
        <v>0.67278000000000004</v>
      </c>
      <c r="G11" s="28">
        <v>0.66559999999999997</v>
      </c>
      <c r="H11" s="28">
        <v>0.65282799999999996</v>
      </c>
      <c r="I11" s="28">
        <v>0.66329000000000005</v>
      </c>
      <c r="J11" s="28">
        <v>0.73570469999999988</v>
      </c>
      <c r="K11" s="28">
        <v>0.7286689999999999</v>
      </c>
      <c r="L11" s="28">
        <v>0.64345799999999997</v>
      </c>
      <c r="M11" s="28">
        <v>0.66725800000000002</v>
      </c>
      <c r="N11" s="28">
        <v>0.75044</v>
      </c>
      <c r="O11" s="28">
        <v>0.76710999999999996</v>
      </c>
      <c r="P11" s="28">
        <v>0.72865000000000002</v>
      </c>
      <c r="Q11" s="28">
        <v>0.73690999999999995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zixiao chen</dc:creator>
  <cp:lastModifiedBy>卢熠辉</cp:lastModifiedBy>
  <dcterms:created xsi:type="dcterms:W3CDTF">2022-03-30T11:24:06Z</dcterms:created>
  <dcterms:modified xsi:type="dcterms:W3CDTF">2022-04-04T13:12:47Z</dcterms:modified>
</cp:coreProperties>
</file>