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668" codeName="{C74EF38D-198D-F2B1-A963-D0AE11F4D965}"/>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'Calc-Master'!$Q$11:$Q$43</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Daten!$A$4:$AQ$82</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'Calc-Master'!$O$11:$O$43</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8" i="52" l="1"/>
  <c r="W78" i="52"/>
  <c r="X78" i="52" l="1"/>
  <c r="Z78" i="52"/>
  <c r="B355" i="42"/>
  <c r="B353" i="42"/>
  <c r="B351" i="42"/>
  <c r="G349" i="42"/>
  <c r="F349" i="42"/>
  <c r="H9" i="12"/>
  <c r="H8" i="12"/>
  <c r="Q182" i="53"/>
  <c r="D182" i="53"/>
  <c r="AD179" i="53"/>
  <c r="Q179" i="53"/>
  <c r="D179" i="53"/>
  <c r="L69" i="53"/>
  <c r="L24" i="53"/>
  <c r="Y77" i="52" l="1"/>
  <c r="Z77" i="52" s="1"/>
  <c r="W77" i="52"/>
  <c r="Y79" i="52"/>
  <c r="Z79" i="52" s="1"/>
  <c r="W79" i="52"/>
  <c r="Y80" i="52"/>
  <c r="Z80" i="52" s="1"/>
  <c r="W80" i="52"/>
  <c r="Y75" i="52"/>
  <c r="Z75" i="52" s="1"/>
  <c r="W75" i="52"/>
  <c r="Y76" i="52"/>
  <c r="W76" i="52"/>
  <c r="Y66" i="52"/>
  <c r="Z66" i="52" s="1"/>
  <c r="W66" i="52"/>
  <c r="Y69" i="52"/>
  <c r="Z69" i="52" s="1"/>
  <c r="W69" i="52"/>
  <c r="Y73" i="52"/>
  <c r="Z73" i="52" s="1"/>
  <c r="W73" i="52"/>
  <c r="Y72" i="52"/>
  <c r="Z72" i="52" s="1"/>
  <c r="W72" i="52"/>
  <c r="Y74" i="52"/>
  <c r="Z74" i="52" s="1"/>
  <c r="W74" i="52"/>
  <c r="Y67" i="52"/>
  <c r="Z67" i="52" s="1"/>
  <c r="W67" i="52"/>
  <c r="Y68" i="52"/>
  <c r="Z68" i="52" s="1"/>
  <c r="W68" i="52"/>
  <c r="Y60" i="52"/>
  <c r="Z60" i="52" s="1"/>
  <c r="W60" i="52"/>
  <c r="X60" i="52" s="1"/>
  <c r="Y53" i="52"/>
  <c r="Z53" i="52" s="1"/>
  <c r="W53" i="52"/>
  <c r="Y59" i="52"/>
  <c r="Z59" i="52" s="1"/>
  <c r="W59" i="52"/>
  <c r="Y61" i="52"/>
  <c r="Z61" i="52" s="1"/>
  <c r="W61" i="52"/>
  <c r="Y62" i="52"/>
  <c r="Z62" i="52" s="1"/>
  <c r="W62" i="52"/>
  <c r="X62" i="52" s="1"/>
  <c r="Y63" i="52"/>
  <c r="Z63" i="52" s="1"/>
  <c r="W63" i="52"/>
  <c r="Y64" i="52"/>
  <c r="Z64" i="52" s="1"/>
  <c r="W64" i="52"/>
  <c r="X64" i="52" s="1"/>
  <c r="Y65" i="52"/>
  <c r="Z65" i="52" s="1"/>
  <c r="W65" i="52"/>
  <c r="Y70" i="52"/>
  <c r="Z70" i="52" s="1"/>
  <c r="W70" i="52"/>
  <c r="X63" i="52" l="1"/>
  <c r="X53" i="52"/>
  <c r="X65" i="52"/>
  <c r="X74" i="52"/>
  <c r="X68" i="52"/>
  <c r="X59" i="52"/>
  <c r="X61" i="52"/>
  <c r="X70" i="52"/>
  <c r="X69" i="52"/>
  <c r="X73" i="52"/>
  <c r="X77" i="52"/>
  <c r="X76" i="52"/>
  <c r="X80" i="52"/>
  <c r="X79" i="52"/>
  <c r="X67" i="52"/>
  <c r="Z76" i="52"/>
  <c r="X72" i="52"/>
  <c r="X66" i="52"/>
  <c r="X75" i="52"/>
  <c r="Y71" i="52"/>
  <c r="Z71" i="52" s="1"/>
  <c r="W71" i="52"/>
  <c r="X71" i="52" l="1"/>
  <c r="Y50" i="52"/>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8" i="52"/>
  <c r="W58" i="52"/>
  <c r="M58" i="52"/>
  <c r="Y57" i="52"/>
  <c r="Z57" i="52" s="1"/>
  <c r="W57" i="52"/>
  <c r="M57" i="52"/>
  <c r="Y56" i="52"/>
  <c r="Z56" i="52" s="1"/>
  <c r="W56" i="52"/>
  <c r="M56" i="52"/>
  <c r="Y55" i="52"/>
  <c r="Z55" i="52" s="1"/>
  <c r="W55" i="52"/>
  <c r="M55" i="52"/>
  <c r="Y54" i="52"/>
  <c r="Z54" i="52" s="1"/>
  <c r="W54" i="52"/>
  <c r="Y52" i="52"/>
  <c r="Z52" i="52" s="1"/>
  <c r="W52" i="52"/>
  <c r="M52" i="52"/>
  <c r="Y51" i="52"/>
  <c r="Z51" i="52" s="1"/>
  <c r="W51" i="52"/>
  <c r="M51" i="52"/>
  <c r="Z49" i="52"/>
  <c r="Y49" i="52"/>
  <c r="W49" i="52"/>
  <c r="Y48" i="52"/>
  <c r="Z48" i="52" s="1"/>
  <c r="W48" i="52"/>
  <c r="Y47" i="52"/>
  <c r="Z47" i="52" s="1"/>
  <c r="W47" i="52"/>
  <c r="R47" i="52"/>
  <c r="Y46" i="52"/>
  <c r="W46" i="52"/>
  <c r="Y45" i="52"/>
  <c r="Z45" i="52" s="1"/>
  <c r="W45" i="52"/>
  <c r="Y44" i="52"/>
  <c r="Z44" i="52" s="1"/>
  <c r="W44" i="52"/>
  <c r="Y43" i="52"/>
  <c r="W43" i="52"/>
  <c r="Z42" i="52"/>
  <c r="Y42" i="52"/>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H6" i="17"/>
  <c r="AA21" i="52"/>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AC21" i="5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T21" i="52"/>
  <c r="U21" i="52"/>
  <c r="N40" i="52"/>
  <c r="AC10" i="52"/>
  <c r="S21" i="52"/>
  <c r="AC9" i="52"/>
  <c r="E68" i="9"/>
  <c r="B32" i="26"/>
  <c r="C20" i="26"/>
  <c r="B21" i="56"/>
  <c r="F35" i="9"/>
  <c r="F45" i="26"/>
  <c r="G35" i="9"/>
  <c r="M184" i="54"/>
  <c r="A77" i="2"/>
  <c r="P7" i="8"/>
  <c r="G61" i="2"/>
  <c r="M142" i="54"/>
  <c r="A7" i="42"/>
  <c r="AF21" i="52"/>
  <c r="F37" i="26"/>
  <c r="L30" i="2"/>
  <c r="F69" i="2"/>
  <c r="G263" i="15"/>
  <c r="AX18" i="10"/>
  <c r="F43" i="26"/>
  <c r="BC5" i="10"/>
  <c r="B31" i="26"/>
  <c r="G47" i="2"/>
  <c r="J263" i="15"/>
  <c r="A70" i="2"/>
  <c r="B12" i="26"/>
  <c r="L34" i="2"/>
  <c r="F39" i="26"/>
  <c r="B28" i="26"/>
  <c r="L20" i="2"/>
  <c r="AY18" i="10"/>
  <c r="I263" i="15"/>
  <c r="A69" i="9"/>
  <c r="A5" i="42"/>
  <c r="AE21" i="52"/>
  <c r="AD21" i="52"/>
  <c r="AB21" i="52"/>
  <c r="AB11" i="52"/>
  <c r="AC11" i="52"/>
  <c r="AB9" i="52"/>
  <c r="AB10" i="52"/>
  <c r="AC51" i="52"/>
  <c r="AB74" i="52"/>
  <c r="AC45" i="52"/>
  <c r="AC52" i="52"/>
  <c r="AC54" i="52"/>
  <c r="AB55" i="52"/>
  <c r="AC61" i="52"/>
  <c r="AC60" i="52"/>
  <c r="AB46" i="52"/>
  <c r="AB58" i="52"/>
  <c r="AB59" i="52"/>
  <c r="AC80" i="52"/>
  <c r="AB57" i="52"/>
  <c r="AB68" i="52"/>
  <c r="AB43" i="52"/>
  <c r="AC57" i="52"/>
  <c r="AC72" i="52"/>
  <c r="AC76" i="52"/>
  <c r="AB67" i="52"/>
  <c r="AB51" i="52"/>
  <c r="AC56" i="52"/>
  <c r="AB54" i="52"/>
  <c r="AB65" i="52"/>
  <c r="AB50" i="52"/>
  <c r="AB62" i="52"/>
  <c r="AC59" i="52"/>
  <c r="AC68" i="52"/>
  <c r="AC50" i="52"/>
  <c r="AC58" i="52"/>
  <c r="AB56" i="52"/>
  <c r="AB60" i="52"/>
  <c r="AB76" i="52"/>
  <c r="AB61" i="52"/>
  <c r="AB63" i="52"/>
  <c r="AB53" i="52"/>
  <c r="AC55" i="52"/>
  <c r="AB78" i="52"/>
  <c r="AC65" i="52"/>
  <c r="AC49" i="52"/>
  <c r="AB49" i="52"/>
  <c r="AC42" i="52"/>
  <c r="AC79" i="52"/>
  <c r="AB72" i="52"/>
  <c r="AC67" i="52"/>
  <c r="AB64" i="52"/>
  <c r="C57" i="1"/>
  <c r="AB80" i="52"/>
  <c r="AC74" i="52"/>
  <c r="AC63" i="52"/>
  <c r="AB47" i="52"/>
  <c r="AB52" i="52"/>
  <c r="AC47" i="52"/>
  <c r="AC64" i="52"/>
  <c r="H5" i="17"/>
  <c r="AB79" i="52"/>
  <c r="C35" i="1"/>
  <c r="AC43" i="52"/>
  <c r="AC78" i="52"/>
  <c r="AB70" i="52"/>
  <c r="AC70" i="52"/>
  <c r="AC46" i="52"/>
  <c r="AB42" i="52"/>
  <c r="AC62" i="52"/>
  <c r="AC53" i="52"/>
  <c r="AB45" i="52"/>
  <c r="O43" i="2"/>
  <c r="AC66" i="52"/>
  <c r="AC48" i="52"/>
  <c r="AC77" i="52"/>
  <c r="AB69" i="52"/>
  <c r="AC69" i="52"/>
  <c r="AB77" i="52"/>
  <c r="AB75" i="52"/>
  <c r="AB40" i="52"/>
  <c r="AC73" i="52"/>
  <c r="AB73" i="52"/>
  <c r="AC41" i="52"/>
  <c r="AB41" i="52"/>
  <c r="AC75" i="52"/>
  <c r="AB66" i="52"/>
  <c r="AB48" i="52"/>
  <c r="AC40" i="52"/>
  <c r="AB44" i="52"/>
  <c r="AC44" i="52"/>
  <c r="H114" i="17"/>
  <c r="I24" i="42"/>
  <c r="M78" i="52" l="1"/>
  <c r="M79" i="52"/>
  <c r="M76" i="52"/>
  <c r="M68" i="52"/>
  <c r="M60" i="52"/>
  <c r="M62" i="52"/>
  <c r="M70" i="52"/>
  <c r="M53" i="52"/>
  <c r="M75" i="52"/>
  <c r="M72" i="52"/>
  <c r="M74" i="52"/>
  <c r="M67" i="52"/>
  <c r="M69" i="52"/>
  <c r="M61" i="52"/>
  <c r="M65" i="52"/>
  <c r="M73" i="52"/>
  <c r="M66" i="52"/>
  <c r="M59" i="52"/>
  <c r="M64" i="52"/>
  <c r="M63" i="52"/>
  <c r="M71" i="52"/>
  <c r="B24" i="26"/>
  <c r="AH78" i="52"/>
  <c r="AH77" i="52"/>
  <c r="AJ78" i="52"/>
  <c r="AJ77" i="52"/>
  <c r="F37" i="42"/>
  <c r="G41" i="42"/>
  <c r="G37" i="42"/>
  <c r="C36" i="42"/>
  <c r="H36" i="42"/>
  <c r="F41" i="42"/>
  <c r="H45" i="42"/>
  <c r="AJ79" i="52"/>
  <c r="AJ80" i="52"/>
  <c r="AH79" i="52"/>
  <c r="AH80" i="52"/>
  <c r="X47" i="52"/>
  <c r="AJ75" i="52"/>
  <c r="AH75" i="52"/>
  <c r="AJ76" i="52"/>
  <c r="AH76" i="52"/>
  <c r="AJ66" i="52"/>
  <c r="AJ69" i="52"/>
  <c r="AJ73" i="52"/>
  <c r="AH66" i="52"/>
  <c r="AH69" i="52"/>
  <c r="AH73" i="52"/>
  <c r="AJ72" i="52"/>
  <c r="AH72" i="52"/>
  <c r="AJ74" i="52"/>
  <c r="AH74" i="52"/>
  <c r="AJ67" i="52"/>
  <c r="AH67" i="52"/>
  <c r="AJ68" i="52"/>
  <c r="AH68" i="52"/>
  <c r="AJ60" i="52"/>
  <c r="AH60" i="52"/>
  <c r="AJ53" i="52"/>
  <c r="AH53" i="52"/>
  <c r="AJ59" i="52"/>
  <c r="AH59" i="52"/>
  <c r="AJ61" i="52"/>
  <c r="AH61" i="52"/>
  <c r="AJ62" i="52"/>
  <c r="AH62" i="52"/>
  <c r="AJ63" i="52"/>
  <c r="AH63" i="52"/>
  <c r="AJ64" i="52"/>
  <c r="AH64" i="52"/>
  <c r="AJ65" i="52"/>
  <c r="AH65" i="52"/>
  <c r="AJ70" i="52"/>
  <c r="AH70" i="52"/>
  <c r="AP57" i="54"/>
  <c r="AP86" i="54"/>
  <c r="AP118" i="54"/>
  <c r="AP29" i="54"/>
  <c r="AP200" i="54"/>
  <c r="AP33" i="54"/>
  <c r="AP61" i="54"/>
  <c r="AP100" i="54"/>
  <c r="Q127" i="54"/>
  <c r="X10" i="52"/>
  <c r="X43" i="52"/>
  <c r="X46" i="52"/>
  <c r="AP43" i="54"/>
  <c r="AP71" i="54"/>
  <c r="AP104" i="54"/>
  <c r="AP132" i="54"/>
  <c r="V34" i="8"/>
  <c r="X42" i="52"/>
  <c r="Z43" i="52"/>
  <c r="X56" i="52"/>
  <c r="X58" i="52"/>
  <c r="AP47" i="54"/>
  <c r="AP75" i="54"/>
  <c r="AP114" i="54"/>
  <c r="AP173" i="54"/>
  <c r="AP144" i="54"/>
  <c r="Z9" i="52"/>
  <c r="Z46" i="52"/>
  <c r="X51" i="52"/>
  <c r="X54" i="52"/>
  <c r="X55" i="52"/>
  <c r="Z58"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9" i="52"/>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9" i="52"/>
  <c r="AH47" i="52"/>
  <c r="AH40" i="52"/>
  <c r="AH10" i="52"/>
  <c r="AH9" i="52"/>
  <c r="AH58" i="52"/>
  <c r="AH54" i="52"/>
  <c r="AH45" i="52"/>
  <c r="AH43" i="52"/>
  <c r="AH55" i="52"/>
  <c r="AH51" i="52"/>
  <c r="AH48" i="52"/>
  <c r="AH41" i="52"/>
  <c r="AH56" i="52"/>
  <c r="AH11" i="52"/>
  <c r="AH42" i="52"/>
  <c r="AJ58"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49"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S38" i="52"/>
  <c r="H9" i="17"/>
  <c r="C21" i="56"/>
  <c r="A3" i="8"/>
  <c r="S30" i="52"/>
  <c r="T23" i="52"/>
  <c r="U23" i="52"/>
  <c r="T30" i="52"/>
  <c r="C127" i="56"/>
  <c r="AD38" i="52"/>
  <c r="S23" i="52"/>
  <c r="AE31" i="52"/>
  <c r="AA38" i="52"/>
  <c r="AC23" i="52"/>
  <c r="C36" i="1"/>
  <c r="C126" i="56"/>
  <c r="AF23" i="52"/>
  <c r="AF31" i="52"/>
  <c r="AC31" i="52"/>
  <c r="AD23" i="52"/>
  <c r="AD31" i="52"/>
  <c r="AA23" i="52"/>
  <c r="AB23" i="52"/>
  <c r="AB31" i="52"/>
  <c r="AA31" i="52"/>
  <c r="AC71" i="52"/>
  <c r="AB71" i="52"/>
  <c r="N42" i="2"/>
  <c r="O42" i="2"/>
  <c r="AK77" i="52" l="1"/>
  <c r="AI77" i="52"/>
  <c r="AK78" i="52"/>
  <c r="AI78" i="52"/>
  <c r="F45" i="42"/>
  <c r="G49" i="42"/>
  <c r="G45" i="42"/>
  <c r="C44" i="42"/>
  <c r="H44" i="42"/>
  <c r="H53" i="42"/>
  <c r="F49" i="42"/>
  <c r="AK80" i="52"/>
  <c r="AI80" i="52"/>
  <c r="AK79" i="52"/>
  <c r="AI79" i="52"/>
  <c r="AK75" i="52"/>
  <c r="AI75" i="52"/>
  <c r="AK76" i="52"/>
  <c r="AI76" i="52"/>
  <c r="AK73" i="52"/>
  <c r="AI73" i="52"/>
  <c r="AK69" i="52"/>
  <c r="AI69" i="52"/>
  <c r="AK66" i="52"/>
  <c r="AI66" i="52"/>
  <c r="AK72" i="52"/>
  <c r="AI72" i="52"/>
  <c r="AK74" i="52"/>
  <c r="AI74" i="52"/>
  <c r="AK67" i="52"/>
  <c r="AI67" i="52"/>
  <c r="AK68" i="52"/>
  <c r="AI68" i="52"/>
  <c r="AK60" i="52"/>
  <c r="AI60" i="52"/>
  <c r="AK53" i="52"/>
  <c r="AI53" i="52"/>
  <c r="AK59" i="52"/>
  <c r="AI59" i="52"/>
  <c r="AK61" i="52"/>
  <c r="AI61" i="52"/>
  <c r="AK62" i="52"/>
  <c r="AI62" i="52"/>
  <c r="AI63" i="52"/>
  <c r="AK63" i="52"/>
  <c r="AI64" i="52"/>
  <c r="AK64" i="52"/>
  <c r="AI65" i="52"/>
  <c r="AK65" i="52"/>
  <c r="AH71" i="52"/>
  <c r="AJ71" i="52"/>
  <c r="AK71" i="52" s="1"/>
  <c r="AI70" i="52"/>
  <c r="AK70"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AI49" i="52"/>
  <c r="AK49" i="52"/>
  <c r="H230" i="15"/>
  <c r="G230" i="15"/>
  <c r="E230" i="15" s="1"/>
  <c r="F230" i="15"/>
  <c r="AA37" i="52"/>
  <c r="I41" i="2"/>
  <c r="AK10" i="52"/>
  <c r="AI10" i="52"/>
  <c r="AK9" i="52"/>
  <c r="AI9" i="52"/>
  <c r="AI52" i="52"/>
  <c r="AK52" i="52"/>
  <c r="AK48" i="52"/>
  <c r="AI48" i="52"/>
  <c r="AK43" i="52"/>
  <c r="AI43" i="52"/>
  <c r="AK58" i="52"/>
  <c r="AI58" i="52"/>
  <c r="AI57" i="52"/>
  <c r="AK57" i="52"/>
  <c r="G51" i="8"/>
  <c r="F63" i="26"/>
  <c r="AI47" i="52"/>
  <c r="AK47" i="52"/>
  <c r="AI42" i="52"/>
  <c r="AK42" i="52"/>
  <c r="AI56" i="52"/>
  <c r="AK56" i="52"/>
  <c r="AK51" i="52"/>
  <c r="AI51" i="52"/>
  <c r="AK45" i="52"/>
  <c r="AI45" i="52"/>
  <c r="H25" i="42"/>
  <c r="G24" i="42"/>
  <c r="G25" i="42" s="1"/>
  <c r="J25" i="42"/>
  <c r="J21" i="42" s="1"/>
  <c r="K24" i="42"/>
  <c r="AE23" i="52"/>
  <c r="U30" i="52"/>
  <c r="B24" i="6"/>
  <c r="B69" i="9"/>
  <c r="B70" i="9"/>
  <c r="B6" i="6"/>
  <c r="B36" i="9"/>
  <c r="I47" i="2"/>
  <c r="B37" i="6"/>
  <c r="CH70" i="9"/>
  <c r="CH36" i="9"/>
  <c r="CH69" i="9"/>
  <c r="F53" i="42" l="1"/>
  <c r="G57" i="42"/>
  <c r="A52" i="42"/>
  <c r="G53" i="42"/>
  <c r="C52" i="42"/>
  <c r="H52" i="42"/>
  <c r="F57" i="42"/>
  <c r="H61" i="42"/>
  <c r="AI71" i="5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<sst xmlns="http://schemas.openxmlformats.org/spreadsheetml/2006/main" count="5120" uniqueCount="2963">
  <si>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</si>
  <si>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</si>
  <si>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</si>
  <si>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</si>
  <si>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</si>
  <si>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</si>
  <si>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</si>
  <si>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</si>
  <si>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</si>
  <si>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</si>
  <si>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</si>
  <si>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</si>
  <si>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</si>
  <si>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</si>
  <si>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</si>
  <si>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</si>
  <si>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</si>
  <si>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</si>
  <si>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</si>
  <si>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</si>
  <si>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</si>
  <si>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</si>
  <si>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</si>
  <si>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</si>
  <si>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</si>
  <si>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</si>
  <si>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</si>
  <si>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</si>
  <si>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</si>
  <si>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</si>
  <si>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</si>
  <si>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</si>
  <si>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</si>
  <si>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</si>
  <si>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</si>
  <si>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</si>
  <si>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</si>
  <si>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</si>
  <si>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</si>
  <si>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</si>
  <si>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</si>
  <si>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</si>
  <si>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</si>
  <si>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</si>
  <si>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</si>
  <si>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</si>
  <si>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</si>
  <si>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</si>
  <si>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</si>
  <si>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</si>
  <si>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</si>
  <si>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</si>
  <si>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</si>
  <si>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</si>
  <si>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</si>
  <si>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</si>
  <si>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</si>
  <si>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</si>
  <si>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</si>
  <si>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</si>
  <si>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</si>
  <si>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</si>
  <si>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</si>
  <si>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</si>
  <si>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</si>
  <si>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</si>
  <si>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</si>
  <si>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</si>
  <si>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</si>
  <si>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</si>
  <si>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</si>
  <si>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</si>
  <si>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</si>
  <si>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</si>
  <si>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</si>
  <si>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</si>
  <si>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</si>
  <si>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</si>
  <si>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</si>
  <si>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</si>
  <si>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</si>
  <si>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</si>
  <si>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</si>
  <si>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</si>
  <si>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</si>
  <si>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</si>
  <si>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</si>
  <si>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</si>
  <si>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</si>
  <si>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</si>
  <si>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</si>
  <si>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</si>
  <si>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</si>
  <si>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</si>
  <si>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</si>
  <si>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</si>
  <si>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</si>
  <si>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</si>
  <si>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</si>
  <si>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</si>
  <si>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</si>
  <si>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</si>
  <si>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</si>
  <si>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</si>
  <si>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</si>
  <si>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</si>
  <si>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</si>
  <si>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</si>
  <si>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</si>
  <si>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</si>
  <si>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</si>
  <si>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</si>
  <si>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</si>
  <si>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</si>
  <si>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</si>
  <si>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</si>
  <si>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</si>
  <si>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</si>
  <si>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</si>
  <si>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</si>
  <si>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</si>
  <si>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</si>
  <si>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</si>
  <si>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</si>
  <si>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</si>
  <si>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</si>
  <si>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</si>
  <si>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</si>
  <si>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</si>
  <si>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</si>
  <si>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</si>
  <si>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</si>
  <si>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</si>
  <si>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</si>
  <si>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</si>
  <si>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</si>
  <si>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</si>
  <si>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</si>
  <si>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</si>
  <si>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</si>
  <si>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</si>
  <si>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</si>
  <si>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</si>
  <si>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</si>
  <si>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</si>
  <si>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</si>
  <si>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</si>
  <si>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</si>
  <si>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</si>
  <si>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</si>
  <si>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</si>
  <si>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</si>
  <si>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</si>
  <si>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</si>
  <si>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</si>
  <si>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</si>
  <si>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</si>
  <si>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</si>
  <si>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</si>
  <si>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</si>
  <si>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</si>
  <si>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</si>
  <si>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</si>
  <si>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</si>
  <si>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</si>
  <si>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</si>
  <si>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</si>
  <si>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</si>
  <si>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</si>
  <si>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</si>
  <si>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</si>
  <si>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</si>
  <si>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</si>
  <si>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</si>
  <si>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</si>
  <si>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</si>
  <si>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</si>
  <si>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</si>
  <si>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</si>
  <si>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</si>
  <si>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</si>
  <si>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</si>
  <si>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</si>
  <si>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</si>
  <si>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</si>
  <si>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</si>
  <si>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</si>
  <si>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</si>
  <si>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</si>
  <si>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</si>
  <si>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</si>
  <si>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</si>
  <si>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</si>
  <si>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</si>
  <si>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</si>
  <si>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</si>
  <si>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</si>
  <si>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</si>
  <si>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</si>
  <si>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</si>
  <si>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</si>
  <si>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</si>
  <si>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</si>
  <si>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</si>
  <si>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</si>
  <si>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</si>
  <si>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</si>
  <si>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</si>
  <si>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</si>
  <si>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</si>
  <si>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</si>
  <si>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</si>
  <si>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</si>
  <si>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</si>
  <si>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</si>
  <si>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</si>
  <si>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</si>
  <si>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</si>
  <si>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</si>
  <si>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</si>
  <si>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</si>
  <si>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</si>
  <si>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</si>
  <si>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</si>
  <si>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</si>
  <si>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</si>
  <si>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</si>
  <si>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</si>
  <si>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</si>
  <si>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</si>
  <si>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</si>
  <si>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</si>
  <si>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</si>
  <si>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</si>
  <si>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</si>
  <si>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</si>
  <si>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</si>
  <si>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</si>
  <si>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</si>
  <si>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</si>
  <si>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</si>
  <si>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</si>
  <si>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</si>
  <si>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</si>
  <si>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</si>
  <si>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</si>
  <si>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</si>
  <si>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</si>
  <si>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</si>
  <si>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</si>
  <si>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</si>
  <si>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</si>
  <si>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</si>
  <si>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</si>
  <si>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</si>
  <si>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</si>
  <si>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</si>
  <si>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</si>
  <si>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</si>
  <si>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</si>
  <si>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</si>
  <si>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</si>
  <si>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</si>
  <si>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</si>
  <si>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</si>
  <si>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</si>
  <si>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</si>
  <si>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</si>
  <si>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</si>
  <si>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</si>
  <si>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</si>
  <si>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</si>
  <si>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</si>
  <si>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</si>
  <si>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</si>
  <si>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</si>
  <si>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</si>
  <si>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</si>
  <si>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</si>
  <si>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</si>
  <si>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</si>
  <si>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</si>
  <si>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</si>
  <si>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</si>
  <si>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</si>
  <si>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</si>
  <si>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</si>
  <si>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</si>
  <si>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</si>
  <si>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</si>
  <si>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</si>
  <si>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</si>
  <si>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</si>
  <si>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</si>
  <si>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</si>
  <si>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</si>
  <si>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</si>
  <si>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</si>
  <si>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</si>
  <si>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</si>
  <si>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</si>
  <si>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</si>
  <si>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</si>
  <si>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</si>
  <si>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</si>
  <si>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</si>
  <si>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</si>
  <si>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</si>
  <si>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</si>
  <si>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</si>
  <si>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</si>
  <si>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</si>
  <si>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</si>
  <si>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</si>
  <si>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</si>
  <si>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</si>
  <si>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</si>
  <si>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</si>
  <si>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</si>
  <si>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</si>
  <si>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</si>
  <si>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</si>
  <si>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</si>
  <si>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</si>
  <si>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</si>
  <si>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</si>
  <si>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</si>
  <si>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</si>
  <si>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</si>
  <si>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</si>
  <si>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</si>
  <si>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</si>
  <si>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</si>
  <si>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</si>
  <si>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</si>
  <si>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</si>
  <si>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</si>
  <si>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</si>
  <si>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</si>
  <si>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</si>
  <si>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</si>
  <si>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</si>
  <si>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</si>
  <si>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</si>
  <si>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</si>
  <si>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</si>
  <si>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</si>
  <si>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</si>
  <si>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</si>
  <si>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</si>
  <si>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</si>
  <si>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</si>
  <si>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</si>
  <si>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</si>
  <si>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</si>
  <si>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</si>
  <si>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</si>
  <si>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</si>
  <si>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</si>
  <si>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</si>
  <si>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</si>
  <si>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</si>
  <si>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</si>
  <si>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</si>
  <si>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</si>
  <si>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</si>
  <si>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</si>
  <si>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</si>
  <si>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</si>
  <si>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</si>
  <si>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</si>
  <si>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</si>
  <si>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</si>
  <si>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</si>
  <si>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</si>
  <si>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</si>
  <si>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</si>
  <si>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</si>
  <si>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</si>
  <si>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</si>
  <si>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</si>
  <si>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</si>
  <si>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</si>
  <si>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</si>
  <si>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</si>
  <si>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</si>
  <si>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</si>
  <si>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</si>
  <si>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</si>
  <si>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</si>
  <si>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</si>
  <si>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</si>
  <si>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</si>
  <si>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</si>
  <si>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</si>
  <si>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</si>
  <si>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</si>
  <si>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</si>
  <si>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</si>
  <si>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</si>
  <si>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</si>
  <si>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</si>
  <si>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</si>
  <si>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</si>
  <si>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</si>
  <si>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</si>
  <si>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</si>
  <si>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</si>
  <si>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</si>
  <si>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</si>
  <si>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</si>
  <si>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</si>
  <si>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</si>
  <si>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</si>
  <si>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</si>
  <si>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</si>
  <si>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</si>
  <si>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</si>
  <si>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</si>
  <si>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</si>
  <si>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</si>
  <si>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</si>
  <si>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</si>
  <si>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</si>
  <si>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</si>
  <si>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</si>
  <si>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</si>
  <si>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</si>
  <si>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</si>
  <si>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</si>
  <si>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</si>
  <si>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</si>
  <si>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</si>
  <si>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</si>
  <si>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</si>
  <si>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</si>
  <si>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</si>
  <si>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</si>
  <si>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</si>
  <si>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</si>
  <si>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</si>
  <si>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</si>
  <si>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</si>
  <si>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</si>
  <si>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</si>
  <si>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</si>
  <si>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</si>
  <si>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</si>
  <si>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</si>
  <si>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</si>
  <si>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</si>
  <si>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</si>
  <si>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</si>
  <si>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</si>
  <si>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</si>
  <si>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</si>
  <si>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</si>
  <si>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</si>
  <si>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</si>
  <si>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</si>
  <si>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</si>
  <si>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</si>
  <si>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</si>
  <si>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</si>
  <si>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</si>
  <si>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</si>
  <si>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</si>
  <si>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</si>
  <si>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</si>
  <si>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</si>
  <si>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</si>
  <si>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</si>
  <si>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</si>
  <si>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</si>
  <si>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</si>
  <si>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</si>
  <si>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</si>
  <si>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</si>
  <si>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</si>
  <si>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</si>
  <si>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</si>
  <si>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</si>
  <si>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</si>
  <si>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</si>
  <si>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</si>
  <si>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</si>
  <si>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</si>
  <si>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</si>
  <si>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</si>
  <si>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</si>
  <si>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</si>
  <si>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</si>
  <si>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</si>
  <si>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</si>
  <si>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</si>
  <si>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</si>
  <si>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</si>
  <si>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</si>
  <si>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</si>
  <si>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</si>
  <si>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</si>
  <si>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</si>
  <si>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</si>
  <si>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</si>
  <si>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</si>
  <si>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</si>
  <si>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</si>
  <si>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</si>
  <si>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</si>
  <si>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</si>
  <si>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</si>
  <si>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</si>
  <si>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</si>
  <si>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</si>
  <si>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</si>
  <si>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</si>
  <si>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</si>
  <si>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</si>
  <si>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</si>
  <si>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</si>
  <si>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</si>
  <si>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</si>
  <si>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</si>
  <si>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</si>
  <si>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</si>
  <si>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</si>
  <si>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</si>
  <si>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</si>
  <si>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</si>
  <si>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</si>
  <si>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</si>
  <si>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</si>
  <si>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</si>
  <si>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</si>
  <si>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</si>
  <si>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</si>
  <si>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</si>
  <si>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</si>
  <si>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</si>
  <si>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</si>
  <si>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</si>
  <si>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</si>
  <si>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</si>
  <si>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</si>
  <si>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</si>
  <si>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</si>
  <si>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</si>
  <si>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</si>
  <si>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</si>
  <si>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</si>
  <si>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</si>
  <si>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</si>
  <si>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</si>
  <si>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</si>
  <si>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</si>
  <si>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</si>
  <si>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</si>
  <si>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</si>
  <si>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</si>
  <si>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</si>
  <si>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</si>
  <si>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</si>
  <si>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</si>
  <si>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</si>
  <si>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</si>
  <si>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</si>
  <si>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</si>
  <si>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</si>
  <si>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</si>
  <si>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</si>
  <si>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</si>
  <si>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</si>
  <si>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</si>
  <si>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</si>
  <si>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</si>
  <si>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</si>
  <si>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</si>
  <si>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</si>
  <si>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</si>
  <si>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</si>
  <si>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</si>
  <si>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</si>
  <si>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</si>
  <si>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</si>
  <si>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</si>
  <si>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</si>
  <si>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</si>
  <si>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</si>
  <si>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</si>
  <si>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</si>
  <si>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</si>
  <si>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</si>
  <si>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</si>
  <si>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</si>
  <si>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</si>
  <si>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</si>
  <si>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</si>
  <si>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</si>
  <si>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</si>
  <si>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</si>
  <si>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</si>
  <si>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</si>
  <si>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</si>
  <si>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</si>
  <si>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</si>
  <si>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</si>
  <si>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</si>
  <si>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</si>
  <si>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</si>
  <si>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</si>
  <si>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</si>
  <si>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</si>
  <si>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</si>
  <si>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</si>
  <si>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</si>
  <si>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</si>
  <si>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</si>
  <si>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</si>
  <si>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</si>
  <si>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</si>
  <si>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</si>
  <si>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</si>
  <si>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</si>
  <si>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</si>
  <si>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</si>
  <si>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</si>
  <si>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</si>
  <si>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</si>
  <si>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</si>
  <si>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</si>
  <si>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</si>
  <si>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</si>
  <si>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</si>
  <si>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</si>
  <si>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</si>
  <si>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</si>
  <si>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</si>
  <si>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</si>
  <si>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</si>
  <si>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</si>
  <si>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</si>
  <si>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</si>
  <si>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</si>
  <si>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</si>
  <si>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</si>
  <si>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</si>
  <si>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</si>
  <si>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</si>
  <si>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</si>
  <si>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</si>
  <si>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</si>
  <si>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</si>
  <si>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</si>
  <si>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</si>
  <si>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</si>
  <si>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</si>
  <si>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</si>
  <si>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</si>
  <si>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</si>
  <si>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</si>
  <si>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</si>
  <si>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</si>
  <si>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</si>
  <si>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</si>
  <si>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</si>
  <si>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</si>
  <si>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</si>
  <si>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</si>
  <si>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</si>
  <si>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</si>
  <si>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</si>
  <si>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</si>
  <si>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</si>
  <si>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</si>
  <si>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</si>
  <si>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</si>
  <si>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</si>
  <si>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</si>
  <si>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</si>
  <si>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</si>
  <si>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</si>
  <si>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</si>
  <si>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</si>
  <si>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</si>
  <si>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</si>
  <si>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</si>
  <si>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</si>
  <si>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</si>
  <si>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</si>
  <si>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</si>
  <si>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</si>
  <si>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</si>
  <si>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</si>
  <si>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</si>
  <si>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</si>
  <si>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</si>
  <si>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</si>
  <si>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</si>
  <si>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</si>
  <si>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</si>
  <si>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</si>
  <si>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</si>
  <si>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</si>
  <si>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</si>
  <si>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</si>
  <si>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</si>
  <si>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</si>
  <si>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</si>
  <si>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</si>
  <si>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</si>
  <si>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</si>
  <si>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</si>
  <si>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</si>
  <si>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</si>
  <si>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</si>
  <si>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</si>
  <si>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</si>
  <si>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</si>
  <si>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</si>
  <si>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</si>
  <si>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</si>
  <si>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</si>
  <si>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</si>
  <si>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</si>
  <si>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</si>
  <si>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</si>
  <si>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</si>
  <si>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</si>
  <si>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</si>
  <si>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</si>
  <si>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</si>
  <si>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</si>
  <si>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</si>
  <si>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</si>
  <si>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</si>
  <si>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</si>
  <si>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</si>
  <si>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</si>
  <si>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</si>
  <si>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</si>
  <si>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</si>
  <si>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</si>
  <si>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</si>
  <si>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</si>
  <si>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</si>
  <si>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</si>
  <si>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</si>
  <si>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</si>
  <si>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</si>
  <si>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</si>
  <si>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</si>
  <si>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</si>
  <si>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</si>
  <si>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</si>
  <si>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</si>
  <si>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</si>
  <si>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</si>
  <si>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</si>
  <si>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</si>
  <si>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</si>
  <si>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</si>
  <si>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</si>
  <si>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</si>
  <si>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</si>
  <si>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</si>
  <si>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</si>
  <si>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</si>
  <si>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</si>
  <si>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</si>
  <si>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</si>
  <si>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</si>
  <si>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</si>
  <si>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</si>
  <si>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</si>
  <si>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</si>
  <si>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</si>
  <si>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</si>
  <si>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</si>
  <si>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</si>
  <si>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</si>
  <si>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</si>
  <si>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</si>
  <si>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</si>
  <si>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</si>
  <si>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</si>
  <si>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</si>
  <si>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</si>
  <si>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</si>
  <si>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</si>
  <si>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</si>
  <si>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</si>
  <si>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</si>
  <si>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</si>
  <si>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</si>
  <si>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</si>
  <si>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</si>
  <si>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</si>
  <si>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</si>
  <si>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</si>
  <si>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</si>
  <si>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</si>
  <si>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</si>
  <si>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</si>
  <si>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</si>
  <si>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</si>
  <si>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</si>
  <si>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</si>
  <si>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</si>
  <si>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</si>
  <si>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</si>
  <si>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</si>
  <si>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</si>
  <si>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</si>
  <si>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</si>
  <si>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</si>
  <si>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</si>
  <si>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</si>
  <si>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</si>
  <si>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</si>
  <si>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</si>
  <si>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</si>
  <si>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</si>
  <si>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</si>
  <si>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</si>
  <si>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</si>
  <si>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</si>
  <si>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</si>
  <si>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</si>
  <si>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</si>
  <si>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</si>
  <si>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</si>
  <si>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</si>
  <si>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</si>
  <si>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</si>
  <si>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</si>
  <si>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</si>
  <si>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</si>
  <si>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</si>
  <si>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</si>
  <si>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</si>
  <si>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</si>
  <si>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</si>
  <si>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</si>
  <si>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</si>
  <si>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</si>
  <si>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</si>
  <si>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</si>
  <si>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</si>
  <si>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</si>
  <si>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</si>
  <si>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</si>
  <si>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</si>
  <si>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</si>
  <si>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</si>
  <si>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</si>
  <si>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</si>
  <si>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</si>
  <si>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</si>
  <si>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</si>
  <si>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</si>
  <si>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</si>
  <si>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</si>
  <si>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</si>
  <si>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</si>
  <si>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</si>
  <si>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</si>
  <si>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</si>
  <si>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</si>
  <si>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</si>
  <si>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</si>
  <si>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</si>
  <si>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</si>
  <si>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</si>
  <si>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</si>
  <si>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</si>
  <si>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</si>
  <si>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</si>
  <si>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</si>
  <si>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</si>
  <si>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</si>
  <si>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</si>
  <si>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</si>
  <si>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</si>
  <si>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</si>
  <si>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</si>
  <si>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</si>
  <si>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</si>
  <si>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</si>
  <si>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</si>
  <si>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</si>
  <si>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</si>
  <si>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</si>
  <si>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</si>
  <si>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</si>
  <si>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</si>
  <si>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</si>
  <si>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</si>
  <si>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</si>
  <si>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</si>
  <si>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</si>
  <si>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</si>
  <si>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</si>
  <si>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</si>
  <si>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</si>
  <si>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</si>
  <si>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</si>
  <si>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</si>
  <si>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</si>
  <si>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</si>
  <si>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</si>
  <si>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</si>
  <si>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</si>
  <si>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</si>
  <si>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</si>
  <si>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</si>
  <si>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</si>
  <si>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</si>
  <si>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</si>
  <si>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</si>
  <si>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</si>
  <si>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</si>
  <si>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</si>
  <si>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</si>
  <si>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</si>
  <si>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</si>
  <si>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</si>
  <si>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</si>
  <si>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</si>
  <si>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</si>
  <si>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</si>
  <si>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</si>
  <si>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</si>
  <si>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</si>
  <si>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</si>
  <si>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</si>
  <si>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</si>
  <si>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</si>
  <si>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</si>
  <si>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</si>
  <si>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</si>
  <si>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</si>
  <si>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</si>
  <si>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</si>
  <si>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</si>
  <si>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</si>
  <si>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</si>
  <si>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</si>
  <si>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</si>
  <si>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</si>
  <si>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</si>
  <si>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</si>
  <si>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</si>
  <si>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</si>
  <si>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</si>
  <si>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</si>
  <si>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</si>
  <si>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</si>
  <si>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</si>
  <si>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</si>
  <si>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</si>
  <si>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</si>
  <si>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</si>
  <si>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</si>
  <si>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</si>
  <si>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</si>
  <si>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</si>
  <si>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</si>
  <si>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</si>
  <si>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</si>
  <si>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</si>
  <si>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</si>
  <si>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</si>
  <si>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</si>
  <si>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</si>
  <si>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</si>
  <si>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</si>
  <si>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</si>
  <si>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</si>
  <si>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</si>
  <si>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</si>
  <si>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</si>
  <si>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</si>
  <si>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</si>
  <si>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</si>
  <si>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</si>
  <si>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</si>
  <si>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</si>
  <si>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</si>
  <si>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</si>
  <si>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</si>
  <si>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</si>
  <si>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</si>
  <si>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</si>
  <si>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</si>
  <si>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</si>
  <si>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</si>
  <si>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</si>
  <si>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</si>
  <si>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</si>
  <si>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</si>
  <si>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</si>
  <si>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</si>
  <si>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</si>
  <si>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</si>
  <si>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</si>
  <si>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</si>
  <si>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</si>
  <si>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</si>
  <si>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</si>
  <si>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</si>
  <si>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</si>
  <si>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</si>
  <si>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</si>
  <si>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</si>
  <si>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</si>
  <si>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</si>
  <si>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</si>
  <si>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</si>
  <si>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</si>
  <si>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</si>
  <si>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</si>
  <si>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</si>
  <si>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</si>
  <si>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</si>
  <si>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</si>
  <si>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</si>
  <si>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</si>
  <si>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</si>
  <si>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</si>
  <si>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</si>
  <si>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</si>
  <si>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</si>
  <si>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</si>
  <si>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</si>
  <si>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</si>
  <si>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</si>
  <si>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</si>
  <si>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</si>
  <si>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</si>
  <si>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</si>
  <si>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</si>
  <si>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</si>
  <si>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</si>
  <si>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</si>
  <si>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</si>
  <si>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</si>
  <si>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</si>
  <si>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</si>
  <si>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</si>
  <si>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</si>
  <si>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</si>
  <si>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</si>
  <si>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</si>
  <si>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</si>
  <si>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</si>
  <si>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</si>
  <si>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</si>
  <si>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</si>
  <si>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</si>
  <si>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</si>
  <si>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</si>
  <si>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</si>
  <si>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</si>
  <si>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</si>
  <si>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</si>
  <si>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</si>
  <si>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</si>
  <si>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</si>
  <si>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</si>
  <si>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</si>
  <si>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</si>
  <si>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</si>
  <si>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</si>
  <si>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</si>
  <si>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</si>
  <si>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</si>
  <si>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</si>
  <si>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</si>
  <si>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</si>
  <si>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</si>
  <si>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</si>
  <si>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</si>
  <si>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</si>
  <si>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</si>
  <si>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</si>
  <si>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</si>
  <si>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</si>
  <si>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</si>
  <si>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</si>
  <si>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</si>
  <si>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</si>
  <si>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</si>
  <si>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</si>
  <si>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</si>
  <si>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</si>
  <si>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</si>
  <si>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</si>
  <si>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</si>
  <si>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</si>
  <si>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</si>
  <si>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</si>
  <si>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</si>
  <si>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</si>
  <si>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</si>
  <si>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</si>
  <si>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</si>
  <si>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</si>
  <si>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</si>
  <si>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</si>
  <si>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</si>
  <si>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</si>
  <si>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</si>
  <si>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</si>
  <si>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</si>
  <si>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</si>
  <si>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</si>
  <si>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</si>
  <si>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</si>
  <si>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</si>
  <si>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</si>
  <si>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</si>
  <si>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</si>
  <si>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</si>
  <si>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</si>
  <si>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</si>
  <si>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</si>
  <si>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</si>
  <si>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</si>
  <si>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</si>
  <si>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</si>
  <si>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</si>
  <si>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</si>
  <si>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</si>
  <si>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</si>
  <si>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</si>
  <si>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</si>
  <si>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</si>
  <si>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</si>
  <si>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</si>
  <si>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</si>
  <si>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</si>
  <si>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</si>
  <si>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</si>
  <si>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</si>
  <si>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</si>
  <si>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</si>
  <si>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</si>
  <si>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</si>
  <si>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</si>
  <si>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</si>
  <si>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</si>
  <si>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</si>
  <si>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</si>
  <si>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</si>
  <si>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</si>
  <si>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</si>
  <si>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</si>
  <si>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</si>
  <si>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</si>
  <si>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</si>
  <si>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</si>
  <si>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</si>
  <si>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</si>
  <si>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</si>
  <si>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</si>
  <si>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</si>
  <si>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</si>
  <si>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</si>
  <si>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</si>
  <si>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</si>
  <si>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</si>
  <si>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</si>
  <si>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</si>
  <si>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</si>
  <si>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</si>
  <si>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</si>
  <si>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</si>
  <si>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</si>
  <si>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</si>
  <si>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</si>
  <si>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</si>
  <si>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</si>
  <si>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</si>
  <si>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</si>
  <si>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</si>
  <si>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</si>
  <si>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</si>
  <si>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</si>
  <si>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</si>
  <si>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</si>
  <si>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</si>
  <si>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</si>
  <si>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</si>
  <si>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</si>
  <si>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</si>
  <si>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</si>
  <si>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</si>
  <si>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</si>
  <si>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</si>
  <si>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</si>
  <si>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</si>
  <si>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</si>
  <si>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</si>
  <si>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</si>
  <si>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</si>
  <si>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</si>
  <si>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</si>
  <si>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</si>
  <si>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</si>
  <si>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</si>
  <si>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</si>
  <si>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</si>
  <si>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</si>
  <si>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</si>
  <si>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</si>
  <si>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</si>
  <si>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</si>
  <si>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</si>
  <si>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</si>
  <si>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</si>
  <si>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</si>
  <si>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</si>
  <si>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</si>
  <si>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</si>
  <si>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</si>
  <si>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</si>
  <si>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</si>
  <si>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</si>
  <si>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</si>
  <si>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</si>
  <si>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</si>
  <si>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</si>
  <si>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</si>
  <si>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</si>
  <si>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</si>
  <si>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</si>
  <si>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</si>
  <si>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</si>
  <si>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</si>
  <si>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</si>
  <si>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</si>
  <si>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</si>
  <si>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</si>
  <si>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</si>
  <si>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</si>
  <si>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</si>
  <si>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</si>
  <si>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</si>
  <si>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</si>
  <si>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</si>
  <si>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</si>
  <si>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</si>
  <si>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</si>
  <si>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</si>
  <si>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</si>
  <si>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</si>
  <si>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</si>
  <si>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</si>
  <si>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</si>
  <si>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</si>
  <si>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</si>
  <si>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</si>
  <si>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</si>
  <si>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</si>
  <si>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</si>
  <si>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</si>
  <si>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</si>
  <si>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</si>
  <si>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</si>
  <si>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</si>
  <si>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</si>
  <si>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</si>
  <si>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</si>
  <si>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</si>
  <si>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</si>
  <si>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</si>
  <si>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</si>
  <si>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</si>
  <si>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</si>
  <si>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</si>
  <si>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</si>
  <si>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</si>
  <si>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</si>
  <si>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</si>
  <si>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</si>
  <si>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</si>
  <si>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</si>
  <si>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</si>
  <si>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</si>
  <si>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</si>
  <si>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</si>
  <si>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</si>
  <si>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</si>
  <si>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</si>
  <si>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</si>
  <si>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</si>
  <si>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</si>
  <si>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</si>
  <si>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</si>
  <si>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</si>
  <si>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</si>
  <si>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</si>
  <si>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</si>
  <si>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</si>
  <si>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</si>
  <si>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</si>
  <si>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</si>
  <si>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</si>
  <si>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</si>
  <si>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</si>
  <si>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</si>
  <si>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</si>
  <si>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</si>
  <si>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</si>
  <si>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</si>
  <si>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</si>
  <si>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</si>
  <si>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</si>
  <si>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</si>
  <si>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</si>
  <si>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</si>
  <si>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</si>
  <si>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</si>
  <si>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</si>
  <si>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</si>
  <si>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</si>
  <si>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</si>
  <si>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</si>
  <si>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</si>
  <si>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</si>
  <si>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</si>
  <si>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</si>
  <si>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</si>
  <si>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</si>
  <si>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</si>
  <si>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</si>
  <si>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</si>
  <si>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</si>
  <si>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</si>
  <si>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</si>
  <si>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</si>
  <si>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</si>
  <si>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</si>
  <si>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</si>
  <si>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</si>
  <si>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</si>
  <si>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</si>
  <si>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</si>
  <si>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</si>
  <si>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</si>
  <si>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</si>
  <si>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</si>
  <si>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</si>
  <si>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</si>
  <si>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</si>
  <si>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</si>
  <si>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</si>
  <si>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</si>
  <si>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</si>
  <si>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</si>
  <si>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</si>
  <si>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</si>
  <si>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</si>
  <si>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</si>
  <si>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</si>
  <si>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</si>
  <si>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</si>
  <si>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</si>
  <si>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</si>
  <si>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</si>
  <si>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</si>
  <si>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</si>
  <si>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</si>
  <si>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</si>
  <si>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</si>
  <si>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</si>
  <si>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</si>
  <si>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</si>
  <si>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</si>
  <si>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</si>
  <si>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</si>
  <si>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</si>
  <si>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</si>
  <si>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</si>
  <si>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</si>
  <si>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</si>
  <si>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</si>
  <si>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</si>
  <si>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</si>
  <si>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</si>
  <si>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</si>
  <si>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</si>
  <si>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</si>
  <si>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</si>
  <si>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</si>
  <si>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</si>
  <si>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</si>
  <si>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</si>
  <si>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</si>
  <si>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</si>
  <si>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</si>
  <si>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</si>
  <si>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</si>
  <si>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</si>
  <si>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</si>
  <si>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</si>
  <si>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</si>
  <si>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</si>
  <si>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</si>
  <si>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</si>
  <si>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</si>
  <si>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</si>
  <si>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</si>
  <si>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</si>
  <si>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</si>
  <si>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</si>
  <si>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</si>
  <si>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</si>
  <si>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</si>
  <si>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</si>
  <si>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</si>
  <si>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</si>
  <si>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</si>
  <si>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</si>
  <si>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</si>
  <si>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</si>
  <si>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</si>
  <si>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</si>
  <si>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</si>
  <si>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</si>
  <si>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</si>
  <si>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</si>
  <si>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</si>
  <si>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</si>
  <si>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</si>
  <si>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</si>
  <si>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</si>
  <si>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</si>
  <si>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</si>
  <si>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</si>
  <si>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</si>
  <si>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</si>
  <si>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</si>
  <si>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</si>
  <si>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</si>
  <si>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</si>
  <si>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</si>
  <si>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</si>
  <si>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</si>
  <si>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</si>
  <si>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</si>
  <si>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</si>
  <si>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</si>
  <si>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</si>
  <si>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</si>
  <si>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</si>
  <si>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</si>
  <si>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</si>
  <si>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</si>
  <si>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</si>
  <si>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</si>
  <si>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</si>
  <si>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</si>
  <si>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</si>
  <si>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</si>
  <si>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</si>
  <si>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</si>
  <si>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</si>
  <si>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</si>
  <si>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</si>
  <si>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</si>
  <si>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</si>
  <si>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</si>
  <si>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</si>
  <si>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</si>
  <si>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</si>
  <si>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</si>
  <si>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</si>
  <si>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</si>
  <si>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</si>
  <si>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</si>
  <si>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</si>
  <si>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</si>
  <si>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</si>
  <si>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</si>
  <si>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</si>
  <si>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</si>
  <si>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</si>
  <si>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</si>
  <si>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</si>
  <si>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</si>
  <si>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</si>
  <si>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</si>
  <si>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</si>
  <si>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</si>
  <si>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</si>
  <si>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</si>
  <si>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</si>
  <si>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</si>
  <si>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</si>
  <si>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</si>
  <si>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</si>
  <si>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</si>
  <si>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</si>
  <si>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</si>
  <si>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</si>
  <si>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</si>
  <si>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</si>
  <si>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</si>
  <si>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</si>
  <si>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</si>
  <si>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</si>
  <si>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</si>
  <si>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</si>
  <si>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</si>
  <si>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</si>
  <si>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</si>
  <si>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</si>
  <si>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</si>
  <si>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</si>
  <si>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</si>
  <si>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</si>
  <si>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</si>
  <si>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</si>
  <si>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</si>
  <si>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</si>
  <si>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</si>
  <si>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</si>
  <si>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</si>
  <si>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</si>
  <si>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</si>
  <si>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</si>
  <si>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</si>
  <si>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</si>
  <si>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</si>
  <si>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</si>
  <si>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</si>
  <si>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</si>
  <si>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</si>
  <si>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</si>
  <si>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</si>
  <si>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</si>
  <si>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</si>
  <si>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</si>
  <si>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</si>
  <si>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</si>
  <si>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</si>
  <si>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</si>
  <si>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</si>
  <si>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</si>
  <si>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</si>
  <si>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</si>
  <si>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</si>
  <si>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</si>
  <si>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</si>
  <si>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</si>
  <si>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</si>
  <si>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</si>
  <si>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</si>
  <si>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</si>
  <si>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</si>
  <si>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</si>
  <si>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</si>
  <si>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</si>
  <si>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</si>
  <si>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</si>
  <si>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</si>
  <si>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</si>
  <si>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</si>
  <si>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</si>
  <si>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</si>
  <si>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</si>
  <si>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</si>
  <si>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</si>
  <si>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</si>
  <si>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</si>
  <si>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</si>
  <si>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</si>
  <si>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</si>
  <si>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</si>
  <si>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</si>
  <si>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</si>
  <si>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</si>
  <si>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</si>
  <si>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</si>
  <si>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</si>
  <si>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</si>
  <si>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</si>
  <si>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</si>
  <si>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</si>
  <si>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</si>
  <si>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</si>
  <si>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</si>
  <si>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</si>
  <si>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</si>
  <si>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</si>
  <si>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</si>
  <si>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</si>
  <si>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</si>
  <si>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</si>
  <si>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</si>
  <si>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</si>
  <si>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</si>
  <si>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</si>
  <si>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</si>
  <si>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</si>
  <si>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</si>
  <si>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</si>
  <si>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</si>
  <si>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</si>
  <si>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</si>
  <si>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</si>
  <si>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</si>
  <si>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</si>
  <si>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</si>
  <si>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</si>
  <si>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</si>
  <si>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</si>
  <si>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</si>
  <si>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</si>
  <si>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</si>
  <si>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</si>
  <si>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</si>
  <si>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</si>
  <si>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</si>
  <si>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</si>
  <si>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</si>
  <si>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</si>
  <si>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</si>
  <si>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</si>
  <si>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</si>
  <si>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</si>
  <si>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</si>
  <si>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</si>
  <si>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</si>
  <si>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</si>
  <si>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</si>
  <si>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</si>
  <si>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</si>
  <si>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</si>
  <si>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</si>
  <si>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</si>
  <si>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</si>
  <si>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</si>
  <si>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</si>
  <si>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</si>
  <si>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</si>
  <si>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</si>
  <si>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</si>
  <si>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</si>
  <si>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</si>
  <si>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</si>
  <si>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</si>
  <si>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</si>
  <si>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</si>
  <si>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</si>
  <si>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</si>
  <si>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</si>
  <si>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</si>
  <si>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</si>
  <si>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</si>
  <si>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</si>
  <si>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</si>
  <si>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</si>
  <si>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</si>
  <si>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</si>
  <si>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</si>
  <si>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</si>
  <si>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</si>
  <si>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</si>
  <si>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</si>
  <si>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</si>
  <si>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</si>
  <si>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</si>
  <si>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</si>
  <si>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</si>
  <si>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</si>
  <si>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</si>
  <si>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</si>
  <si>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</si>
  <si>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</si>
  <si>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</si>
  <si>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</si>
  <si>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</si>
  <si>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</si>
  <si>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</si>
  <si>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</si>
  <si>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</si>
  <si>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</si>
  <si>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</si>
  <si>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</si>
  <si>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</si>
  <si>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</si>
  <si>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</si>
  <si>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</si>
  <si>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</si>
  <si>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</si>
  <si>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</si>
  <si>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</si>
  <si>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</si>
  <si>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</si>
  <si>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</si>
  <si>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</si>
  <si>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</si>
  <si>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</si>
  <si>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</si>
  <si>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</si>
  <si>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</si>
  <si>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</si>
  <si>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</si>
  <si>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</si>
  <si>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</si>
  <si>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</si>
  <si>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</si>
  <si>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</si>
  <si>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</si>
  <si>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</si>
  <si>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</si>
  <si>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</si>
  <si>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</si>
  <si>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</si>
  <si>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</si>
  <si>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</si>
  <si>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</si>
  <si>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</si>
  <si>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</si>
  <si>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</si>
  <si>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</si>
  <si>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</si>
  <si>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</si>
  <si>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</si>
  <si>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</si>
  <si>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</si>
  <si>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</si>
  <si>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</si>
  <si>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</si>
  <si>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</si>
  <si>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</si>
  <si>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</si>
  <si>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</si>
  <si>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</si>
  <si>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</si>
  <si>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</si>
  <si>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</si>
  <si>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</si>
  <si>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</si>
  <si>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</si>
  <si>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</si>
  <si>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</si>
  <si>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</si>
  <si>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</si>
  <si>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</si>
  <si>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</si>
  <si>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</si>
  <si>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</si>
  <si>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</si>
  <si>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</si>
  <si>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</si>
  <si>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</si>
  <si>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</si>
  <si>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</si>
  <si>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</si>
  <si>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</si>
  <si>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</si>
  <si>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</si>
  <si>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</si>
  <si>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</si>
  <si>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</si>
  <si>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</si>
  <si>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</si>
  <si>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</si>
  <si>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</si>
  <si>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</si>
  <si>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</si>
  <si>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</si>
  <si>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</si>
  <si>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</si>
  <si>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</si>
  <si>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</si>
  <si>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</si>
  <si>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</si>
  <si>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</si>
  <si>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</si>
  <si>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</si>
  <si>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</si>
  <si>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</si>
  <si>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</si>
  <si>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</si>
  <si>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</si>
  <si>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</si>
  <si>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</si>
  <si>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</si>
  <si>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</si>
  <si>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</si>
  <si>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</si>
  <si>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</si>
  <si>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</si>
  <si>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</si>
  <si>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</si>
  <si>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</si>
  <si>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</si>
  <si>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</si>
  <si>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</si>
  <si>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</si>
  <si>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</si>
  <si>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</si>
  <si>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</si>
  <si>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</si>
  <si>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</si>
  <si>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</si>
  <si>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</si>
  <si>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</si>
  <si>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</si>
  <si>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</si>
  <si>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</si>
  <si>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</si>
  <si>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</si>
  <si>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</si>
  <si>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</si>
  <si>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</si>
  <si>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</si>
  <si>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</si>
  <si>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</si>
  <si>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</si>
  <si>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</si>
  <si>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</si>
  <si>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</si>
  <si>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</si>
  <si>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</si>
  <si>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</si>
  <si>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</si>
  <si>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</si>
  <si>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</si>
  <si>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</si>
  <si>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</si>
  <si>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</si>
  <si>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</si>
  <si>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</si>
  <si>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</si>
  <si>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</si>
  <si>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</si>
  <si>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</si>
  <si>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</si>
  <si>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</si>
  <si>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</si>
  <si>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</si>
  <si>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</si>
  <si>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</si>
  <si>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</si>
  <si>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</si>
  <si>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</si>
  <si>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</si>
  <si>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</si>
  <si>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</si>
  <si>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</si>
  <si>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</si>
  <si>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</si>
  <si>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</si>
  <si>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</si>
  <si>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</si>
  <si>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</si>
  <si>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</si>
  <si>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</si>
  <si>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</si>
  <si>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</si>
  <si>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</si>
  <si>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</si>
  <si>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</si>
  <si>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</si>
  <si>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</si>
  <si>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</si>
  <si>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</si>
  <si>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</si>
  <si>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</si>
  <si>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</si>
  <si>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</si>
  <si>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</si>
  <si>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</si>
  <si>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</si>
  <si>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</si>
  <si>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</si>
  <si>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</si>
  <si>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</si>
  <si>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</si>
  <si>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</si>
  <si>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</si>
  <si>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</si>
  <si>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</si>
  <si>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</si>
  <si>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</si>
  <si>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</si>
  <si>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</si>
  <si>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</si>
  <si>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</si>
  <si>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</si>
  <si>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</si>
  <si>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</si>
  <si>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</si>
  <si>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</si>
  <si>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</si>
  <si>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</si>
  <si>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</si>
  <si>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</si>
  <si>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</si>
  <si>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</si>
  <si>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</si>
  <si>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</si>
  <si>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</si>
  <si>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</si>
  <si>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</si>
  <si>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</si>
  <si>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</si>
  <si>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</si>
  <si>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</si>
  <si>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</si>
  <si>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</si>
  <si>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</si>
  <si>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</si>
  <si>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</si>
  <si>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</si>
  <si>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</si>
  <si>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</si>
  <si>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</si>
  <si>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</si>
  <si>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</si>
  <si>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</si>
  <si>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</si>
  <si>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</si>
  <si>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</si>
  <si>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</si>
  <si>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</si>
  <si>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</si>
  <si>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</si>
  <si>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</si>
  <si>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</si>
  <si>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</si>
  <si>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</si>
  <si>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</si>
  <si>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</si>
  <si>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</si>
  <si>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</si>
  <si>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</si>
  <si>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</si>
  <si>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</si>
  <si>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</si>
  <si>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</si>
  <si>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</si>
  <si>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</si>
  <si>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</si>
  <si>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</si>
  <si>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</si>
  <si>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</si>
  <si>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</si>
  <si>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</si>
  <si>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</si>
  <si>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</si>
  <si>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</si>
  <si>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</si>
  <si>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</si>
  <si>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</si>
  <si>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</si>
  <si>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</si>
  <si>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</si>
  <si>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</si>
  <si>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</si>
  <si>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</si>
  <si>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</si>
  <si>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</si>
  <si>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</si>
  <si>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</si>
  <si>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</si>
  <si>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</si>
  <si>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</si>
  <si>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</si>
  <si>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</si>
  <si>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</si>
  <si>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</si>
  <si>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</si>
  <si>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</si>
  <si>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</si>
  <si>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</si>
  <si>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</si>
  <si>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</si>
  <si>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</si>
  <si>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</si>
  <si>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</si>
  <si>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</si>
  <si>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</si>
  <si>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</si>
  <si>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</si>
  <si>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</si>
  <si>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</si>
  <si>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</si>
  <si>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</si>
  <si>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</si>
  <si>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</si>
  <si>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</si>
  <si>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</si>
  <si>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</si>
  <si>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</si>
  <si>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</si>
  <si>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</si>
  <si>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</si>
  <si>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</si>
  <si>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</si>
  <si>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</si>
  <si>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</si>
  <si>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</si>
  <si>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</si>
  <si>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</si>
  <si>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</si>
  <si>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</si>
  <si>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</si>
  <si>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</si>
  <si>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</si>
  <si>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</si>
  <si>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</si>
  <si>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</si>
  <si>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</si>
  <si>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</si>
  <si>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</si>
  <si>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</si>
  <si>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</si>
  <si>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</si>
  <si>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</si>
  <si>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</si>
  <si>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</si>
  <si>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</si>
  <si>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</si>
  <si>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</si>
  <si>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</si>
  <si>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</si>
  <si>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</si>
  <si>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</si>
  <si>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</si>
  <si>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</si>
  <si>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</si>
  <si>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</si>
  <si>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</si>
  <si>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</si>
  <si>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</si>
  <si>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</si>
  <si>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</si>
  <si>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</si>
  <si>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</si>
  <si>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</si>
  <si>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</si>
  <si>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</si>
  <si>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</si>
  <si>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</si>
  <si>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</si>
  <si>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</si>
  <si>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</si>
  <si>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</si>
  <si>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</si>
  <si>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</si>
  <si>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</si>
  <si>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</si>
  <si>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</si>
  <si>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</si>
  <si>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</si>
  <si>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</si>
  <si>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</si>
  <si>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</si>
  <si>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</si>
  <si>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</si>
  <si>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</si>
  <si>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</si>
  <si>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</si>
  <si>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</si>
  <si>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</si>
  <si>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</si>
  <si>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</si>
  <si>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</si>
  <si>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</si>
  <si>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</si>
  <si>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</si>
  <si>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</si>
  <si>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</si>
  <si>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</si>
  <si>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</si>
  <si>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</si>
  <si>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</si>
  <si>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</si>
  <si>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</si>
  <si>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</si>
  <si>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</si>
  <si>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</si>
  <si>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</si>
  <si>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</si>
  <si>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</si>
  <si>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</si>
  <si>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</si>
  <si>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</si>
  <si>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</si>
  <si>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</si>
  <si>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</si>
  <si>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</si>
  <si>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</si>
  <si>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</si>
  <si>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</si>
  <si>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</si>
  <si>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</si>
  <si>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</si>
  <si>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</si>
  <si>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</si>
  <si>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</si>
  <si>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</si>
  <si>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</si>
  <si>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</si>
  <si>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</si>
  <si>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</si>
  <si>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</si>
  <si>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</si>
  <si>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</si>
  <si>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</si>
  <si>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</si>
  <si>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</si>
  <si>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</si>
  <si>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</si>
  <si>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</si>
  <si>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</si>
  <si>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</si>
  <si>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</si>
  <si>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</si>
  <si>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</si>
  <si>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</si>
  <si>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</si>
  <si>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</si>
  <si>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</si>
  <si>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</si>
  <si>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</si>
  <si>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</si>
  <si>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</si>
  <si>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</si>
  <si>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</si>
  <si>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</si>
  <si>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</si>
  <si>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</si>
  <si>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</si>
  <si>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</si>
  <si>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</si>
  <si>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</si>
  <si>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</si>
  <si>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</si>
  <si>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</si>
  <si>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</si>
  <si>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</si>
  <si>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</si>
  <si>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</si>
  <si>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</si>
  <si>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</si>
  <si>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</si>
  <si>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</si>
  <si>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</si>
  <si>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</si>
  <si>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</si>
  <si>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</si>
  <si>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</si>
  <si>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</si>
  <si>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</si>
  <si>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</si>
  <si>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</si>
  <si>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</si>
  <si>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</si>
  <si>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</si>
  <si>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</si>
  <si>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</si>
  <si>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</si>
  <si>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</si>
  <si>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</si>
  <si>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</si>
  <si>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</si>
  <si>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</si>
  <si>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</si>
  <si>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</si>
  <si>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</si>
  <si>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</si>
  <si>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</si>
  <si>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</si>
  <si>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</si>
  <si>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</si>
  <si>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</si>
  <si>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</si>
  <si>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</si>
  <si>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</si>
  <si>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</si>
  <si>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</si>
  <si>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</si>
  <si>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</si>
  <si>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</si>
  <si>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</si>
  <si>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</si>
  <si>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</si>
  <si>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</si>
  <si>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</si>
  <si>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</si>
  <si>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</si>
  <si>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</si>
  <si>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</si>
  <si>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</si>
  <si>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</si>
  <si>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</si>
  <si>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</si>
  <si>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</si>
  <si>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</si>
  <si>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</si>
  <si>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</si>
  <si>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</si>
  <si>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</si>
  <si>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</si>
  <si>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</si>
  <si>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</si>
  <si>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</si>
  <si>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</si>
  <si>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</si>
  <si>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</si>
  <si>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</si>
  <si>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</si>
  <si>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</si>
  <si>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</si>
  <si>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</si>
  <si>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</si>
  <si>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</si>
  <si>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</si>
  <si>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</si>
  <si>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</si>
  <si>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</si>
  <si>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</si>
  <si>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</si>
  <si>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</si>
  <si>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</si>
  <si>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</si>
  <si>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</si>
  <si>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</si>
  <si>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</si>
  <si>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</si>
  <si>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</si>
  <si>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</si>
  <si>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</si>
  <si>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</si>
  <si>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</si>
  <si>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</si>
  <si>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</si>
  <si>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</si>
  <si>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</si>
  <si>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</si>
  <si>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</si>
  <si>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</si>
  <si>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</si>
  <si>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</si>
  <si>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</si>
  <si>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</si>
  <si>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</si>
  <si>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</si>
  <si>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</si>
  <si>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</si>
  <si>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</si>
  <si>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</si>
  <si>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</si>
  <si>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</si>
  <si>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</si>
  <si>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</si>
  <si>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</si>
  <si>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</si>
  <si>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</si>
  <si>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</si>
  <si>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</si>
  <si>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</si>
  <si>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</si>
  <si>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</si>
  <si>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</si>
  <si>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</si>
  <si>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</si>
  <si>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</si>
  <si>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</si>
  <si>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</si>
  <si>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</si>
  <si>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</si>
  <si>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</si>
  <si>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</si>
  <si>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</si>
  <si>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</si>
  <si>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</si>
  <si>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</si>
  <si>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</si>
  <si>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</si>
  <si>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</si>
  <si>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</si>
  <si>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</si>
  <si>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</si>
  <si>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</si>
  <si>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</si>
  <si>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</si>
  <si>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</si>
  <si>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</si>
  <si>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</si>
  <si>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</si>
  <si>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</si>
  <si>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</si>
  <si>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</si>
  <si>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</si>
  <si>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</si>
  <si>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</si>
  <si>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</si>
  <si>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</si>
  <si>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</si>
  <si>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</si>
  <si>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</si>
  <si>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</si>
  <si>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</si>
  <si>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</si>
  <si>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</si>
  <si>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</si>
  <si>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</si>
  <si>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</si>
  <si>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</si>
  <si>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</si>
  <si>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</si>
  <si>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</si>
  <si>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</si>
  <si>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</si>
  <si>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</si>
  <si>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</si>
  <si>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</si>
  <si>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</si>
  <si>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</si>
  <si>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</si>
  <si>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</si>
  <si>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</si>
  <si>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</si>
  <si>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</si>
  <si>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</si>
  <si>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</si>
  <si>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</si>
  <si>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</si>
  <si>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</si>
  <si>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</si>
  <si>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</si>
  <si>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</si>
  <si>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</si>
  <si>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</si>
  <si>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</si>
  <si>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</si>
  <si>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</si>
  <si>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</si>
  <si>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</si>
  <si>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</si>
  <si>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</si>
  <si>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</si>
  <si>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</si>
  <si>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</si>
  <si>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</si>
  <si>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</si>
  <si>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</si>
  <si>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</si>
  <si>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</si>
  <si>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</si>
  <si>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</si>
  <si>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</si>
  <si>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</si>
  <si>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</si>
  <si>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</si>
  <si>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</si>
  <si>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</si>
  <si>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</si>
  <si>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</si>
  <si>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</si>
  <si>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</si>
  <si>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</si>
  <si>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</si>
  <si>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</si>
  <si>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</si>
  <si>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</si>
  <si>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</si>
  <si>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</si>
  <si>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</si>
  <si>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</si>
  <si>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</si>
  <si>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</si>
  <si>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</si>
  <si>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</si>
  <si>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</si>
  <si>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</si>
  <si>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</si>
  <si>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</si>
  <si>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</si>
  <si>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</si>
  <si>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</si>
  <si>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</si>
  <si>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</si>
  <si>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</si>
  <si>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</si>
  <si>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</si>
  <si>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</si>
  <si>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</si>
  <si>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</si>
  <si>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</si>
  <si>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</si>
  <si>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</si>
  <si>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</si>
  <si>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</si>
  <si>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</si>
  <si>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</si>
  <si>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</si>
  <si>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</si>
  <si>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</si>
  <si>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</si>
  <si>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</si>
  <si>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</si>
  <si>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</si>
  <si>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</si>
  <si>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</si>
  <si>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</si>
  <si>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</si>
  <si>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</si>
  <si>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</si>
  <si>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</si>
  <si>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</si>
  <si>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</si>
  <si>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</si>
  <si>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</si>
  <si>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</si>
  <si>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</si>
  <si>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</si>
  <si>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</si>
  <si>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</si>
  <si>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</si>
  <si>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</si>
  <si>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</si>
  <si>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</si>
  <si>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</si>
  <si>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</si>
  <si>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</si>
  <si>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</si>
  <si>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</si>
  <si>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</si>
  <si>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</si>
  <si>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</si>
  <si>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</si>
  <si>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</si>
  <si>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</si>
  <si>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</si>
  <si>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</si>
  <si>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</si>
  <si>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</si>
  <si>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</si>
  <si>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</si>
  <si>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</si>
  <si>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</si>
  <si>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</si>
  <si>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</si>
  <si>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</si>
  <si>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</si>
  <si>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</si>
  <si>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</si>
  <si>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</si>
  <si>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</si>
  <si>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</si>
  <si>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</si>
  <si>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</si>
  <si>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</si>
  <si>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</si>
  <si>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</si>
  <si>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</si>
  <si>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</si>
  <si>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</si>
  <si>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</si>
  <si>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</si>
  <si>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</si>
  <si>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</si>
  <si>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</si>
  <si>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</si>
  <si>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</si>
  <si>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</si>
  <si>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</si>
  <si>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</si>
  <si>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</si>
  <si>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</si>
  <si>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</si>
  <si>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</si>
  <si>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</si>
  <si>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</si>
  <si>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</si>
  <si>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</si>
  <si>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</si>
  <si>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</si>
  <si>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</si>
  <si>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</si>
  <si>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</si>
  <si>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</si>
  <si>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</si>
  <si>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</si>
  <si>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</si>
  <si>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</si>
  <si>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</si>
  <si>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</si>
  <si>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</si>
  <si>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</si>
  <si>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</si>
  <si>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</si>
  <si>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</si>
  <si>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</si>
  <si>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</si>
  <si>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</si>
  <si>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</si>
  <si>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</si>
  <si>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</si>
  <si>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</si>
  <si>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</si>
  <si>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</si>
  <si>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</si>
  <si>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</si>
  <si>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</si>
  <si>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</si>
  <si>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</si>
  <si>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</si>
  <si>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</si>
  <si>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</si>
  <si>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</si>
  <si>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</si>
  <si>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</si>
  <si>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</si>
  <si>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</si>
  <si>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</si>
  <si>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</si>
  <si>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</si>
  <si>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</si>
  <si>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</si>
  <si>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</si>
  <si>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</si>
  <si>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</si>
  <si>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</si>
  <si>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</si>
  <si>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</si>
  <si>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</si>
  <si>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</si>
  <si>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</si>
  <si>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</si>
  <si>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</si>
  <si>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</si>
  <si>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</si>
  <si>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</si>
  <si>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</si>
  <si>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</si>
  <si>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</si>
  <si>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</si>
  <si>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</si>
  <si>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</si>
  <si>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</si>
  <si>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</si>
  <si>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</si>
  <si>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</si>
  <si>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</si>
  <si>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</si>
  <si>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</si>
  <si>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</si>
  <si>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</si>
  <si>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</si>
  <si>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</si>
  <si>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</si>
  <si>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</si>
  <si>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</si>
  <si>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</si>
  <si>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</si>
  <si>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</si>
  <si>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</si>
  <si>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</si>
  <si>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</si>
  <si>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</si>
  <si>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</si>
  <si>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</si>
  <si>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</si>
  <si>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</si>
  <si>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</si>
  <si>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</si>
  <si>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</si>
  <si>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</si>
  <si>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</si>
  <si>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</si>
  <si>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</si>
  <si>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</si>
  <si>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</si>
  <si>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</si>
  <si>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</si>
  <si>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</si>
  <si>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</si>
  <si>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</si>
  <si>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</si>
  <si>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</si>
  <si>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</si>
  <si>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</si>
  <si>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</si>
  <si>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</si>
  <si>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</si>
  <si>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</si>
  <si>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</si>
  <si>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</si>
  <si>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</si>
  <si>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</si>
  <si>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</si>
  <si>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</si>
  <si>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</si>
  <si>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</si>
  <si>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</si>
  <si>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</si>
  <si>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</si>
  <si>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</si>
  <si>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</si>
  <si>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</si>
  <si>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</si>
  <si>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</si>
  <si>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</si>
  <si>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</si>
  <si>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</si>
  <si>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</si>
  <si>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</si>
  <si>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</si>
  <si>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</si>
  <si>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</si>
  <si>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</si>
  <si>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</si>
  <si>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</si>
  <si>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</si>
  <si>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</si>
  <si>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</si>
  <si>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</si>
  <si>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</si>
  <si>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</si>
  <si>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</si>
  <si>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</si>
  <si>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</si>
  <si>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</si>
  <si>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</si>
  <si>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</si>
  <si>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</si>
  <si>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</si>
  <si>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</si>
  <si>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</si>
  <si>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</si>
  <si>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</si>
  <si>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</si>
  <si>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</si>
  <si>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</si>
  <si>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</si>
  <si>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</si>
  <si>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</si>
  <si>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</si>
  <si>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</si>
  <si>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</si>
  <si>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</si>
  <si>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</si>
  <si>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</si>
  <si>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</si>
  <si>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</si>
  <si>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</si>
  <si>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</si>
  <si>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</si>
  <si>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</si>
  <si>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</si>
  <si>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</si>
  <si>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</si>
  <si>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</si>
  <si>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</si>
  <si>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</si>
  <si>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</si>
  <si>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</si>
  <si>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</si>
  <si>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</si>
  <si>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</si>
  <si>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</si>
  <si>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</si>
  <si>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</si>
  <si>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</si>
  <si>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</si>
  <si>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</si>
  <si>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</si>
  <si>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</si>
  <si>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</si>
  <si>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</si>
  <si>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</si>
  <si>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</si>
  <si>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</si>
  <si>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</si>
  <si>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</si>
  <si>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</si>
  <si>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</si>
  <si>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</si>
  <si>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</si>
  <si>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</si>
  <si>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</si>
  <si>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</si>
  <si>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</si>
  <si>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</si>
  <si>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</si>
  <si>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</si>
  <si>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</si>
  <si>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</si>
  <si>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</si>
  <si>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</si>
  <si>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</si>
  <si>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</si>
  <si>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</si>
  <si>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</si>
  <si>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</si>
  <si>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</si>
  <si>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</si>
  <si>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</si>
  <si>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</si>
  <si>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</si>
  <si>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</si>
  <si>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</si>
  <si>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</si>
  <si>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</si>
  <si>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</si>
  <si>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</si>
  <si>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</si>
  <si>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</si>
  <si>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</si>
  <si>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</si>
  <si>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</si>
  <si>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</si>
  <si>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</si>
  <si>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</si>
  <si>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</si>
  <si>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</si>
  <si>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</si>
  <si>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</si>
  <si>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</si>
  <si>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</si>
  <si>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</si>
  <si>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</si>
  <si>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</si>
  <si>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</si>
  <si>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</si>
  <si>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</si>
  <si>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</si>
  <si>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</si>
  <si>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</si>
  <si>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</si>
  <si>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</si>
  <si>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</si>
  <si>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</si>
  <si>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</si>
  <si>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</si>
  <si>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</si>
  <si>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</si>
  <si>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</si>
  <si>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</si>
  <si>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</si>
  <si>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</si>
  <si>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</si>
  <si>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</si>
  <si>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</si>
  <si>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</si>
  <si>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</si>
  <si>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</si>
  <si>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</si>
  <si>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</si>
  <si>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</si>
  <si>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</si>
  <si>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</si>
  <si>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</si>
  <si>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</si>
  <si>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</si>
  <si>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</si>
  <si>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</si>
  <si>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</si>
  <si>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</si>
  <si>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</si>
  <si>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</si>
  <si>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</si>
  <si>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</si>
  <si>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</si>
  <si>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</si>
  <si>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</si>
  <si>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</si>
  <si>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</si>
  <si>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</si>
  <si>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</si>
  <si>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</si>
  <si>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</si>
  <si>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</si>
  <si>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</si>
  <si>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</si>
  <si>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</si>
  <si>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</si>
  <si>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</si>
  <si>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</si>
  <si>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</si>
  <si>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</si>
  <si>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</si>
  <si>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</si>
  <si>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</si>
  <si>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</si>
  <si>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</si>
  <si>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</si>
  <si>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</si>
  <si>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</si>
  <si>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</si>
  <si>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</si>
  <si>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</si>
  <si>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</si>
  <si>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</si>
  <si>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</si>
  <si>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</si>
  <si>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</si>
  <si>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</si>
  <si>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</si>
  <si>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</si>
  <si>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</si>
  <si>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</si>
  <si>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</si>
  <si>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</si>
  <si>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</si>
  <si>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</si>
  <si>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</si>
  <si>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</si>
  <si>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</si>
  <si>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</si>
  <si>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</si>
  <si>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</si>
  <si>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</si>
  <si>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</si>
  <si>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</si>
  <si>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</si>
  <si>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</si>
  <si>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</si>
  <si>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</si>
  <si>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</si>
  <si>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</si>
  <si>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</si>
  <si>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</si>
  <si>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</si>
  <si>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</si>
  <si>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</si>
  <si>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</si>
  <si>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</si>
  <si>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</si>
  <si>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</si>
  <si>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</si>
  <si>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</si>
  <si>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</si>
  <si>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</si>
  <si>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</si>
  <si>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</si>
  <si>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</si>
  <si>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</si>
  <si>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</si>
  <si>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</si>
  <si>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</si>
  <si>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</si>
  <si>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</si>
  <si>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</si>
  <si>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</si>
  <si>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</si>
  <si>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</si>
  <si>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</si>
  <si>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</si>
  <si>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</si>
  <si>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</si>
  <si>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</si>
  <si>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</si>
  <si>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</si>
  <si>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</si>
  <si>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</si>
  <si>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</si>
  <si>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</si>
  <si>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</si>
  <si>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</si>
  <si>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</si>
  <si>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</si>
  <si>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</si>
  <si>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</si>
  <si>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</si>
  <si>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</si>
  <si>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</si>
  <si>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</si>
  <si>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</si>
  <si>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</si>
  <si>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</si>
  <si>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</si>
  <si>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</si>
  <si>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</si>
  <si>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</si>
  <si>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</si>
  <si>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</si>
  <si>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</si>
  <si>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</si>
  <si>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</si>
  <si>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</si>
  <si>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</si>
  <si>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</si>
  <si>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</si>
  <si>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</si>
  <si>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</si>
  <si>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</si>
  <si>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</si>
  <si>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</si>
  <si>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</si>
  <si>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</si>
  <si>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</si>
  <si>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</si>
  <si>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</si>
  <si>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</si>
  <si>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</si>
  <si>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</si>
  <si>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</si>
  <si>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</si>
  <si>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</si>
  <si>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</si>
  <si>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</si>
  <si>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</si>
  <si>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</si>
  <si>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</si>
  <si>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</si>
  <si>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</si>
  <si>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</si>
  <si>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</si>
  <si>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</si>
  <si>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</si>
  <si>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</si>
  <si>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</si>
  <si>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</si>
  <si>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</si>
  <si>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</si>
  <si>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</si>
  <si>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</si>
  <si>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</si>
  <si>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</si>
  <si>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</si>
  <si>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</si>
  <si>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</si>
  <si>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</si>
  <si>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</si>
  <si>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</si>
  <si>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</si>
  <si>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</si>
  <si>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</si>
  <si>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</si>
  <si>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1.2.10 - Adminbereich: Userverwaltung</t>
  </si>
  <si>
    <t>1.2.11 - Persönliche Ben.: Mediendownload</t>
  </si>
  <si>
    <t>1.2.12 - Adminbereich: für Menü Mitglieder</t>
  </si>
  <si>
    <t>1.2.13 - Adminbereich: E-Mails an alle</t>
  </si>
  <si>
    <t>1.2.14 - Adminbereich: Startseite bearbeiten</t>
  </si>
  <si>
    <t>1.2.15 - Newsfeed öffentlich</t>
  </si>
  <si>
    <t>1.2.16 - Newsfeed privat</t>
  </si>
  <si>
    <t>1.2.17 - Adminbereich: News/Termine bearbeiten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</si>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</sst>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4" xfId="0" applyFont="1" applyFill="1" applyBorder="1" applyAlignment="1" applyProtection="1">
      <alignment horizontal="left" vertical="top" wrapText="1"/>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wrapText="1"/>
      <protection hidden="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0" fontId="102" fillId="42" borderId="11" xfId="0" applyFont="1" applyFill="1" applyBorder="1" applyAlignment="1">
      <alignment horizontal="left" vertical="top"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0" fontId="102" fillId="42" borderId="67" xfId="0" applyFont="1" applyFill="1" applyBorder="1" applyAlignment="1">
      <alignment horizontal="left"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110" fillId="41" borderId="63" xfId="0" applyNumberFormat="1" applyFont="1" applyFill="1" applyBorder="1" applyAlignment="1">
      <alignment horizontal="center" vertical="center" textRotation="90"/>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8" fillId="0" borderId="0" xfId="0" applyFont="1" applyFill="1" applyBorder="1" applyAlignment="1">
      <alignment horizontal="left" vertical="center"/>
    </xf>
    <xf numFmtId="0" fontId="33" fillId="0" borderId="0" xfId="0" applyFont="1" applyFill="1" applyBorder="1" applyAlignment="1">
      <alignment horizontal="left" vertical="center"/>
    </xf>
    <xf numFmtId="0" fontId="6" fillId="0" borderId="0" xfId="0" applyNumberFormat="1" applyFont="1" applyFill="1" applyBorder="1" applyAlignment="1">
      <alignment horizontal="left" vertical="center" shrinkToFi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3" fontId="8" fillId="0" borderId="0" xfId="0" applyNumberFormat="1" applyFont="1" applyFill="1" applyBorder="1" applyAlignment="1">
      <alignment horizontal="left" vertical="top"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1" fontId="33" fillId="33" borderId="22" xfId="0" applyNumberFormat="1" applyFont="1" applyFill="1" applyBorder="1" applyAlignment="1">
      <alignment horizontal="center" vertical="center"/>
    </xf>
    <xf numFmtId="0" fontId="33" fillId="33" borderId="22" xfId="0" applyNumberFormat="1" applyFont="1" applyFill="1" applyBorder="1" applyAlignment="1">
      <alignment horizontal="left" vertical="center"/>
    </xf>
    <xf numFmtId="0" fontId="33" fillId="33" borderId="22" xfId="0" applyFont="1" applyFill="1" applyBorder="1" applyAlignment="1"/>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171" fontId="103" fillId="42" borderId="1" xfId="0" applyNumberFormat="1" applyFont="1" applyFill="1" applyBorder="1" applyAlignment="1">
      <alignment horizontal="center"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1" fontId="33" fillId="33" borderId="34" xfId="0" applyNumberFormat="1" applyFont="1" applyFill="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0" fontId="102" fillId="42" borderId="1" xfId="0" applyFont="1" applyFill="1" applyBorder="1" applyAlignment="1">
      <alignment horizontal="right" vertical="center"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9" fontId="103" fillId="42" borderId="1" xfId="0" applyNumberFormat="1"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0" fontId="103" fillId="42" borderId="1" xfId="0" applyFont="1" applyFill="1" applyBorder="1" applyAlignment="1">
      <alignment horizontal="right" vertical="center"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171" fontId="103" fillId="43" borderId="1" xfId="0" applyNumberFormat="1" applyFont="1" applyFill="1" applyBorder="1" applyAlignment="1">
      <alignment horizontal="center" vertical="top" wrapText="1"/>
    </xf>
    <xf numFmtId="49" fontId="103" fillId="43" borderId="1" xfId="0" applyNumberFormat="1" applyFont="1" applyFill="1" applyBorder="1" applyAlignment="1">
      <alignment horizontal="left" vertical="center" wrapText="1"/>
    </xf>
    <xf numFmtId="49" fontId="102"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0" fontId="102" fillId="42" borderId="1" xfId="0" applyFont="1" applyFill="1" applyBorder="1" applyAlignment="1">
      <alignment horizontal="left" vertical="center" wrapText="1"/>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1" fontId="8" fillId="0" borderId="0" xfId="0" applyNumberFormat="1" applyFont="1" applyFill="1" applyBorder="1" applyAlignment="1">
      <alignment horizontal="center" vertical="center"/>
    </xf>
    <xf numFmtId="171" fontId="8" fillId="0" borderId="0" xfId="0" applyNumberFormat="1" applyFont="1" applyFill="1" applyBorder="1" applyAlignment="1">
      <alignment horizontal="center" vertical="center"/>
    </xf>
    <xf numFmtId="49" fontId="6" fillId="0" borderId="0" xfId="0" applyNumberFormat="1" applyFont="1" applyFill="1" applyBorder="1" applyAlignment="1">
      <alignment horizontal="left" vertical="center" shrinkToFit="1"/>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0" fontId="105" fillId="42" borderId="70" xfId="0" applyNumberFormat="1" applyFont="1" applyFill="1" applyBorder="1" applyAlignment="1">
      <alignment horizontal="left" vertical="top"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33" fillId="0" borderId="0" xfId="0" applyFont="1" applyFill="1" applyBorder="1" applyAlignment="1" applyProtection="1">
      <alignment horizontal="left" vertical="top"/>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7" xfId="0" applyFont="1" applyFill="1" applyBorder="1" applyAlignment="1" applyProtection="1">
      <alignment horizontal="left" vertical="center"/>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9" xfId="0" applyFont="1" applyFill="1" applyBorder="1" applyAlignment="1" applyProtection="1">
      <alignment horizontal="left" vertical="center"/>
      <protection hidden="1"/>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129" fillId="37" borderId="9" xfId="0" applyFont="1" applyFill="1" applyBorder="1" applyAlignment="1" applyProtection="1">
      <alignment horizontal="left" vertical="center"/>
      <protection hidden="1"/>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60" fillId="0" borderId="2" xfId="0" applyNumberFormat="1" applyFont="1" applyBorder="1" applyAlignment="1" applyProtection="1">
      <alignment horizontal="left" indent="1"/>
      <protection hidden="1"/>
    </xf>
    <xf numFmtId="0" fontId="25" fillId="0" borderId="10" xfId="0" applyFont="1" applyBorder="1" applyAlignment="1">
      <alignment horizontal="center" textRotation="90" wrapText="1"/>
    </xf>
    <xf numFmtId="0" fontId="25" fillId="0" borderId="11"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2"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4" xfId="0" applyFont="1" applyBorder="1" applyAlignment="1">
      <alignment horizontal="center" textRotation="90" wrapText="1"/>
    </xf>
    <xf numFmtId="0" fontId="25" fillId="0" borderId="5"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9"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73">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254</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148.5</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105.5</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254</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8890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5197.5</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3692.5</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8890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0.13095238095238096</c:v>
                </c:pt>
                <c:pt idx="1">
                  <c:v>0.35204081632653061</c:v>
                </c:pt>
                <c:pt idx="2">
                  <c:v>0.25600000000000001</c:v>
                </c:pt>
                <c:pt idx="3">
                  <c:v>0.25600000000000001</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25%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42754</v>
      </c>
    </row>
    <row r="57" spans="1:5" s="46" customFormat="1" ht="18.75" x14ac:dyDescent="0.3">
      <c r="B57" s="373" t="str">
        <f>VLOOKUP("baseplan_saved",sprachtabelle,4,FALSE)  &amp; ":"</f>
        <v>Basisplan gespeichert:</v>
      </c>
      <c r="C57" s="583">
        <f>nlc_task('Calc-Master'!AF10)</f>
        <v>42754</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27"/>
      <c r="B1" s="1028"/>
      <c r="C1" s="1028"/>
      <c r="D1" s="1028"/>
      <c r="E1" s="1028"/>
      <c r="F1" s="1028"/>
      <c r="G1" s="1028"/>
      <c r="H1" s="1028"/>
      <c r="I1" s="1028"/>
      <c r="J1" s="1029"/>
    </row>
    <row r="2" spans="1:12" ht="50.1" customHeight="1" x14ac:dyDescent="0.4">
      <c r="A2" s="1030" t="str">
        <f>VLOOKUP("assignment",sprachtabelle,4,FALSE)</f>
        <v>Projekt-Auftrag</v>
      </c>
      <c r="B2" s="1031"/>
      <c r="C2" s="1031"/>
      <c r="D2" s="1031"/>
      <c r="E2" s="1031"/>
      <c r="F2" s="1031"/>
      <c r="G2" s="1031"/>
      <c r="H2" s="1031"/>
      <c r="I2" s="1031"/>
      <c r="J2" s="1032"/>
    </row>
    <row r="3" spans="1:12" ht="22.5" customHeight="1" x14ac:dyDescent="0.2">
      <c r="A3" s="1033" t="str">
        <f>'Calc-Master'!AQ11</f>
        <v>HP Chor Pollham mit Notenarchiv</v>
      </c>
      <c r="B3" s="1034"/>
      <c r="C3" s="1034"/>
      <c r="D3" s="1034"/>
      <c r="E3" s="1034"/>
      <c r="F3" s="1034"/>
      <c r="G3" s="1034"/>
      <c r="H3" s="1034"/>
      <c r="I3" s="1034"/>
      <c r="J3" s="1035"/>
    </row>
    <row r="4" spans="1:12" ht="15.75" x14ac:dyDescent="0.25">
      <c r="A4" s="1003" t="str">
        <f>VLOOKUP("start event",sprachtabelle,4,FALSE) &amp; ":"</f>
        <v>Startereignis:</v>
      </c>
      <c r="B4" s="1004"/>
      <c r="C4" s="1004"/>
      <c r="D4" s="1004"/>
      <c r="E4" s="1005"/>
      <c r="F4" s="1003" t="str">
        <f>VLOOKUP("start date",sprachtabelle,4,FALSE) &amp; "*:"</f>
        <v>Starttermin*:</v>
      </c>
      <c r="G4" s="1004"/>
      <c r="H4" s="1004"/>
      <c r="I4" s="1004"/>
      <c r="J4" s="1005"/>
    </row>
    <row r="5" spans="1:12" ht="26.1" customHeight="1" x14ac:dyDescent="0.2">
      <c r="A5" s="455"/>
      <c r="B5" s="994" t="s">
        <v>2804</v>
      </c>
      <c r="C5" s="995"/>
      <c r="D5" s="995"/>
      <c r="E5" s="996"/>
      <c r="F5" s="48"/>
      <c r="G5" s="997" t="s">
        <v>2805</v>
      </c>
      <c r="H5" s="997"/>
      <c r="I5" s="997"/>
      <c r="J5" s="998"/>
    </row>
    <row r="6" spans="1:12" ht="3" customHeight="1" x14ac:dyDescent="0.2">
      <c r="A6" s="78"/>
      <c r="B6" s="79"/>
      <c r="C6" s="80"/>
      <c r="D6" s="80"/>
      <c r="E6" s="80"/>
      <c r="F6" s="78"/>
      <c r="G6" s="79"/>
      <c r="H6" s="79"/>
      <c r="I6" s="79"/>
      <c r="J6" s="81"/>
      <c r="L6" s="452"/>
    </row>
    <row r="7" spans="1:12" ht="15.75" x14ac:dyDescent="0.25">
      <c r="A7" s="1003" t="str">
        <f>VLOOKUP("end event",sprachtabelle,4,FALSE) &amp; ":"</f>
        <v>Endereignis:</v>
      </c>
      <c r="B7" s="1004"/>
      <c r="C7" s="1004"/>
      <c r="D7" s="1004"/>
      <c r="E7" s="1005"/>
      <c r="F7" s="1003" t="str">
        <f>VLOOKUP("end date",sprachtabelle,4,FALSE) &amp; "*:"</f>
        <v>Endtermin*:</v>
      </c>
      <c r="G7" s="1004"/>
      <c r="H7" s="1004"/>
      <c r="I7" s="1004"/>
      <c r="J7" s="1005"/>
    </row>
    <row r="8" spans="1:12" ht="26.1" customHeight="1" x14ac:dyDescent="0.2">
      <c r="A8" s="455"/>
      <c r="B8" s="994" t="s">
        <v>2845</v>
      </c>
      <c r="C8" s="995"/>
      <c r="D8" s="995"/>
      <c r="E8" s="996"/>
      <c r="F8" s="48"/>
      <c r="G8" s="997">
        <v>42900</v>
      </c>
      <c r="H8" s="997"/>
      <c r="I8" s="997"/>
      <c r="J8" s="998"/>
    </row>
    <row r="9" spans="1:12" ht="3" customHeight="1" x14ac:dyDescent="0.2">
      <c r="A9" s="78"/>
      <c r="B9" s="79"/>
      <c r="C9" s="80"/>
      <c r="D9" s="80"/>
      <c r="E9" s="80"/>
      <c r="F9" s="78"/>
      <c r="G9" s="79"/>
      <c r="H9" s="79"/>
      <c r="I9" s="79"/>
      <c r="J9" s="81"/>
      <c r="L9" s="452"/>
    </row>
    <row r="10" spans="1:12" ht="15.75" hidden="1" x14ac:dyDescent="0.25">
      <c r="A10" s="999"/>
      <c r="B10" s="1000"/>
      <c r="C10" s="1000"/>
      <c r="D10" s="1000"/>
      <c r="E10" s="1001"/>
      <c r="F10" s="999"/>
      <c r="G10" s="1000"/>
      <c r="H10" s="1000"/>
      <c r="I10" s="1000"/>
      <c r="J10" s="1001"/>
    </row>
    <row r="11" spans="1:12" ht="26.1" hidden="1" customHeight="1" x14ac:dyDescent="0.2">
      <c r="A11" s="455"/>
      <c r="B11" s="994"/>
      <c r="C11" s="995"/>
      <c r="D11" s="995"/>
      <c r="E11" s="996"/>
      <c r="F11" s="48"/>
      <c r="G11" s="997"/>
      <c r="H11" s="997"/>
      <c r="I11" s="997"/>
      <c r="J11" s="998"/>
    </row>
    <row r="12" spans="1:12" ht="3" hidden="1" customHeight="1" x14ac:dyDescent="0.2">
      <c r="A12" s="78"/>
      <c r="B12" s="79"/>
      <c r="C12" s="80"/>
      <c r="D12" s="80"/>
      <c r="E12" s="80"/>
      <c r="F12" s="451"/>
      <c r="G12" s="79"/>
      <c r="H12" s="79"/>
      <c r="I12" s="79"/>
      <c r="J12" s="81"/>
      <c r="L12" s="452"/>
    </row>
    <row r="13" spans="1:12" ht="15.75" hidden="1" x14ac:dyDescent="0.25">
      <c r="A13" s="999"/>
      <c r="B13" s="1000"/>
      <c r="C13" s="1000"/>
      <c r="D13" s="1000"/>
      <c r="E13" s="1001"/>
      <c r="F13" s="999"/>
      <c r="G13" s="1000"/>
      <c r="H13" s="1000"/>
      <c r="I13" s="1000"/>
      <c r="J13" s="1001"/>
    </row>
    <row r="14" spans="1:12" ht="26.1" hidden="1" customHeight="1" x14ac:dyDescent="0.2">
      <c r="A14" s="455"/>
      <c r="B14" s="994"/>
      <c r="C14" s="995"/>
      <c r="D14" s="995"/>
      <c r="E14" s="996"/>
      <c r="F14" s="48"/>
      <c r="G14" s="997"/>
      <c r="H14" s="997"/>
      <c r="I14" s="997"/>
      <c r="J14" s="998"/>
    </row>
    <row r="15" spans="1:12" ht="3" hidden="1" customHeight="1" x14ac:dyDescent="0.2">
      <c r="A15" s="78"/>
      <c r="B15" s="79"/>
      <c r="C15" s="80"/>
      <c r="D15" s="80"/>
      <c r="E15" s="80"/>
      <c r="F15" s="451"/>
      <c r="G15" s="79"/>
      <c r="H15" s="79"/>
      <c r="I15" s="79"/>
      <c r="J15" s="81"/>
      <c r="L15" s="452"/>
    </row>
    <row r="16" spans="1:12" ht="15.75" x14ac:dyDescent="0.25">
      <c r="A16" s="1003" t="str">
        <f>VLOOKUP("objectives",sprachtabelle,4,FALSE) &amp; ":"</f>
        <v>Ziele:</v>
      </c>
      <c r="B16" s="1004"/>
      <c r="C16" s="1004"/>
      <c r="D16" s="1004"/>
      <c r="E16" s="1004"/>
      <c r="F16" s="1004"/>
      <c r="G16" s="1004"/>
      <c r="H16" s="1004"/>
      <c r="I16" s="1004"/>
      <c r="J16" s="1005"/>
    </row>
    <row r="17" spans="1:12" x14ac:dyDescent="0.2">
      <c r="A17" s="454">
        <f>IF(B17="","",1)</f>
        <v>1</v>
      </c>
      <c r="B17" s="994" t="s">
        <v>2806</v>
      </c>
      <c r="C17" s="994"/>
      <c r="D17" s="994"/>
      <c r="E17" s="994"/>
      <c r="F17" s="994"/>
      <c r="G17" s="994"/>
      <c r="H17" s="994"/>
      <c r="I17" s="994"/>
      <c r="J17" s="1002"/>
      <c r="L17" s="453" t="str">
        <f>nlc_task(B17)</f>
        <v>Für den Kirchenchor dynamische HP mit Userverwaltung und Notenarchiv.</v>
      </c>
    </row>
    <row r="18" spans="1:12" x14ac:dyDescent="0.2">
      <c r="A18" s="454">
        <f>IF(B18="","",2)</f>
        <v>2</v>
      </c>
      <c r="B18" s="994" t="s">
        <v>2814</v>
      </c>
      <c r="C18" s="994"/>
      <c r="D18" s="994"/>
      <c r="E18" s="994"/>
      <c r="F18" s="994"/>
      <c r="G18" s="994"/>
      <c r="H18" s="994"/>
      <c r="I18" s="994"/>
      <c r="J18" s="1002"/>
      <c r="L18" s="453" t="str">
        <f t="shared" ref="L18:L26" si="0">nlc_task(B18)</f>
        <v xml:space="preserve">Userverwaltung für Admin </v>
      </c>
    </row>
    <row r="19" spans="1:12" x14ac:dyDescent="0.2">
      <c r="A19" s="454">
        <f>IF(B19="","",3)</f>
        <v>3</v>
      </c>
      <c r="B19" s="994" t="s">
        <v>2807</v>
      </c>
      <c r="C19" s="994"/>
      <c r="D19" s="994"/>
      <c r="E19" s="994"/>
      <c r="F19" s="994"/>
      <c r="G19" s="994"/>
      <c r="H19" s="994"/>
      <c r="I19" s="994"/>
      <c r="J19" s="1002"/>
      <c r="L19" s="453" t="str">
        <f t="shared" si="0"/>
        <v>Senden von E-Mails an Chormitglieder vom Admin (Subadmin)</v>
      </c>
    </row>
    <row r="20" spans="1:12" x14ac:dyDescent="0.2">
      <c r="A20" s="454">
        <f>IF(B20="","",4)</f>
        <v>4</v>
      </c>
      <c r="B20" s="994" t="s">
        <v>2808</v>
      </c>
      <c r="C20" s="994"/>
      <c r="D20" s="994"/>
      <c r="E20" s="994"/>
      <c r="F20" s="994"/>
      <c r="G20" s="994"/>
      <c r="H20" s="994"/>
      <c r="I20" s="994"/>
      <c r="J20" s="1002"/>
      <c r="L20" s="453" t="str">
        <f t="shared" si="0"/>
        <v>Anmeldung für Chormitglieder</v>
      </c>
    </row>
    <row r="21" spans="1:12" x14ac:dyDescent="0.2">
      <c r="A21" s="454">
        <f>IF(B21="","",5)</f>
        <v>5</v>
      </c>
      <c r="B21" s="994" t="s">
        <v>2809</v>
      </c>
      <c r="C21" s="994"/>
      <c r="D21" s="994"/>
      <c r="E21" s="994"/>
      <c r="F21" s="994"/>
      <c r="G21" s="994"/>
      <c r="H21" s="994"/>
      <c r="I21" s="994"/>
      <c r="J21" s="1002"/>
      <c r="L21" s="453" t="str">
        <f t="shared" si="0"/>
        <v>Sehen von Terminen</v>
      </c>
    </row>
    <row r="22" spans="1:12" x14ac:dyDescent="0.2">
      <c r="A22" s="454">
        <f>IF(B22="","",6)</f>
        <v>6</v>
      </c>
      <c r="B22" s="994" t="s">
        <v>2817</v>
      </c>
      <c r="C22" s="994"/>
      <c r="D22" s="994"/>
      <c r="E22" s="994"/>
      <c r="F22" s="994"/>
      <c r="G22" s="994"/>
      <c r="H22" s="994"/>
      <c r="I22" s="994"/>
      <c r="J22" s="1002"/>
      <c r="L22" s="453" t="str">
        <f t="shared" si="0"/>
        <v>Download von Dokumenten und Medien</v>
      </c>
    </row>
    <row r="23" spans="1:12" x14ac:dyDescent="0.2">
      <c r="A23" s="454">
        <f>IF(B23="","",7)</f>
        <v>7</v>
      </c>
      <c r="B23" s="994" t="s">
        <v>2810</v>
      </c>
      <c r="C23" s="994"/>
      <c r="D23" s="994"/>
      <c r="E23" s="994"/>
      <c r="F23" s="994"/>
      <c r="G23" s="994"/>
      <c r="H23" s="994"/>
      <c r="I23" s="994"/>
      <c r="J23" s="1002"/>
      <c r="L23" s="453" t="str">
        <f t="shared" si="0"/>
        <v>Homepagebesucherbereich mit Newsfeed, allgemeinen Informationen und Ansicht von Chormitgliedern</v>
      </c>
    </row>
    <row r="24" spans="1:12" x14ac:dyDescent="0.2">
      <c r="A24" s="454">
        <f>IF(B24="","",8)</f>
        <v>8</v>
      </c>
      <c r="B24" s="994" t="s">
        <v>2815</v>
      </c>
      <c r="C24" s="994"/>
      <c r="D24" s="994"/>
      <c r="E24" s="994"/>
      <c r="F24" s="994"/>
      <c r="G24" s="994"/>
      <c r="H24" s="994"/>
      <c r="I24" s="994"/>
      <c r="J24" s="1002"/>
      <c r="L24" s="453" t="str">
        <f t="shared" si="0"/>
        <v>Admin kann Medien und Dokumente hochladen/bearbeiten/löschen und an gewisse User, oder für alle freibegen</v>
      </c>
    </row>
    <row r="25" spans="1:12" x14ac:dyDescent="0.2">
      <c r="A25" s="454">
        <f>IF(B25="","",9)</f>
        <v>9</v>
      </c>
      <c r="B25" s="994" t="s">
        <v>2958</v>
      </c>
      <c r="C25" s="994"/>
      <c r="D25" s="994"/>
      <c r="E25" s="994"/>
      <c r="F25" s="994"/>
      <c r="G25" s="994"/>
      <c r="H25" s="994"/>
      <c r="I25" s="994"/>
      <c r="J25" s="1002"/>
      <c r="L25" s="453" t="str">
        <f t="shared" si="0"/>
        <v>Integrieren von Google-Diensten</v>
      </c>
    </row>
    <row r="26" spans="1:12" x14ac:dyDescent="0.2">
      <c r="A26" s="454">
        <f>IF(B26="","",10)</f>
        <v>10</v>
      </c>
      <c r="B26" s="994" t="s">
        <v>2816</v>
      </c>
      <c r="C26" s="994"/>
      <c r="D26" s="994"/>
      <c r="E26" s="994"/>
      <c r="F26" s="994"/>
      <c r="G26" s="994"/>
      <c r="H26" s="994"/>
      <c r="I26" s="994"/>
      <c r="J26" s="1002"/>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3" t="str">
        <f>VLOOKUP("non-objectives",sprachtabelle,4,FALSE) &amp; ":"</f>
        <v>Nicht-Ziele:</v>
      </c>
      <c r="B28" s="1004"/>
      <c r="C28" s="1004"/>
      <c r="D28" s="1004"/>
      <c r="E28" s="1004"/>
      <c r="F28" s="1004"/>
      <c r="G28" s="1004"/>
      <c r="H28" s="1004"/>
      <c r="I28" s="1004"/>
      <c r="J28" s="1005"/>
      <c r="L28" s="452"/>
    </row>
    <row r="29" spans="1:12" x14ac:dyDescent="0.2">
      <c r="A29" s="454">
        <f>IF(B29="","",1)</f>
        <v>1</v>
      </c>
      <c r="B29" s="994" t="s">
        <v>2811</v>
      </c>
      <c r="C29" s="994"/>
      <c r="D29" s="994"/>
      <c r="E29" s="994"/>
      <c r="F29" s="994"/>
      <c r="G29" s="994"/>
      <c r="H29" s="994"/>
      <c r="I29" s="994"/>
      <c r="J29" s="1002"/>
      <c r="L29" s="453" t="str">
        <f>nlc_task(B29)</f>
        <v>Wartung des Systems</v>
      </c>
    </row>
    <row r="30" spans="1:12" x14ac:dyDescent="0.2">
      <c r="A30" s="454">
        <f>IF(B30="","",2)</f>
        <v>2</v>
      </c>
      <c r="B30" s="994" t="s">
        <v>2812</v>
      </c>
      <c r="C30" s="994"/>
      <c r="D30" s="994"/>
      <c r="E30" s="994"/>
      <c r="F30" s="994"/>
      <c r="G30" s="994"/>
      <c r="H30" s="994"/>
      <c r="I30" s="994"/>
      <c r="J30" s="1002"/>
      <c r="L30" s="453" t="str">
        <f t="shared" ref="L30:L38" si="1">nlc_task(B30)</f>
        <v>Mobile App</v>
      </c>
    </row>
    <row r="31" spans="1:12" x14ac:dyDescent="0.2">
      <c r="A31" s="454">
        <f>IF(B31="","",3)</f>
        <v>3</v>
      </c>
      <c r="B31" s="994" t="s">
        <v>2813</v>
      </c>
      <c r="C31" s="994"/>
      <c r="D31" s="994"/>
      <c r="E31" s="994"/>
      <c r="F31" s="994"/>
      <c r="G31" s="994"/>
      <c r="H31" s="994"/>
      <c r="I31" s="994"/>
      <c r="J31" s="1002"/>
      <c r="L31" s="453" t="str">
        <f t="shared" si="1"/>
        <v>Mobile Website für Smartphones</v>
      </c>
    </row>
    <row r="32" spans="1:12" x14ac:dyDescent="0.2">
      <c r="A32" s="454" t="str">
        <f>IF(B32="","",4)</f>
        <v/>
      </c>
      <c r="B32" s="994"/>
      <c r="C32" s="994"/>
      <c r="D32" s="994"/>
      <c r="E32" s="994"/>
      <c r="F32" s="994"/>
      <c r="G32" s="994"/>
      <c r="H32" s="994"/>
      <c r="I32" s="994"/>
      <c r="J32" s="1002"/>
      <c r="L32" s="453" t="str">
        <f t="shared" si="1"/>
        <v/>
      </c>
    </row>
    <row r="33" spans="1:15" x14ac:dyDescent="0.2">
      <c r="A33" s="454" t="str">
        <f>IF(B33="","",5)</f>
        <v/>
      </c>
      <c r="B33" s="994"/>
      <c r="C33" s="994"/>
      <c r="D33" s="994"/>
      <c r="E33" s="994"/>
      <c r="F33" s="994"/>
      <c r="G33" s="994"/>
      <c r="H33" s="994"/>
      <c r="I33" s="994"/>
      <c r="J33" s="1002"/>
      <c r="L33" s="453" t="str">
        <f t="shared" si="1"/>
        <v/>
      </c>
    </row>
    <row r="34" spans="1:15" x14ac:dyDescent="0.2">
      <c r="A34" s="454" t="str">
        <f>IF(B34="","",6)</f>
        <v/>
      </c>
      <c r="B34" s="994"/>
      <c r="C34" s="994"/>
      <c r="D34" s="994"/>
      <c r="E34" s="994"/>
      <c r="F34" s="994"/>
      <c r="G34" s="994"/>
      <c r="H34" s="994"/>
      <c r="I34" s="994"/>
      <c r="J34" s="1002"/>
      <c r="L34" s="453" t="str">
        <f t="shared" si="1"/>
        <v/>
      </c>
    </row>
    <row r="35" spans="1:15" x14ac:dyDescent="0.2">
      <c r="A35" s="454" t="str">
        <f>IF(B35="","",7)</f>
        <v/>
      </c>
      <c r="B35" s="994"/>
      <c r="C35" s="994"/>
      <c r="D35" s="994"/>
      <c r="E35" s="994"/>
      <c r="F35" s="994"/>
      <c r="G35" s="994"/>
      <c r="H35" s="994"/>
      <c r="I35" s="994"/>
      <c r="J35" s="1002"/>
      <c r="L35" s="453" t="str">
        <f t="shared" si="1"/>
        <v/>
      </c>
    </row>
    <row r="36" spans="1:15" x14ac:dyDescent="0.2">
      <c r="A36" s="454" t="str">
        <f>IF(B36="","",8)</f>
        <v/>
      </c>
      <c r="B36" s="994"/>
      <c r="C36" s="994"/>
      <c r="D36" s="994"/>
      <c r="E36" s="994"/>
      <c r="F36" s="994"/>
      <c r="G36" s="994"/>
      <c r="H36" s="994"/>
      <c r="I36" s="994"/>
      <c r="J36" s="1002"/>
      <c r="L36" s="453" t="str">
        <f t="shared" si="1"/>
        <v/>
      </c>
    </row>
    <row r="37" spans="1:15" x14ac:dyDescent="0.2">
      <c r="A37" s="454" t="str">
        <f>IF(B37="","",9)</f>
        <v/>
      </c>
      <c r="B37" s="994"/>
      <c r="C37" s="994"/>
      <c r="D37" s="994"/>
      <c r="E37" s="994"/>
      <c r="F37" s="994"/>
      <c r="G37" s="994"/>
      <c r="H37" s="994"/>
      <c r="I37" s="994"/>
      <c r="J37" s="1002"/>
      <c r="L37" s="453" t="str">
        <f t="shared" si="1"/>
        <v/>
      </c>
    </row>
    <row r="38" spans="1:15" x14ac:dyDescent="0.2">
      <c r="A38" s="454" t="str">
        <f>IF(B38="","",10)</f>
        <v/>
      </c>
      <c r="B38" s="994"/>
      <c r="C38" s="994"/>
      <c r="D38" s="994"/>
      <c r="E38" s="994"/>
      <c r="F38" s="994"/>
      <c r="G38" s="994"/>
      <c r="H38" s="994"/>
      <c r="I38" s="994"/>
      <c r="J38" s="1002"/>
      <c r="L38" s="453" t="str">
        <f t="shared" si="1"/>
        <v/>
      </c>
    </row>
    <row r="39" spans="1:15" ht="3" customHeight="1" x14ac:dyDescent="0.2">
      <c r="A39" s="78"/>
      <c r="B39" s="79"/>
      <c r="C39" s="80"/>
      <c r="D39" s="80"/>
      <c r="E39" s="80"/>
      <c r="F39" s="451"/>
      <c r="G39" s="79"/>
      <c r="H39" s="79"/>
      <c r="I39" s="79"/>
      <c r="J39" s="81"/>
    </row>
    <row r="40" spans="1:15" ht="15.75" x14ac:dyDescent="0.25">
      <c r="A40" s="1003" t="str">
        <f>VLOOKUP("main tasks",sprachtabelle,4,FALSE) &amp; "*:"</f>
        <v>Hauptaufgaben*:</v>
      </c>
      <c r="B40" s="1004"/>
      <c r="C40" s="1004"/>
      <c r="D40" s="1004"/>
      <c r="E40" s="1005"/>
      <c r="F40" s="1003" t="str">
        <f>VLOOKUP("resources",sprachtabelle,4,FALSE) &amp; " / " &amp; VLOOKUP("costs",sprachtabelle,4,FALSE) &amp; "*:"</f>
        <v>Ressourcen / Kosten*:</v>
      </c>
      <c r="G40" s="1004"/>
      <c r="H40" s="1004"/>
      <c r="I40" s="1004"/>
      <c r="J40" s="1005"/>
    </row>
    <row r="41" spans="1:15" ht="21" customHeight="1" x14ac:dyDescent="0.2">
      <c r="A41" s="166"/>
      <c r="B41" s="994" t="s">
        <v>2957</v>
      </c>
      <c r="C41" s="994"/>
      <c r="D41" s="994"/>
      <c r="E41" s="1002"/>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4"/>
      <c r="C42" s="994"/>
      <c r="D42" s="994"/>
      <c r="E42" s="1002"/>
      <c r="F42" s="48"/>
      <c r="G42" s="770" t="s">
        <v>2906</v>
      </c>
      <c r="H42" s="771"/>
      <c r="I42" s="772"/>
      <c r="J42" s="51"/>
      <c r="M42" s="443" t="str">
        <f>nlc_task('Calc-Master'!AW6)</f>
        <v>Personalkosten</v>
      </c>
      <c r="N42" s="443">
        <f>nlc_rescost2(Daten!$S40:$U40,'Calc-Master'!$AX$13:$BF$13,Daten!AA21,3)</f>
        <v>254</v>
      </c>
      <c r="O42" s="443">
        <f>nlc_task(Daten!$AC40)</f>
        <v>8890</v>
      </c>
    </row>
    <row r="43" spans="1:15" x14ac:dyDescent="0.2">
      <c r="A43" s="166"/>
      <c r="B43" s="994"/>
      <c r="C43" s="994"/>
      <c r="D43" s="994"/>
      <c r="E43" s="1002"/>
      <c r="F43" s="48"/>
      <c r="G43" s="770"/>
      <c r="H43" s="771"/>
      <c r="I43" s="772"/>
      <c r="J43" s="51"/>
      <c r="M43" s="443" t="str">
        <f>nlc_task('Calc-Master'!AW7)</f>
        <v>Sonstige Kosten</v>
      </c>
      <c r="N43" s="443"/>
      <c r="O43" s="443">
        <f>nlc_task(Daten!$AF40)</f>
        <v>0</v>
      </c>
    </row>
    <row r="44" spans="1:15" x14ac:dyDescent="0.2">
      <c r="A44" s="166"/>
      <c r="B44" s="994"/>
      <c r="C44" s="994"/>
      <c r="D44" s="994"/>
      <c r="E44" s="1002"/>
      <c r="F44" s="48"/>
      <c r="G44" s="770"/>
      <c r="H44" s="771"/>
      <c r="I44" s="772"/>
      <c r="J44" s="51"/>
    </row>
    <row r="45" spans="1:15" x14ac:dyDescent="0.2">
      <c r="A45" s="166"/>
      <c r="B45" s="994"/>
      <c r="C45" s="994"/>
      <c r="D45" s="994"/>
      <c r="E45" s="1002"/>
      <c r="F45" s="48"/>
      <c r="G45" s="379" t="str">
        <f>VLOOKUP("SUM",sprachtabelle,4,FALSE)</f>
        <v>SUMME</v>
      </c>
      <c r="H45" s="494">
        <f>SUM(H42:H44)</f>
        <v>0</v>
      </c>
      <c r="I45" s="619">
        <f>SUM(I42:I44)</f>
        <v>0</v>
      </c>
      <c r="J45" s="51"/>
    </row>
    <row r="46" spans="1:15" ht="7.5" customHeight="1" x14ac:dyDescent="0.2">
      <c r="A46" s="166"/>
      <c r="B46" s="994"/>
      <c r="C46" s="994"/>
      <c r="D46" s="994"/>
      <c r="E46" s="1002"/>
      <c r="F46" s="48"/>
      <c r="G46"/>
      <c r="H46"/>
      <c r="I46"/>
      <c r="J46" s="51"/>
    </row>
    <row r="47" spans="1:15" x14ac:dyDescent="0.2">
      <c r="A47" s="166"/>
      <c r="B47" s="994"/>
      <c r="C47" s="994"/>
      <c r="D47" s="994"/>
      <c r="E47" s="1002"/>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4"/>
      <c r="C48" s="994"/>
      <c r="D48" s="994"/>
      <c r="E48" s="1002"/>
      <c r="F48" s="48"/>
      <c r="G48"/>
      <c r="H48"/>
      <c r="I48"/>
      <c r="J48" s="51"/>
    </row>
    <row r="49" spans="1:12" hidden="1" x14ac:dyDescent="0.2">
      <c r="A49" s="166"/>
      <c r="B49" s="994"/>
      <c r="C49" s="994"/>
      <c r="D49" s="994"/>
      <c r="E49" s="1002"/>
      <c r="F49" s="48"/>
      <c r="G49"/>
      <c r="H49"/>
      <c r="I49"/>
      <c r="J49" s="51"/>
    </row>
    <row r="50" spans="1:12" hidden="1" x14ac:dyDescent="0.2">
      <c r="A50" s="166"/>
      <c r="B50" s="994"/>
      <c r="C50" s="994"/>
      <c r="D50" s="994"/>
      <c r="E50" s="1002"/>
      <c r="F50" s="48"/>
      <c r="G50"/>
      <c r="H50"/>
      <c r="I50"/>
      <c r="J50" s="51"/>
    </row>
    <row r="51" spans="1:12" hidden="1" x14ac:dyDescent="0.2">
      <c r="A51" s="166"/>
      <c r="B51" s="994"/>
      <c r="C51" s="994"/>
      <c r="D51" s="994"/>
      <c r="E51" s="1002"/>
      <c r="F51" s="48"/>
      <c r="G51"/>
      <c r="H51"/>
      <c r="I51"/>
      <c r="J51" s="51"/>
    </row>
    <row r="52" spans="1:12" hidden="1" x14ac:dyDescent="0.2">
      <c r="A52" s="166"/>
      <c r="B52" s="994"/>
      <c r="C52" s="994"/>
      <c r="D52" s="994"/>
      <c r="E52" s="1002"/>
      <c r="F52" s="48"/>
      <c r="G52"/>
      <c r="H52"/>
      <c r="I52"/>
      <c r="J52" s="51"/>
    </row>
    <row r="53" spans="1:12" hidden="1" x14ac:dyDescent="0.2">
      <c r="A53" s="166"/>
      <c r="B53" s="994"/>
      <c r="C53" s="994"/>
      <c r="D53" s="994"/>
      <c r="E53" s="1002"/>
      <c r="F53" s="48"/>
      <c r="G53"/>
      <c r="H53"/>
      <c r="I53"/>
      <c r="J53" s="51"/>
    </row>
    <row r="54" spans="1:12" hidden="1" x14ac:dyDescent="0.2">
      <c r="A54" s="166"/>
      <c r="B54" s="994"/>
      <c r="C54" s="994"/>
      <c r="D54" s="994"/>
      <c r="E54" s="1002"/>
      <c r="F54" s="48"/>
      <c r="G54"/>
      <c r="H54"/>
      <c r="I54"/>
      <c r="J54" s="51"/>
    </row>
    <row r="55" spans="1:12" hidden="1" x14ac:dyDescent="0.2">
      <c r="A55" s="166"/>
      <c r="B55" s="994"/>
      <c r="C55" s="994"/>
      <c r="D55" s="994"/>
      <c r="E55" s="1002"/>
      <c r="F55" s="48"/>
      <c r="G55"/>
      <c r="H55"/>
      <c r="I55"/>
      <c r="J55" s="51"/>
    </row>
    <row r="56" spans="1:12" hidden="1" x14ac:dyDescent="0.2">
      <c r="A56" s="166"/>
      <c r="B56" s="994"/>
      <c r="C56" s="994"/>
      <c r="D56" s="994"/>
      <c r="E56" s="1002"/>
      <c r="F56" s="48"/>
      <c r="G56"/>
      <c r="H56"/>
      <c r="I56"/>
      <c r="J56" s="51"/>
    </row>
    <row r="57" spans="1:12" hidden="1" x14ac:dyDescent="0.2">
      <c r="A57" s="166"/>
      <c r="B57" s="994"/>
      <c r="C57" s="994"/>
      <c r="D57" s="994"/>
      <c r="E57" s="1002"/>
      <c r="F57" s="48"/>
      <c r="G57"/>
      <c r="H57"/>
      <c r="I57"/>
      <c r="J57" s="51"/>
    </row>
    <row r="58" spans="1:12" hidden="1" x14ac:dyDescent="0.2">
      <c r="A58" s="166"/>
      <c r="B58" s="994"/>
      <c r="C58" s="994"/>
      <c r="D58" s="994"/>
      <c r="E58" s="1002"/>
      <c r="F58" s="48"/>
      <c r="G58"/>
      <c r="H58"/>
      <c r="I58"/>
      <c r="J58" s="51"/>
    </row>
    <row r="59" spans="1:12" ht="3" customHeight="1" x14ac:dyDescent="0.2">
      <c r="A59" s="78"/>
      <c r="B59" s="79"/>
      <c r="C59" s="80"/>
      <c r="D59" s="80"/>
      <c r="E59" s="80"/>
      <c r="F59" s="78"/>
      <c r="G59" s="79"/>
      <c r="H59" s="79"/>
      <c r="I59" s="79"/>
      <c r="J59" s="81"/>
      <c r="L59" s="452"/>
    </row>
    <row r="60" spans="1:12" ht="15.75" x14ac:dyDescent="0.25">
      <c r="A60" s="1003" t="str">
        <f>Deckblatt!B51</f>
        <v>Projektauftraggeber:</v>
      </c>
      <c r="B60" s="1004"/>
      <c r="C60" s="1004"/>
      <c r="D60" s="1004"/>
      <c r="E60" s="1005"/>
      <c r="F60" s="1009" t="str">
        <f>Deckblatt!B52</f>
        <v>Projektleiter:</v>
      </c>
      <c r="G60" s="1010"/>
      <c r="H60" s="1010"/>
      <c r="I60" s="1010"/>
      <c r="J60" s="1011"/>
    </row>
    <row r="61" spans="1:12" x14ac:dyDescent="0.2">
      <c r="A61" s="456"/>
      <c r="B61" s="484" t="str">
        <f>nlc_task(Deckblatt!C51)</f>
        <v>N.N.</v>
      </c>
      <c r="C61" s="1006" t="s">
        <v>2849</v>
      </c>
      <c r="D61" s="1007"/>
      <c r="E61" s="1008"/>
      <c r="F61" s="456"/>
      <c r="G61" s="484" t="str">
        <f>nlc_task(Deckblatt!C52)</f>
        <v>N.N.</v>
      </c>
      <c r="H61" s="1006" t="s">
        <v>2818</v>
      </c>
      <c r="I61" s="1007"/>
      <c r="J61" s="1008"/>
    </row>
    <row r="62" spans="1:12" ht="3" customHeight="1" x14ac:dyDescent="0.2">
      <c r="A62" s="78"/>
      <c r="B62" s="79"/>
      <c r="C62" s="80"/>
      <c r="D62" s="80"/>
      <c r="E62" s="80"/>
      <c r="F62" s="78"/>
      <c r="G62" s="79"/>
      <c r="H62" s="79"/>
      <c r="I62" s="79"/>
      <c r="J62" s="81"/>
      <c r="L62" s="452"/>
    </row>
    <row r="63" spans="1:12" ht="15.75" hidden="1" x14ac:dyDescent="0.25">
      <c r="A63" s="1003" t="str">
        <f>Deckblatt!B53</f>
        <v>Namexx:</v>
      </c>
      <c r="B63" s="1004"/>
      <c r="C63" s="1004"/>
      <c r="D63" s="1004"/>
      <c r="E63" s="1005"/>
      <c r="F63" s="1009" t="str">
        <f>Deckblatt!B54</f>
        <v>Namexx:</v>
      </c>
      <c r="G63" s="1010"/>
      <c r="H63" s="1010"/>
      <c r="I63" s="1010"/>
      <c r="J63" s="1011"/>
    </row>
    <row r="64" spans="1:12" hidden="1" x14ac:dyDescent="0.2">
      <c r="A64" s="456"/>
      <c r="B64" s="663"/>
      <c r="C64" s="1006"/>
      <c r="D64" s="1007"/>
      <c r="E64" s="1008"/>
      <c r="F64" s="456"/>
      <c r="G64" s="663"/>
      <c r="H64" s="1006"/>
      <c r="I64" s="1007"/>
      <c r="J64" s="1008"/>
    </row>
    <row r="65" spans="1:12" ht="3" hidden="1" customHeight="1" x14ac:dyDescent="0.2">
      <c r="A65" s="78"/>
      <c r="B65" s="79"/>
      <c r="C65" s="80"/>
      <c r="D65" s="80"/>
      <c r="E65" s="80"/>
      <c r="F65" s="451"/>
      <c r="G65" s="79"/>
      <c r="H65" s="79"/>
      <c r="I65" s="79"/>
      <c r="J65" s="81"/>
      <c r="L65" s="452"/>
    </row>
    <row r="66" spans="1:12" ht="15.75" x14ac:dyDescent="0.25">
      <c r="A66" s="1003" t="str">
        <f>VLOOKUP("team",sprachtabelle,4,FALSE) &amp; ":"</f>
        <v>Projektteam:</v>
      </c>
      <c r="B66" s="1004"/>
      <c r="C66" s="1004"/>
      <c r="D66" s="1004"/>
      <c r="E66" s="1005"/>
      <c r="F66" s="1003" t="str">
        <f>VLOOKUP("participants (1)",sprachtabelle,4,FALSE) &amp; ":"</f>
        <v>Projektmitarbeiter:</v>
      </c>
      <c r="G66" s="1004"/>
      <c r="H66" s="1004"/>
      <c r="I66" s="1004"/>
      <c r="J66" s="1005"/>
    </row>
    <row r="67" spans="1:12" x14ac:dyDescent="0.2">
      <c r="A67" s="376" t="str">
        <f>nlc_point(B67)</f>
        <v xml:space="preserve"> -</v>
      </c>
      <c r="B67" s="663" t="s">
        <v>2843</v>
      </c>
      <c r="C67" s="1006"/>
      <c r="D67" s="1007"/>
      <c r="E67" s="1008"/>
      <c r="F67" s="376" t="str">
        <f>nlc_point(G67)</f>
        <v xml:space="preserve"> -</v>
      </c>
      <c r="G67" s="663" t="s">
        <v>2818</v>
      </c>
      <c r="H67" s="1006"/>
      <c r="I67" s="1007"/>
      <c r="J67" s="1008"/>
    </row>
    <row r="68" spans="1:12" x14ac:dyDescent="0.2">
      <c r="A68" s="376" t="str">
        <f t="shared" ref="A68:A78" si="2">nlc_point(B68)</f>
        <v xml:space="preserve"> -</v>
      </c>
      <c r="B68" s="663" t="s">
        <v>2844</v>
      </c>
      <c r="C68" s="1006"/>
      <c r="D68" s="1007"/>
      <c r="E68" s="1008"/>
      <c r="F68" s="376" t="str">
        <f t="shared" ref="F68:F78" si="3">nlc_point(G68)</f>
        <v xml:space="preserve"> -</v>
      </c>
      <c r="G68" s="663" t="s">
        <v>2819</v>
      </c>
      <c r="H68" s="1006"/>
      <c r="I68" s="1007"/>
      <c r="J68" s="1008"/>
    </row>
    <row r="69" spans="1:12" x14ac:dyDescent="0.2">
      <c r="A69" s="376" t="str">
        <f t="shared" si="2"/>
        <v/>
      </c>
      <c r="B69" s="663"/>
      <c r="C69" s="1006"/>
      <c r="D69" s="1007"/>
      <c r="E69" s="1008"/>
      <c r="F69" s="376" t="str">
        <f t="shared" si="3"/>
        <v xml:space="preserve"> -</v>
      </c>
      <c r="G69" s="663" t="s">
        <v>2820</v>
      </c>
      <c r="H69" s="1006"/>
      <c r="I69" s="1007"/>
      <c r="J69" s="1008"/>
    </row>
    <row r="70" spans="1:12" x14ac:dyDescent="0.2">
      <c r="A70" s="376" t="str">
        <f t="shared" si="2"/>
        <v/>
      </c>
      <c r="B70" s="663"/>
      <c r="C70" s="1006"/>
      <c r="D70" s="1007"/>
      <c r="E70" s="1008"/>
      <c r="F70" s="376" t="str">
        <f t="shared" si="3"/>
        <v/>
      </c>
      <c r="G70" s="663"/>
      <c r="H70" s="1006"/>
      <c r="I70" s="1007"/>
      <c r="J70" s="1008"/>
    </row>
    <row r="71" spans="1:12" x14ac:dyDescent="0.2">
      <c r="A71" s="376" t="str">
        <f t="shared" si="2"/>
        <v/>
      </c>
      <c r="B71" s="663"/>
      <c r="C71" s="1006"/>
      <c r="D71" s="1007"/>
      <c r="E71" s="1008"/>
      <c r="F71" s="376" t="str">
        <f t="shared" si="3"/>
        <v/>
      </c>
      <c r="G71" s="663"/>
      <c r="H71" s="1006"/>
      <c r="I71" s="1007"/>
      <c r="J71" s="1008"/>
    </row>
    <row r="72" spans="1:12" x14ac:dyDescent="0.2">
      <c r="A72" s="376" t="str">
        <f t="shared" si="2"/>
        <v/>
      </c>
      <c r="B72" s="663"/>
      <c r="C72" s="1006"/>
      <c r="D72" s="1007"/>
      <c r="E72" s="1008"/>
      <c r="F72" s="376" t="str">
        <f t="shared" si="3"/>
        <v/>
      </c>
      <c r="G72" s="663"/>
      <c r="H72" s="1006"/>
      <c r="I72" s="1007"/>
      <c r="J72" s="1008"/>
    </row>
    <row r="73" spans="1:12" x14ac:dyDescent="0.2">
      <c r="A73" s="376" t="str">
        <f t="shared" si="2"/>
        <v/>
      </c>
      <c r="B73" s="663"/>
      <c r="C73" s="1006"/>
      <c r="D73" s="1007"/>
      <c r="E73" s="1008"/>
      <c r="F73" s="376" t="str">
        <f t="shared" si="3"/>
        <v/>
      </c>
      <c r="G73" s="663"/>
      <c r="H73" s="1006"/>
      <c r="I73" s="1007"/>
      <c r="J73" s="1008"/>
    </row>
    <row r="74" spans="1:12" x14ac:dyDescent="0.2">
      <c r="A74" s="376" t="str">
        <f t="shared" si="2"/>
        <v/>
      </c>
      <c r="B74" s="663"/>
      <c r="C74" s="1006"/>
      <c r="D74" s="1007"/>
      <c r="E74" s="1008"/>
      <c r="F74" s="376" t="str">
        <f t="shared" si="3"/>
        <v/>
      </c>
      <c r="G74" s="663"/>
      <c r="H74" s="1006"/>
      <c r="I74" s="1007"/>
      <c r="J74" s="1008"/>
    </row>
    <row r="75" spans="1:12" x14ac:dyDescent="0.2">
      <c r="A75" s="376" t="str">
        <f t="shared" si="2"/>
        <v/>
      </c>
      <c r="B75" s="663"/>
      <c r="C75" s="1006"/>
      <c r="D75" s="1007"/>
      <c r="E75" s="1008"/>
      <c r="F75" s="376" t="str">
        <f t="shared" si="3"/>
        <v/>
      </c>
      <c r="G75" s="663"/>
      <c r="H75" s="1006"/>
      <c r="I75" s="1007"/>
      <c r="J75" s="1008"/>
    </row>
    <row r="76" spans="1:12" x14ac:dyDescent="0.2">
      <c r="A76" s="376" t="str">
        <f t="shared" si="2"/>
        <v/>
      </c>
      <c r="B76" s="663"/>
      <c r="C76" s="1006"/>
      <c r="D76" s="1007"/>
      <c r="E76" s="1008"/>
      <c r="F76" s="376" t="str">
        <f t="shared" si="3"/>
        <v/>
      </c>
      <c r="G76" s="663"/>
      <c r="H76" s="1006"/>
      <c r="I76" s="1007"/>
      <c r="J76" s="1008"/>
    </row>
    <row r="77" spans="1:12" x14ac:dyDescent="0.2">
      <c r="A77" s="376" t="str">
        <f t="shared" si="2"/>
        <v/>
      </c>
      <c r="B77" s="663"/>
      <c r="C77" s="1006"/>
      <c r="D77" s="1007"/>
      <c r="E77" s="1008"/>
      <c r="F77" s="376" t="str">
        <f t="shared" si="3"/>
        <v/>
      </c>
      <c r="G77" s="663"/>
      <c r="H77" s="1006"/>
      <c r="I77" s="1007"/>
      <c r="J77" s="1008"/>
    </row>
    <row r="78" spans="1:12" x14ac:dyDescent="0.2">
      <c r="A78" s="376" t="str">
        <f t="shared" si="2"/>
        <v/>
      </c>
      <c r="B78" s="663"/>
      <c r="C78" s="1006"/>
      <c r="D78" s="1006"/>
      <c r="E78" s="1008"/>
      <c r="F78" s="376" t="str">
        <f t="shared" si="3"/>
        <v/>
      </c>
      <c r="G78" s="663"/>
      <c r="H78" s="1006"/>
      <c r="I78" s="1006"/>
      <c r="J78" s="1008"/>
    </row>
    <row r="79" spans="1:12" ht="3" customHeight="1" x14ac:dyDescent="0.2">
      <c r="A79" s="78"/>
      <c r="B79" s="79"/>
      <c r="C79" s="80"/>
      <c r="D79" s="80"/>
      <c r="E79" s="80"/>
      <c r="F79" s="78"/>
      <c r="G79" s="79"/>
      <c r="H79" s="79"/>
      <c r="I79" s="79"/>
      <c r="J79" s="81"/>
      <c r="L79" s="452"/>
    </row>
    <row r="80" spans="1:12" ht="39.75" customHeight="1" x14ac:dyDescent="0.2">
      <c r="A80" s="1015" t="s">
        <v>2849</v>
      </c>
      <c r="B80" s="1016"/>
      <c r="C80" s="1016"/>
      <c r="D80" s="1016"/>
      <c r="E80" s="1016"/>
      <c r="F80" s="1017" t="s">
        <v>2818</v>
      </c>
      <c r="G80" s="1016"/>
      <c r="H80" s="1016"/>
      <c r="I80" s="1016"/>
      <c r="J80" s="1018"/>
    </row>
    <row r="81" spans="1:10" ht="3.75" customHeight="1" x14ac:dyDescent="0.2">
      <c r="A81" s="1023" t="s">
        <v>2757</v>
      </c>
      <c r="B81" s="1024"/>
      <c r="C81" s="1024"/>
      <c r="D81" s="1024"/>
      <c r="E81" s="1024"/>
      <c r="F81" s="1025" t="s">
        <v>2757</v>
      </c>
      <c r="G81" s="1025"/>
      <c r="H81" s="1025"/>
      <c r="I81" s="1025"/>
      <c r="J81" s="1026"/>
    </row>
    <row r="82" spans="1:10" ht="15" customHeight="1" x14ac:dyDescent="0.2">
      <c r="A82" s="1021" t="str">
        <f xml:space="preserve"> B61 &amp; ", (" &amp; VLOOKUP("owner",sprachtabelle,4,FALSE)&amp; ")"</f>
        <v>N.N., (Projektauftraggeber)</v>
      </c>
      <c r="B82" s="1022"/>
      <c r="C82" s="1022"/>
      <c r="D82" s="1022"/>
      <c r="E82" s="1022"/>
      <c r="F82" s="1019" t="str">
        <f>G61&amp;", ("&amp;VLOOKUP("manager",sprachtabelle,4,FALSE)&amp;")"</f>
        <v>N.N., (Projektleiter)</v>
      </c>
      <c r="G82" s="1019"/>
      <c r="H82" s="1019"/>
      <c r="I82" s="1019"/>
      <c r="J82" s="1020"/>
    </row>
    <row r="83" spans="1:10" ht="10.5" customHeight="1" x14ac:dyDescent="0.2">
      <c r="A83" s="1012"/>
      <c r="B83" s="1013"/>
      <c r="C83" s="1013"/>
      <c r="D83" s="1013"/>
      <c r="E83" s="1013"/>
      <c r="F83" s="1013"/>
      <c r="G83" s="1013"/>
      <c r="H83" s="1013"/>
      <c r="I83" s="1013"/>
      <c r="J83" s="1014"/>
    </row>
  </sheetData>
  <sheetProtection algorithmName="SHA-512" hashValue="ympO80Qm6lSzq8DXbCA9CqrNviUJe1vKr/Hp08cj1njCJM0LXvBH0Y429xqA0W1A5abNUKuwjoWDRpYOTuHX0A==" saltValue="e4whUp0wKJjx0zNvuKiCDg==" spinCount="100000" sheet="1" objects="1" scenarios="1"/>
  <mergeCells count="85">
    <mergeCell ref="A10:E10"/>
    <mergeCell ref="F10:J10"/>
    <mergeCell ref="B5:E5"/>
    <mergeCell ref="G5:J5"/>
    <mergeCell ref="F7:J7"/>
    <mergeCell ref="B8:E8"/>
    <mergeCell ref="G8:J8"/>
    <mergeCell ref="A7:E7"/>
    <mergeCell ref="A1:J1"/>
    <mergeCell ref="A2:J2"/>
    <mergeCell ref="A3:J3"/>
    <mergeCell ref="A4:E4"/>
    <mergeCell ref="F4:J4"/>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40:E40"/>
    <mergeCell ref="F40:J40"/>
    <mergeCell ref="C61:E61"/>
    <mergeCell ref="A60:E60"/>
    <mergeCell ref="F60:J60"/>
    <mergeCell ref="C74:E74"/>
    <mergeCell ref="C77:E77"/>
    <mergeCell ref="H77:J77"/>
    <mergeCell ref="H78:J78"/>
    <mergeCell ref="H72:J72"/>
    <mergeCell ref="H75:J75"/>
    <mergeCell ref="H76:J76"/>
    <mergeCell ref="C75:E75"/>
    <mergeCell ref="C76:E76"/>
    <mergeCell ref="H73:J73"/>
    <mergeCell ref="H74:J74"/>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A16:J16"/>
    <mergeCell ref="B17:J17"/>
    <mergeCell ref="B18:J18"/>
    <mergeCell ref="B19:J19"/>
    <mergeCell ref="B20:J20"/>
    <mergeCell ref="B21:J21"/>
    <mergeCell ref="B36:J36"/>
    <mergeCell ref="B29:J29"/>
    <mergeCell ref="B30:J30"/>
    <mergeCell ref="B31:J31"/>
    <mergeCell ref="B32:J32"/>
    <mergeCell ref="B24:J24"/>
    <mergeCell ref="B25:J25"/>
    <mergeCell ref="B26:J26"/>
    <mergeCell ref="A28:J28"/>
    <mergeCell ref="B33:J33"/>
    <mergeCell ref="B34:J34"/>
    <mergeCell ref="B35:J35"/>
    <mergeCell ref="B11:E11"/>
    <mergeCell ref="G11:J11"/>
    <mergeCell ref="A13:E13"/>
    <mergeCell ref="F13:J13"/>
    <mergeCell ref="G14:J14"/>
    <mergeCell ref="B14:E14"/>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42754</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30"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3"/>
  <sheetViews>
    <sheetView showGridLines="0" showRowColHeaders="0" tabSelected="1" zoomScaleNormal="100" workbookViewId="0">
      <pane xSplit="11" ySplit="39" topLeftCell="L40" activePane="bottomRight" state="frozen"/>
      <selection pane="topRight"/>
      <selection pane="bottomLeft"/>
      <selection pane="bottomRight" activeCell="N46" sqref="N46"/>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84</v>
      </c>
      <c r="D7" s="526">
        <v>197</v>
      </c>
      <c r="E7" s="526">
        <v>80</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IF(AND(S21="",SUM(S40:S81)&gt;0),"x","")</f>
        <v/>
      </c>
      <c r="T32" s="712" t="str">
        <f>IF(AND(T21="",SUM(T40:T81)&gt;0),"x","")</f>
        <v/>
      </c>
      <c r="U32" s="712" t="str">
        <f>IF(AND(U21="",SUM(U40:U81)&gt;0),"x","")</f>
        <v/>
      </c>
      <c r="V32" s="712"/>
      <c r="W32" s="712"/>
      <c r="X32" s="712"/>
      <c r="Y32" s="712"/>
      <c r="Z32" s="712"/>
      <c r="AA32" s="712" t="str">
        <f>IF(AND(AA21="",SUM(AA40:AA81)&gt;0),"x","")</f>
        <v/>
      </c>
      <c r="AB32" s="712"/>
      <c r="AC32" s="712"/>
      <c r="AD32" s="712" t="str">
        <f>IF(AND(AD21="",SUM(AD40:AD81)&gt;0),"x","")</f>
        <v/>
      </c>
      <c r="AE32" s="712" t="str">
        <f>IF(AND(AE21="",SUM(AE40:AE81)&gt;0),"x","")</f>
        <v/>
      </c>
      <c r="AF32" s="712" t="str">
        <f>IF(AND(AF21="",SUM(AF40:AF81)&gt;0),"x","")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44" t="str">
        <f>VLOOKUP("No.",sprachtabelle,4,FALSE)</f>
        <v>Nr.</v>
      </c>
      <c r="D37" s="1046" t="s">
        <v>2571</v>
      </c>
      <c r="E37" s="1046" t="s">
        <v>2295</v>
      </c>
      <c r="F37" s="1046" t="s">
        <v>2572</v>
      </c>
      <c r="G37" s="1046" t="s">
        <v>2059</v>
      </c>
      <c r="H37" s="1047" t="s">
        <v>144</v>
      </c>
      <c r="I37" s="1046" t="s">
        <v>2735</v>
      </c>
      <c r="J37" s="1044" t="str">
        <f>VLOOKUP("WBS_Code",sprachtabelle,4,FALSE)</f>
        <v>PSP-Code</v>
      </c>
      <c r="K37" s="1044" t="str">
        <f>VLOOKUP("description",sprachtabelle,4,FALSE)</f>
        <v>Bezeichnung</v>
      </c>
      <c r="L37" s="1046" t="str">
        <f>VLOOKUP("progress",sprachtabelle,4,FALSE)</f>
        <v>Fortschr.</v>
      </c>
      <c r="M37" s="1046" t="str">
        <f>VLOOKUP("status",sprachtabelle,4,FALSE)</f>
        <v>Status</v>
      </c>
      <c r="N37" s="1049" t="str">
        <f>VLOOKUP("responsibility",sprachtabelle,4,FALSE)</f>
        <v>Verantwortlichkeit</v>
      </c>
      <c r="O37" s="1052" t="str">
        <f>VLOOKUP("dates",sprachtabelle,4,FALSE)</f>
        <v>Termine</v>
      </c>
      <c r="P37" s="1053"/>
      <c r="Q37" s="1053"/>
      <c r="R37" s="1054"/>
      <c r="S37" s="1046" t="str">
        <f>VLOOKUP("personnel",sprachtabelle,4,FALSE) &amp; " (" &amp; 'Calc-Master'!AW19 &amp; ")"</f>
        <v>Ressourcen (PT)</v>
      </c>
      <c r="T37" s="1046"/>
      <c r="U37" s="1046"/>
      <c r="V37" s="1046"/>
      <c r="W37" s="1046"/>
      <c r="X37" s="1046"/>
      <c r="Y37" s="1046"/>
      <c r="Z37" s="1046"/>
      <c r="AA37" s="1046" t="str">
        <f>VLOOKUP("costs",sprachtabelle,4,FALSE) &amp; " (" &amp; 'Calc-Master'!AW20 &amp; ")"</f>
        <v>Kosten (€)</v>
      </c>
      <c r="AB37" s="1046"/>
      <c r="AC37" s="1046"/>
      <c r="AD37" s="1046"/>
      <c r="AE37" s="1046"/>
      <c r="AF37" s="1046"/>
      <c r="AG37" s="1046"/>
      <c r="AH37" s="1046"/>
      <c r="AI37" s="1046"/>
      <c r="AJ37" s="1046"/>
      <c r="AK37" s="1046"/>
      <c r="AL37" s="1046" t="str">
        <f>VLOOKUP("comment",sprachtabelle,4,FALSE)</f>
        <v>Kommentar</v>
      </c>
      <c r="AM37" s="1045" t="s">
        <v>1056</v>
      </c>
      <c r="AN37" s="1045"/>
      <c r="AO37" s="1045"/>
      <c r="AP37" s="1055"/>
      <c r="AQ37" s="659"/>
    </row>
    <row r="38" spans="1:43" s="62" customFormat="1" ht="69.75" customHeight="1" x14ac:dyDescent="0.2">
      <c r="A38" s="893"/>
      <c r="B38" s="55"/>
      <c r="C38" s="1044"/>
      <c r="D38" s="1046"/>
      <c r="E38" s="1046"/>
      <c r="F38" s="1046"/>
      <c r="G38" s="1046"/>
      <c r="H38" s="1048"/>
      <c r="I38" s="1046"/>
      <c r="J38" s="1044"/>
      <c r="K38" s="1044"/>
      <c r="L38" s="1046"/>
      <c r="M38" s="1046"/>
      <c r="N38" s="1050"/>
      <c r="O38" s="1046" t="str">
        <f>VLOOKUP("base_dates",sprachtabelle,4,FALSE)</f>
        <v>Basis Termine</v>
      </c>
      <c r="P38" s="1046"/>
      <c r="Q38" s="1046" t="str">
        <f>VLOOKUP("current_Dates",sprachtabelle,4,FALSE)</f>
        <v>Aktuelle Termine</v>
      </c>
      <c r="R38" s="1046"/>
      <c r="S38" s="1045" t="str">
        <f>nlc_task('Calc-Master'!$AW$13)</f>
        <v>Personal</v>
      </c>
      <c r="T38" s="1045"/>
      <c r="U38" s="1045"/>
      <c r="V38" s="1046" t="str">
        <f>VLOOKUP("SUM",sprachtabelle,4,FALSE)</f>
        <v>SUMME</v>
      </c>
      <c r="W38" s="1046"/>
      <c r="X38" s="1046"/>
      <c r="Y38" s="1046"/>
      <c r="Z38" s="1046"/>
      <c r="AA38" s="1045" t="str">
        <f>nlc_task('Calc-Master'!$AW$6)</f>
        <v>Personalkosten</v>
      </c>
      <c r="AB38" s="1045"/>
      <c r="AC38" s="1045"/>
      <c r="AD38" s="1045" t="str">
        <f>nlc_task('Calc-Master'!$AW$7)</f>
        <v>Sonstige Kosten</v>
      </c>
      <c r="AE38" s="1045"/>
      <c r="AF38" s="1045"/>
      <c r="AG38" s="1046" t="str">
        <f>VLOOKUP("SUM",sprachtabelle,4,FALSE)</f>
        <v>SUMME</v>
      </c>
      <c r="AH38" s="1046"/>
      <c r="AI38" s="1046"/>
      <c r="AJ38" s="1046"/>
      <c r="AK38" s="1046"/>
      <c r="AL38" s="1046"/>
      <c r="AM38" s="1045" t="s">
        <v>573</v>
      </c>
      <c r="AN38" s="1045" t="s">
        <v>2591</v>
      </c>
      <c r="AO38" s="1045" t="s">
        <v>2592</v>
      </c>
      <c r="AP38" s="1055" t="s">
        <v>2593</v>
      </c>
      <c r="AQ38" s="660"/>
    </row>
    <row r="39" spans="1:43" s="62" customFormat="1" x14ac:dyDescent="0.2">
      <c r="A39" s="893"/>
      <c r="B39" s="55"/>
      <c r="C39" s="1044"/>
      <c r="D39" s="1046"/>
      <c r="E39" s="1046"/>
      <c r="F39" s="1046"/>
      <c r="G39" s="1046"/>
      <c r="H39" s="1048"/>
      <c r="I39" s="1046"/>
      <c r="J39" s="1044"/>
      <c r="K39" s="1044"/>
      <c r="L39" s="1046"/>
      <c r="M39" s="1046"/>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6"/>
      <c r="AM39" s="1056"/>
      <c r="AN39" s="1056"/>
      <c r="AO39" s="1056"/>
      <c r="AP39" s="1057"/>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0.32247899159663868</v>
      </c>
      <c r="M40" s="793" t="s">
        <v>854</v>
      </c>
      <c r="N40" s="926" t="str">
        <f>nlc_task(Deckblatt!C52)</f>
        <v>N.N.</v>
      </c>
      <c r="O40" s="783">
        <v>42635</v>
      </c>
      <c r="P40" s="783">
        <v>42831</v>
      </c>
      <c r="Q40" s="784">
        <v>42635</v>
      </c>
      <c r="R40" s="784">
        <v>42831</v>
      </c>
      <c r="S40" s="785">
        <v>254</v>
      </c>
      <c r="T40" s="786">
        <v>105.5</v>
      </c>
      <c r="U40" s="786">
        <v>254</v>
      </c>
      <c r="V40" s="787">
        <v>254</v>
      </c>
      <c r="W40" s="788">
        <f t="shared" ref="W40:W54" si="0">T40</f>
        <v>105.5</v>
      </c>
      <c r="X40" s="788">
        <f t="shared" ref="X40:X54" si="1">Y40-W40</f>
        <v>148.5</v>
      </c>
      <c r="Y40" s="788">
        <f t="shared" ref="Y40:Y54" si="2">U40</f>
        <v>254</v>
      </c>
      <c r="Z40" s="788">
        <f t="shared" ref="Z40:Z54" si="3">Y40-V40</f>
        <v>0</v>
      </c>
      <c r="AA40" s="789">
        <v>8890</v>
      </c>
      <c r="AB40" s="790">
        <f>nlc_rescost($S40:$U40,'Calc-Master'!$AX$13:$BF$13,AB$21,2)</f>
        <v>3692.5</v>
      </c>
      <c r="AC40" s="790">
        <f>nlc_rescost($S40:$U40,'Calc-Master'!$AX$13:$BF$13,AC$21,3)</f>
        <v>8890</v>
      </c>
      <c r="AD40" s="789">
        <v>0</v>
      </c>
      <c r="AE40" s="791">
        <v>0</v>
      </c>
      <c r="AF40" s="791">
        <v>0</v>
      </c>
      <c r="AG40" s="792">
        <v>8890</v>
      </c>
      <c r="AH40" s="790">
        <f>AB40+AE40</f>
        <v>3692.5</v>
      </c>
      <c r="AI40" s="790">
        <f t="shared" ref="AI40:AI54" si="4">AJ40-AH40</f>
        <v>5197.5</v>
      </c>
      <c r="AJ40" s="790">
        <f>AC40+AF40</f>
        <v>8890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0.375</v>
      </c>
      <c r="M41" s="745" t="s">
        <v>854</v>
      </c>
      <c r="N41" s="749"/>
      <c r="O41" s="634">
        <v>42635</v>
      </c>
      <c r="P41" s="634">
        <v>42831</v>
      </c>
      <c r="Q41" s="750">
        <v>42635</v>
      </c>
      <c r="R41" s="750">
        <v>42831</v>
      </c>
      <c r="S41" s="752">
        <v>69</v>
      </c>
      <c r="T41" s="751">
        <v>39</v>
      </c>
      <c r="U41" s="751">
        <v>69</v>
      </c>
      <c r="V41" s="753">
        <v>69</v>
      </c>
      <c r="W41" s="754">
        <f t="shared" si="0"/>
        <v>39</v>
      </c>
      <c r="X41" s="754">
        <f t="shared" si="1"/>
        <v>30</v>
      </c>
      <c r="Y41" s="754">
        <f t="shared" si="2"/>
        <v>69</v>
      </c>
      <c r="Z41" s="754">
        <f t="shared" si="3"/>
        <v>0</v>
      </c>
      <c r="AA41" s="755">
        <v>2415</v>
      </c>
      <c r="AB41" s="756">
        <f>nlc_rescost($S41:$U41,'Calc-Master'!$AX$13:$BF$13,AB$21,2)</f>
        <v>1365</v>
      </c>
      <c r="AC41" s="756">
        <f>nlc_rescost($S41:$U41,'Calc-Master'!$AX$13:$BF$13,AC$21,3)</f>
        <v>2415</v>
      </c>
      <c r="AD41" s="755">
        <v>0</v>
      </c>
      <c r="AE41" s="757">
        <v>0</v>
      </c>
      <c r="AF41" s="757">
        <v>0</v>
      </c>
      <c r="AG41" s="758">
        <v>2415</v>
      </c>
      <c r="AH41" s="756">
        <f t="shared" ref="AH41:AH54" si="6">AB41+AE41</f>
        <v>1365</v>
      </c>
      <c r="AI41" s="756">
        <f t="shared" si="4"/>
        <v>1050</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42831</v>
      </c>
      <c r="Q44" s="741">
        <v>42635</v>
      </c>
      <c r="R44" s="741">
        <v>42831</v>
      </c>
      <c r="S44" s="762">
        <v>60</v>
      </c>
      <c r="T44" s="740">
        <v>37</v>
      </c>
      <c r="U44" s="740">
        <v>60</v>
      </c>
      <c r="V44" s="763">
        <v>60</v>
      </c>
      <c r="W44" s="764">
        <f t="shared" si="0"/>
        <v>37</v>
      </c>
      <c r="X44" s="764">
        <f t="shared" si="1"/>
        <v>23</v>
      </c>
      <c r="Y44" s="764">
        <f t="shared" si="2"/>
        <v>60</v>
      </c>
      <c r="Z44" s="764">
        <f t="shared" si="3"/>
        <v>0</v>
      </c>
      <c r="AA44" s="761">
        <v>2100</v>
      </c>
      <c r="AB44" s="760">
        <f>nlc_rescost($S44:$U44,'Calc-Master'!$AX$13:$BF$13,AB$21,2)</f>
        <v>1295</v>
      </c>
      <c r="AC44" s="760">
        <f>nlc_rescost($S44:$U44,'Calc-Master'!$AX$13:$BF$13,AC$21,3)</f>
        <v>2100</v>
      </c>
      <c r="AD44" s="761"/>
      <c r="AE44" s="739"/>
      <c r="AF44" s="739"/>
      <c r="AG44" s="759">
        <v>2100</v>
      </c>
      <c r="AH44" s="760">
        <f t="shared" si="6"/>
        <v>1295</v>
      </c>
      <c r="AI44" s="760">
        <f t="shared" si="4"/>
        <v>805</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0.5</v>
      </c>
      <c r="M45" s="744" t="s">
        <v>854</v>
      </c>
      <c r="N45" s="943" t="s">
        <v>2818</v>
      </c>
      <c r="O45" s="765">
        <v>42635</v>
      </c>
      <c r="P45" s="765">
        <v>42831</v>
      </c>
      <c r="Q45" s="741">
        <v>42635</v>
      </c>
      <c r="R45" s="741">
        <v>42831</v>
      </c>
      <c r="S45" s="762">
        <v>8</v>
      </c>
      <c r="T45" s="740">
        <v>2</v>
      </c>
      <c r="U45" s="740">
        <v>8</v>
      </c>
      <c r="V45" s="763">
        <v>8</v>
      </c>
      <c r="W45" s="764">
        <f t="shared" si="0"/>
        <v>2</v>
      </c>
      <c r="X45" s="764">
        <f t="shared" si="1"/>
        <v>6</v>
      </c>
      <c r="Y45" s="764">
        <f t="shared" si="2"/>
        <v>8</v>
      </c>
      <c r="Z45" s="764">
        <f t="shared" si="3"/>
        <v>0</v>
      </c>
      <c r="AA45" s="761">
        <v>280</v>
      </c>
      <c r="AB45" s="760">
        <f>nlc_rescost($S45:$U45,'Calc-Master'!$AX$13:$BF$13,AB$21,2)</f>
        <v>70</v>
      </c>
      <c r="AC45" s="760">
        <f>nlc_rescost($S45:$U45,'Calc-Master'!$AX$13:$BF$13,AC$21,3)</f>
        <v>280</v>
      </c>
      <c r="AD45" s="761"/>
      <c r="AE45" s="739"/>
      <c r="AF45" s="739"/>
      <c r="AG45" s="759">
        <v>280</v>
      </c>
      <c r="AH45" s="760">
        <f t="shared" si="6"/>
        <v>70</v>
      </c>
      <c r="AI45" s="760">
        <f t="shared" si="4"/>
        <v>210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42824</v>
      </c>
      <c r="P46" s="765">
        <v>42831</v>
      </c>
      <c r="Q46" s="741">
        <v>42824</v>
      </c>
      <c r="R46" s="741">
        <v>42831</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42831</v>
      </c>
      <c r="P47" s="699">
        <v>42831</v>
      </c>
      <c r="Q47" s="700">
        <v>42831</v>
      </c>
      <c r="R47" s="701">
        <f>IF(Q47&lt;&gt;"",Q47,"")</f>
        <v>42831</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0.38235294117647056</v>
      </c>
      <c r="M48" s="745" t="s">
        <v>854</v>
      </c>
      <c r="N48" s="749"/>
      <c r="O48" s="634">
        <v>42662</v>
      </c>
      <c r="P48" s="634">
        <v>42810</v>
      </c>
      <c r="Q48" s="750">
        <v>42662</v>
      </c>
      <c r="R48" s="750">
        <v>42810</v>
      </c>
      <c r="S48" s="752">
        <v>104</v>
      </c>
      <c r="T48" s="751">
        <v>22.5</v>
      </c>
      <c r="U48" s="751">
        <v>104</v>
      </c>
      <c r="V48" s="753">
        <v>104</v>
      </c>
      <c r="W48" s="754">
        <f t="shared" ref="W48:W53" si="8">T48</f>
        <v>22.5</v>
      </c>
      <c r="X48" s="754">
        <f t="shared" ref="X48:X53" si="9">Y48-W48</f>
        <v>81.5</v>
      </c>
      <c r="Y48" s="754">
        <f t="shared" ref="Y48:Y53" si="10">U48</f>
        <v>104</v>
      </c>
      <c r="Z48" s="754">
        <f t="shared" ref="Z48:Z53" si="11">Y48-V48</f>
        <v>0</v>
      </c>
      <c r="AA48" s="755">
        <v>3640</v>
      </c>
      <c r="AB48" s="756">
        <f>nlc_rescost($S48:$U48,'Calc-Master'!$AX$13:$BF$13,AB$21,2)</f>
        <v>787.5</v>
      </c>
      <c r="AC48" s="756">
        <f>nlc_rescost($S48:$U48,'Calc-Master'!$AX$13:$BF$13,AC$21,3)</f>
        <v>3640</v>
      </c>
      <c r="AD48" s="755">
        <v>0</v>
      </c>
      <c r="AE48" s="757">
        <v>0</v>
      </c>
      <c r="AF48" s="757">
        <v>0</v>
      </c>
      <c r="AG48" s="758">
        <v>3640</v>
      </c>
      <c r="AH48" s="756">
        <f t="shared" ref="AH48:AH53" si="12">AB48+AE48</f>
        <v>787.5</v>
      </c>
      <c r="AI48" s="756">
        <f t="shared" ref="AI48:AI53" si="13">AJ48-AH48</f>
        <v>2852.5</v>
      </c>
      <c r="AJ48" s="756">
        <f t="shared" ref="AJ48:AJ53" si="14">AC48+AF48</f>
        <v>3640</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953" t="s">
        <v>2847</v>
      </c>
      <c r="L49" s="743">
        <v>1</v>
      </c>
      <c r="M49" s="744" t="s">
        <v>854</v>
      </c>
      <c r="N49" s="943" t="s">
        <v>2818</v>
      </c>
      <c r="O49" s="765">
        <v>42662</v>
      </c>
      <c r="P49" s="765">
        <v>42663</v>
      </c>
      <c r="Q49" s="741">
        <v>42662</v>
      </c>
      <c r="R49" s="741">
        <v>42663</v>
      </c>
      <c r="S49" s="762">
        <v>2</v>
      </c>
      <c r="T49" s="740">
        <v>2</v>
      </c>
      <c r="U49" s="740">
        <v>2</v>
      </c>
      <c r="V49" s="763">
        <v>2</v>
      </c>
      <c r="W49" s="764">
        <f t="shared" si="8"/>
        <v>2</v>
      </c>
      <c r="X49" s="764">
        <f t="shared" si="9"/>
        <v>0</v>
      </c>
      <c r="Y49" s="764">
        <f t="shared" si="10"/>
        <v>2</v>
      </c>
      <c r="Z49" s="764">
        <f t="shared" si="11"/>
        <v>0</v>
      </c>
      <c r="AA49" s="761">
        <v>70</v>
      </c>
      <c r="AB49" s="760">
        <f>nlc_rescost($S49:$U49,'Calc-Master'!$AX$13:$BF$13,AB$21,2)</f>
        <v>70</v>
      </c>
      <c r="AC49" s="760">
        <f>nlc_rescost($S49:$U49,'Calc-Master'!$AX$13:$BF$13,AC$21,3)</f>
        <v>70</v>
      </c>
      <c r="AD49" s="761"/>
      <c r="AE49" s="739"/>
      <c r="AF49" s="739"/>
      <c r="AG49" s="759">
        <v>70</v>
      </c>
      <c r="AH49" s="760">
        <f t="shared" si="12"/>
        <v>70</v>
      </c>
      <c r="AI49" s="760">
        <f t="shared" si="13"/>
        <v>0</v>
      </c>
      <c r="AJ49" s="760">
        <f t="shared" si="14"/>
        <v>70</v>
      </c>
      <c r="AK49" s="760">
        <f t="shared" si="15"/>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1</v>
      </c>
      <c r="T50" s="740">
        <v>1</v>
      </c>
      <c r="U50" s="740">
        <v>1</v>
      </c>
      <c r="V50" s="763">
        <v>1</v>
      </c>
      <c r="W50" s="764">
        <f t="shared" si="8"/>
        <v>1</v>
      </c>
      <c r="X50" s="764">
        <f t="shared" si="9"/>
        <v>0</v>
      </c>
      <c r="Y50" s="764">
        <f t="shared" si="10"/>
        <v>1</v>
      </c>
      <c r="Z50" s="764">
        <f t="shared" si="11"/>
        <v>0</v>
      </c>
      <c r="AA50" s="761">
        <v>35</v>
      </c>
      <c r="AB50" s="760">
        <f>nlc_rescost($S50:$U50,'Calc-Master'!$AX$13:$BF$13,AB$21,2)</f>
        <v>35</v>
      </c>
      <c r="AC50" s="760">
        <f>nlc_rescost($S50:$U50,'Calc-Master'!$AX$13:$BF$13,AC$21,3)</f>
        <v>35</v>
      </c>
      <c r="AD50" s="761"/>
      <c r="AE50" s="739"/>
      <c r="AF50" s="739"/>
      <c r="AG50" s="759">
        <v>35</v>
      </c>
      <c r="AH50" s="760">
        <f t="shared" si="12"/>
        <v>35</v>
      </c>
      <c r="AI50" s="760">
        <f t="shared" si="13"/>
        <v>0</v>
      </c>
      <c r="AJ50" s="760">
        <f t="shared" si="14"/>
        <v>35</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0</v>
      </c>
      <c r="U51" s="740">
        <v>2</v>
      </c>
      <c r="V51" s="763">
        <v>2</v>
      </c>
      <c r="W51" s="764">
        <f t="shared" si="8"/>
        <v>0</v>
      </c>
      <c r="X51" s="764">
        <f t="shared" si="9"/>
        <v>2</v>
      </c>
      <c r="Y51" s="764">
        <f t="shared" si="10"/>
        <v>2</v>
      </c>
      <c r="Z51" s="764">
        <f t="shared" si="11"/>
        <v>0</v>
      </c>
      <c r="AA51" s="761">
        <v>70</v>
      </c>
      <c r="AB51" s="760">
        <f>nlc_rescost($S51:$U51,'Calc-Master'!$AX$13:$BF$13,AB$21,2)</f>
        <v>0</v>
      </c>
      <c r="AC51" s="760">
        <f>nlc_rescost($S51:$U51,'Calc-Master'!$AX$13:$BF$13,AC$21,3)</f>
        <v>70</v>
      </c>
      <c r="AD51" s="761"/>
      <c r="AE51" s="739"/>
      <c r="AF51" s="739"/>
      <c r="AG51" s="759">
        <v>70</v>
      </c>
      <c r="AH51" s="760">
        <f t="shared" si="12"/>
        <v>0</v>
      </c>
      <c r="AI51" s="760">
        <f t="shared" si="13"/>
        <v>70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0.5</v>
      </c>
      <c r="M54" s="744" t="s">
        <v>854</v>
      </c>
      <c r="N54" s="943" t="s">
        <v>2818</v>
      </c>
      <c r="O54" s="765">
        <v>42725</v>
      </c>
      <c r="P54" s="765">
        <v>42761</v>
      </c>
      <c r="Q54" s="741">
        <v>42725</v>
      </c>
      <c r="R54" s="741">
        <v>42761</v>
      </c>
      <c r="S54" s="762">
        <v>8</v>
      </c>
      <c r="T54" s="740">
        <v>3</v>
      </c>
      <c r="U54" s="740">
        <v>8</v>
      </c>
      <c r="V54" s="763">
        <v>8</v>
      </c>
      <c r="W54" s="764">
        <f t="shared" si="0"/>
        <v>3</v>
      </c>
      <c r="X54" s="764">
        <f t="shared" si="1"/>
        <v>5</v>
      </c>
      <c r="Y54" s="764">
        <f t="shared" si="2"/>
        <v>8</v>
      </c>
      <c r="Z54" s="764">
        <f t="shared" si="3"/>
        <v>0</v>
      </c>
      <c r="AA54" s="761">
        <v>280</v>
      </c>
      <c r="AB54" s="760">
        <f>nlc_rescost($S54:$U54,'Calc-Master'!$AX$13:$BF$13,AB$21,2)</f>
        <v>105</v>
      </c>
      <c r="AC54" s="760">
        <f>nlc_rescost($S54:$U54,'Calc-Master'!$AX$13:$BF$13,AC$21,3)</f>
        <v>280</v>
      </c>
      <c r="AD54" s="761"/>
      <c r="AE54" s="739"/>
      <c r="AF54" s="739"/>
      <c r="AG54" s="759">
        <v>280</v>
      </c>
      <c r="AH54" s="760">
        <f t="shared" si="6"/>
        <v>105</v>
      </c>
      <c r="AI54" s="760">
        <f t="shared" si="4"/>
        <v>175</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0</v>
      </c>
      <c r="M55" s="744" t="str">
        <f t="shared" ref="M55:M58" si="16">green</f>
        <v>grün</v>
      </c>
      <c r="N55" s="943" t="s">
        <v>2818</v>
      </c>
      <c r="O55" s="765">
        <v>42761</v>
      </c>
      <c r="P55" s="765">
        <v>42774</v>
      </c>
      <c r="Q55" s="741">
        <v>42761</v>
      </c>
      <c r="R55" s="741">
        <v>42774</v>
      </c>
      <c r="S55" s="762">
        <v>3</v>
      </c>
      <c r="T55" s="740"/>
      <c r="U55" s="740">
        <v>3</v>
      </c>
      <c r="V55" s="763">
        <v>3</v>
      </c>
      <c r="W55" s="764">
        <f t="shared" ref="W55:W58" si="17">T55</f>
        <v>0</v>
      </c>
      <c r="X55" s="764">
        <f t="shared" ref="X55:X58" si="18">Y55-W55</f>
        <v>3</v>
      </c>
      <c r="Y55" s="764">
        <f t="shared" ref="Y55:Y58" si="19">U55</f>
        <v>3</v>
      </c>
      <c r="Z55" s="764">
        <f t="shared" ref="Z55:Z58" si="20">Y55-V55</f>
        <v>0</v>
      </c>
      <c r="AA55" s="761">
        <v>105</v>
      </c>
      <c r="AB55" s="760">
        <f>nlc_rescost($S55:$U55,'Calc-Master'!$AX$13:$BF$13,AB$21,2)</f>
        <v>0</v>
      </c>
      <c r="AC55" s="760">
        <f>nlc_rescost($S55:$U55,'Calc-Master'!$AX$13:$BF$13,AC$21,3)</f>
        <v>105</v>
      </c>
      <c r="AD55" s="761"/>
      <c r="AE55" s="739"/>
      <c r="AF55" s="739"/>
      <c r="AG55" s="759">
        <v>105</v>
      </c>
      <c r="AH55" s="760">
        <f t="shared" ref="AH55:AH58" si="21">AB55+AE55</f>
        <v>0</v>
      </c>
      <c r="AI55" s="760">
        <f t="shared" ref="AI55:AI58" si="22">AJ55-AH55</f>
        <v>105</v>
      </c>
      <c r="AJ55" s="760">
        <f t="shared" ref="AJ55:AJ58" si="23">AC55+AF55</f>
        <v>105</v>
      </c>
      <c r="AK55" s="760">
        <f t="shared" ref="AK55:AK58"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0</v>
      </c>
      <c r="M56" s="744" t="str">
        <f t="shared" si="16"/>
        <v>grün</v>
      </c>
      <c r="N56" s="943" t="s">
        <v>2818</v>
      </c>
      <c r="O56" s="765">
        <v>42774</v>
      </c>
      <c r="P56" s="765">
        <v>42802</v>
      </c>
      <c r="Q56" s="741">
        <v>42774</v>
      </c>
      <c r="R56" s="741">
        <v>42802</v>
      </c>
      <c r="S56" s="762">
        <v>7</v>
      </c>
      <c r="T56" s="740"/>
      <c r="U56" s="740">
        <v>7</v>
      </c>
      <c r="V56" s="763">
        <v>7</v>
      </c>
      <c r="W56" s="764">
        <f t="shared" si="17"/>
        <v>0</v>
      </c>
      <c r="X56" s="764">
        <f t="shared" si="18"/>
        <v>7</v>
      </c>
      <c r="Y56" s="764">
        <f t="shared" si="19"/>
        <v>7</v>
      </c>
      <c r="Z56" s="764">
        <f t="shared" si="20"/>
        <v>0</v>
      </c>
      <c r="AA56" s="761">
        <v>245</v>
      </c>
      <c r="AB56" s="760">
        <f>nlc_rescost($S56:$U56,'Calc-Master'!$AX$13:$BF$13,AB$21,2)</f>
        <v>0</v>
      </c>
      <c r="AC56" s="760">
        <f>nlc_rescost($S56:$U56,'Calc-Master'!$AX$13:$BF$13,AC$21,3)</f>
        <v>245</v>
      </c>
      <c r="AD56" s="761"/>
      <c r="AE56" s="739"/>
      <c r="AF56" s="739"/>
      <c r="AG56" s="759">
        <v>245</v>
      </c>
      <c r="AH56" s="760">
        <f t="shared" si="21"/>
        <v>0</v>
      </c>
      <c r="AI56" s="760">
        <f t="shared" si="22"/>
        <v>245</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0</v>
      </c>
      <c r="M57" s="744" t="str">
        <f t="shared" si="16"/>
        <v>grün</v>
      </c>
      <c r="N57" s="943" t="s">
        <v>2818</v>
      </c>
      <c r="O57" s="765">
        <v>42795</v>
      </c>
      <c r="P57" s="765">
        <v>42810</v>
      </c>
      <c r="Q57" s="741">
        <v>42795</v>
      </c>
      <c r="R57" s="741">
        <v>42810</v>
      </c>
      <c r="S57" s="762">
        <v>7</v>
      </c>
      <c r="T57" s="740"/>
      <c r="U57" s="740">
        <v>7</v>
      </c>
      <c r="V57" s="763">
        <v>7</v>
      </c>
      <c r="W57" s="764">
        <f t="shared" si="17"/>
        <v>0</v>
      </c>
      <c r="X57" s="764">
        <f t="shared" si="18"/>
        <v>7</v>
      </c>
      <c r="Y57" s="764">
        <f t="shared" si="19"/>
        <v>7</v>
      </c>
      <c r="Z57" s="764">
        <f t="shared" si="20"/>
        <v>0</v>
      </c>
      <c r="AA57" s="761">
        <v>245</v>
      </c>
      <c r="AB57" s="760">
        <f>nlc_rescost($S57:$U57,'Calc-Master'!$AX$13:$BF$13,AB$21,2)</f>
        <v>0</v>
      </c>
      <c r="AC57" s="760">
        <f>nlc_rescost($S57:$U57,'Calc-Master'!$AX$13:$BF$13,AC$21,3)</f>
        <v>245</v>
      </c>
      <c r="AD57" s="761"/>
      <c r="AE57" s="739"/>
      <c r="AF57" s="739"/>
      <c r="AG57" s="759">
        <v>245</v>
      </c>
      <c r="AH57" s="760">
        <f t="shared" si="21"/>
        <v>0</v>
      </c>
      <c r="AI57" s="760">
        <f t="shared" si="22"/>
        <v>245</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1">
        <v>25</v>
      </c>
      <c r="E58" s="622" t="s">
        <v>2425</v>
      </c>
      <c r="F58" s="623"/>
      <c r="G58" s="623" t="s">
        <v>2616</v>
      </c>
      <c r="H58" s="622" t="s">
        <v>2425</v>
      </c>
      <c r="I58" s="624">
        <v>3</v>
      </c>
      <c r="J58" s="747" t="s">
        <v>2837</v>
      </c>
      <c r="K58" s="953" t="s">
        <v>2910</v>
      </c>
      <c r="L58" s="743">
        <v>0.5</v>
      </c>
      <c r="M58" s="744" t="str">
        <f t="shared" si="16"/>
        <v>grün</v>
      </c>
      <c r="N58" s="943" t="s">
        <v>2819</v>
      </c>
      <c r="O58" s="765">
        <v>42704</v>
      </c>
      <c r="P58" s="765">
        <v>42810</v>
      </c>
      <c r="Q58" s="741">
        <v>42704</v>
      </c>
      <c r="R58" s="741">
        <v>42810</v>
      </c>
      <c r="S58" s="762">
        <v>15</v>
      </c>
      <c r="T58" s="740">
        <v>9.5</v>
      </c>
      <c r="U58" s="740">
        <v>15</v>
      </c>
      <c r="V58" s="763">
        <v>15</v>
      </c>
      <c r="W58" s="764">
        <f t="shared" si="17"/>
        <v>9.5</v>
      </c>
      <c r="X58" s="764">
        <f t="shared" si="18"/>
        <v>5.5</v>
      </c>
      <c r="Y58" s="764">
        <f t="shared" si="19"/>
        <v>15</v>
      </c>
      <c r="Z58" s="764">
        <f t="shared" si="20"/>
        <v>0</v>
      </c>
      <c r="AA58" s="761">
        <v>525</v>
      </c>
      <c r="AB58" s="760">
        <f>nlc_rescost($S58:$U58,'Calc-Master'!$AX$13:$BF$13,AB$21,2)</f>
        <v>332.5</v>
      </c>
      <c r="AC58" s="760">
        <f>nlc_rescost($S58:$U58,'Calc-Master'!$AX$13:$BF$13,AC$21,3)</f>
        <v>525</v>
      </c>
      <c r="AD58" s="761"/>
      <c r="AE58" s="739"/>
      <c r="AF58" s="739"/>
      <c r="AG58" s="759">
        <v>525</v>
      </c>
      <c r="AH58" s="760">
        <f t="shared" si="21"/>
        <v>332.5</v>
      </c>
      <c r="AI58" s="760">
        <f t="shared" si="22"/>
        <v>192.5</v>
      </c>
      <c r="AJ58" s="760">
        <f t="shared" si="23"/>
        <v>525</v>
      </c>
      <c r="AK58" s="760">
        <f t="shared" si="24"/>
        <v>0</v>
      </c>
      <c r="AL58" s="737"/>
      <c r="AM58" s="522">
        <v>16</v>
      </c>
      <c r="AN58" s="522">
        <v>105</v>
      </c>
      <c r="AO58" s="522">
        <v>112</v>
      </c>
      <c r="AP58" s="522">
        <v>24</v>
      </c>
      <c r="AQ58" s="360"/>
    </row>
    <row r="59" spans="1:43" ht="12" customHeight="1" x14ac:dyDescent="0.2">
      <c r="A59" s="893"/>
      <c r="B59" s="528"/>
      <c r="C59" s="890">
        <v>20</v>
      </c>
      <c r="D59" s="621">
        <v>66</v>
      </c>
      <c r="E59" s="622" t="s">
        <v>2425</v>
      </c>
      <c r="F59" s="623"/>
      <c r="G59" s="623" t="s">
        <v>2616</v>
      </c>
      <c r="H59" s="622" t="s">
        <v>2425</v>
      </c>
      <c r="I59" s="624">
        <v>3</v>
      </c>
      <c r="J59" s="747" t="s">
        <v>2838</v>
      </c>
      <c r="K59" s="953" t="s">
        <v>2911</v>
      </c>
      <c r="L59" s="743">
        <v>0</v>
      </c>
      <c r="M59" s="744" t="str">
        <f t="shared" ref="M59:M76" si="25">green</f>
        <v>grün</v>
      </c>
      <c r="N59" s="943" t="s">
        <v>2819</v>
      </c>
      <c r="O59" s="765">
        <v>42718</v>
      </c>
      <c r="P59" s="765">
        <v>42810</v>
      </c>
      <c r="Q59" s="741">
        <v>42718</v>
      </c>
      <c r="R59" s="741">
        <v>42810</v>
      </c>
      <c r="S59" s="762">
        <v>15</v>
      </c>
      <c r="T59" s="740"/>
      <c r="U59" s="740">
        <v>15</v>
      </c>
      <c r="V59" s="763">
        <v>15</v>
      </c>
      <c r="W59" s="764">
        <f t="shared" ref="W59:W80" si="26">T59</f>
        <v>0</v>
      </c>
      <c r="X59" s="764">
        <f t="shared" ref="X59:X80" si="27">Y59-W59</f>
        <v>15</v>
      </c>
      <c r="Y59" s="764">
        <f t="shared" ref="Y59:Y80" si="28">U59</f>
        <v>15</v>
      </c>
      <c r="Z59" s="764">
        <f t="shared" ref="Z59:Z80" si="29">Y59-V59</f>
        <v>0</v>
      </c>
      <c r="AA59" s="761">
        <v>525</v>
      </c>
      <c r="AB59" s="760">
        <f>nlc_rescost($S59:$U59,'Calc-Master'!$AX$13:$BF$13,AB$21,2)</f>
        <v>0</v>
      </c>
      <c r="AC59" s="760">
        <f>nlc_rescost($S59:$U59,'Calc-Master'!$AX$13:$BF$13,AC$21,3)</f>
        <v>525</v>
      </c>
      <c r="AD59" s="761"/>
      <c r="AE59" s="739"/>
      <c r="AF59" s="739"/>
      <c r="AG59" s="759">
        <v>525</v>
      </c>
      <c r="AH59" s="760">
        <f t="shared" ref="AH59:AH80" si="30">AB59+AE59</f>
        <v>0</v>
      </c>
      <c r="AI59" s="760">
        <f t="shared" ref="AI59:AI80" si="31">AJ59-AH59</f>
        <v>525</v>
      </c>
      <c r="AJ59" s="760">
        <f t="shared" ref="AJ59:AJ80" si="32">AC59+AF59</f>
        <v>525</v>
      </c>
      <c r="AK59" s="760">
        <f t="shared" ref="AK59:AK80" si="33">AJ59-AG59</f>
        <v>0</v>
      </c>
      <c r="AL59" s="737"/>
      <c r="AM59" s="522">
        <v>16</v>
      </c>
      <c r="AN59" s="522">
        <v>114</v>
      </c>
      <c r="AO59" s="522">
        <v>121</v>
      </c>
      <c r="AP59" s="522">
        <v>24</v>
      </c>
      <c r="AQ59" s="360"/>
    </row>
    <row r="60" spans="1:43" ht="12" customHeight="1" x14ac:dyDescent="0.2">
      <c r="A60" s="893"/>
      <c r="B60" s="528"/>
      <c r="C60" s="890">
        <v>21</v>
      </c>
      <c r="D60" s="621">
        <v>68</v>
      </c>
      <c r="E60" s="622" t="s">
        <v>2425</v>
      </c>
      <c r="F60" s="623"/>
      <c r="G60" s="623" t="s">
        <v>2616</v>
      </c>
      <c r="H60" s="622" t="s">
        <v>2425</v>
      </c>
      <c r="I60" s="624">
        <v>3</v>
      </c>
      <c r="J60" s="747" t="s">
        <v>2839</v>
      </c>
      <c r="K60" s="953" t="s">
        <v>2916</v>
      </c>
      <c r="L60" s="743">
        <v>0</v>
      </c>
      <c r="M60" s="744" t="str">
        <f t="shared" si="25"/>
        <v>grün</v>
      </c>
      <c r="N60" s="943" t="s">
        <v>2819</v>
      </c>
      <c r="O60" s="765">
        <v>42696</v>
      </c>
      <c r="P60" s="765">
        <v>42810</v>
      </c>
      <c r="Q60" s="741">
        <v>42696</v>
      </c>
      <c r="R60" s="741">
        <v>42810</v>
      </c>
      <c r="S60" s="762">
        <v>15</v>
      </c>
      <c r="T60" s="740"/>
      <c r="U60" s="740">
        <v>15</v>
      </c>
      <c r="V60" s="763">
        <v>15</v>
      </c>
      <c r="W60" s="764">
        <f t="shared" si="26"/>
        <v>0</v>
      </c>
      <c r="X60" s="764">
        <f t="shared" si="27"/>
        <v>15</v>
      </c>
      <c r="Y60" s="764">
        <f t="shared" si="28"/>
        <v>15</v>
      </c>
      <c r="Z60" s="764">
        <f t="shared" si="29"/>
        <v>0</v>
      </c>
      <c r="AA60" s="761">
        <v>525</v>
      </c>
      <c r="AB60" s="760">
        <f>nlc_rescost($S60:$U60,'Calc-Master'!$AX$13:$BF$13,AB$21,2)</f>
        <v>0</v>
      </c>
      <c r="AC60" s="760">
        <f>nlc_rescost($S60:$U60,'Calc-Master'!$AX$13:$BF$13,AC$21,3)</f>
        <v>525</v>
      </c>
      <c r="AD60" s="761"/>
      <c r="AE60" s="739"/>
      <c r="AF60" s="739"/>
      <c r="AG60" s="759">
        <v>525</v>
      </c>
      <c r="AH60" s="760">
        <f t="shared" si="30"/>
        <v>0</v>
      </c>
      <c r="AI60" s="760">
        <f t="shared" si="31"/>
        <v>525</v>
      </c>
      <c r="AJ60" s="760">
        <f t="shared" si="32"/>
        <v>525</v>
      </c>
      <c r="AK60" s="760">
        <f t="shared" si="33"/>
        <v>0</v>
      </c>
      <c r="AL60" s="737"/>
      <c r="AM60" s="522">
        <v>16</v>
      </c>
      <c r="AN60" s="522">
        <v>123</v>
      </c>
      <c r="AO60" s="522">
        <v>130</v>
      </c>
      <c r="AP60" s="522">
        <v>24</v>
      </c>
      <c r="AQ60" s="360"/>
    </row>
    <row r="61" spans="1:43" ht="12" customHeight="1" x14ac:dyDescent="0.2">
      <c r="A61" s="893"/>
      <c r="B61" s="528"/>
      <c r="C61" s="890">
        <v>22</v>
      </c>
      <c r="D61" s="621">
        <v>65</v>
      </c>
      <c r="E61" s="622" t="s">
        <v>2425</v>
      </c>
      <c r="F61" s="623"/>
      <c r="G61" s="623" t="s">
        <v>2616</v>
      </c>
      <c r="H61" s="622" t="s">
        <v>2425</v>
      </c>
      <c r="I61" s="624">
        <v>3</v>
      </c>
      <c r="J61" s="747" t="s">
        <v>2841</v>
      </c>
      <c r="K61" s="953" t="s">
        <v>2912</v>
      </c>
      <c r="L61" s="743">
        <v>0.5</v>
      </c>
      <c r="M61" s="744" t="str">
        <f t="shared" si="25"/>
        <v>grün</v>
      </c>
      <c r="N61" s="943" t="s">
        <v>2820</v>
      </c>
      <c r="O61" s="765">
        <v>42711</v>
      </c>
      <c r="P61" s="765">
        <v>42786</v>
      </c>
      <c r="Q61" s="741">
        <v>42711</v>
      </c>
      <c r="R61" s="741">
        <v>42786</v>
      </c>
      <c r="S61" s="762">
        <v>5</v>
      </c>
      <c r="T61" s="740">
        <v>1</v>
      </c>
      <c r="U61" s="740">
        <v>5</v>
      </c>
      <c r="V61" s="763">
        <v>5</v>
      </c>
      <c r="W61" s="764">
        <f t="shared" si="26"/>
        <v>1</v>
      </c>
      <c r="X61" s="764">
        <f t="shared" si="27"/>
        <v>4</v>
      </c>
      <c r="Y61" s="764">
        <f t="shared" si="28"/>
        <v>5</v>
      </c>
      <c r="Z61" s="764">
        <f t="shared" si="29"/>
        <v>0</v>
      </c>
      <c r="AA61" s="761">
        <v>175</v>
      </c>
      <c r="AB61" s="760">
        <f>nlc_rescost($S61:$U61,'Calc-Master'!$AX$13:$BF$13,AB$21,2)</f>
        <v>35</v>
      </c>
      <c r="AC61" s="760">
        <f>nlc_rescost($S61:$U61,'Calc-Master'!$AX$13:$BF$13,AC$21,3)</f>
        <v>175</v>
      </c>
      <c r="AD61" s="761"/>
      <c r="AE61" s="739"/>
      <c r="AF61" s="739"/>
      <c r="AG61" s="759">
        <v>175</v>
      </c>
      <c r="AH61" s="760">
        <f t="shared" si="30"/>
        <v>35</v>
      </c>
      <c r="AI61" s="760">
        <f t="shared" si="31"/>
        <v>140</v>
      </c>
      <c r="AJ61" s="760">
        <f t="shared" si="32"/>
        <v>175</v>
      </c>
      <c r="AK61" s="760">
        <f t="shared" si="33"/>
        <v>0</v>
      </c>
      <c r="AL61" s="737"/>
      <c r="AM61" s="522">
        <v>16</v>
      </c>
      <c r="AN61" s="522">
        <v>132</v>
      </c>
      <c r="AO61" s="522">
        <v>139</v>
      </c>
      <c r="AP61" s="522">
        <v>24</v>
      </c>
      <c r="AQ61" s="360"/>
    </row>
    <row r="62" spans="1:43" ht="12" customHeight="1" x14ac:dyDescent="0.2">
      <c r="A62" s="893"/>
      <c r="B62" s="528"/>
      <c r="C62" s="890">
        <v>23</v>
      </c>
      <c r="D62" s="621">
        <v>64</v>
      </c>
      <c r="E62" s="622" t="s">
        <v>2425</v>
      </c>
      <c r="F62" s="623"/>
      <c r="G62" s="623" t="s">
        <v>2616</v>
      </c>
      <c r="H62" s="622" t="s">
        <v>2425</v>
      </c>
      <c r="I62" s="624">
        <v>3</v>
      </c>
      <c r="J62" s="747" t="s">
        <v>2846</v>
      </c>
      <c r="K62" s="953" t="s">
        <v>2913</v>
      </c>
      <c r="L62" s="743">
        <v>0</v>
      </c>
      <c r="M62" s="744" t="str">
        <f t="shared" si="25"/>
        <v>grün</v>
      </c>
      <c r="N62" s="943" t="s">
        <v>2820</v>
      </c>
      <c r="O62" s="765">
        <v>42718</v>
      </c>
      <c r="P62" s="765">
        <v>42786</v>
      </c>
      <c r="Q62" s="741">
        <v>42718</v>
      </c>
      <c r="R62" s="741">
        <v>42786</v>
      </c>
      <c r="S62" s="762">
        <v>5</v>
      </c>
      <c r="T62" s="740"/>
      <c r="U62" s="740">
        <v>5</v>
      </c>
      <c r="V62" s="763">
        <v>5</v>
      </c>
      <c r="W62" s="764">
        <f t="shared" si="26"/>
        <v>0</v>
      </c>
      <c r="X62" s="764">
        <f t="shared" si="27"/>
        <v>5</v>
      </c>
      <c r="Y62" s="764">
        <f t="shared" si="28"/>
        <v>5</v>
      </c>
      <c r="Z62" s="764">
        <f t="shared" si="29"/>
        <v>0</v>
      </c>
      <c r="AA62" s="761">
        <v>175</v>
      </c>
      <c r="AB62" s="760">
        <f>nlc_rescost($S62:$U62,'Calc-Master'!$AX$13:$BF$13,AB$21,2)</f>
        <v>0</v>
      </c>
      <c r="AC62" s="760">
        <f>nlc_rescost($S62:$U62,'Calc-Master'!$AX$13:$BF$13,AC$21,3)</f>
        <v>175</v>
      </c>
      <c r="AD62" s="761"/>
      <c r="AE62" s="739"/>
      <c r="AF62" s="739"/>
      <c r="AG62" s="759">
        <v>175</v>
      </c>
      <c r="AH62" s="760">
        <f t="shared" si="30"/>
        <v>0</v>
      </c>
      <c r="AI62" s="760">
        <f t="shared" si="31"/>
        <v>175</v>
      </c>
      <c r="AJ62" s="760">
        <f t="shared" si="32"/>
        <v>175</v>
      </c>
      <c r="AK62" s="760">
        <f t="shared" si="33"/>
        <v>0</v>
      </c>
      <c r="AL62" s="737"/>
      <c r="AM62" s="522">
        <v>16</v>
      </c>
      <c r="AN62" s="522">
        <v>141</v>
      </c>
      <c r="AO62" s="522">
        <v>148</v>
      </c>
      <c r="AP62" s="522">
        <v>24</v>
      </c>
      <c r="AQ62" s="360"/>
    </row>
    <row r="63" spans="1:43" ht="12" customHeight="1" x14ac:dyDescent="0.2">
      <c r="A63" s="893"/>
      <c r="B63" s="528"/>
      <c r="C63" s="890">
        <v>24</v>
      </c>
      <c r="D63" s="621">
        <v>63</v>
      </c>
      <c r="E63" s="622" t="s">
        <v>2425</v>
      </c>
      <c r="F63" s="623"/>
      <c r="G63" s="623" t="s">
        <v>2616</v>
      </c>
      <c r="H63" s="622" t="s">
        <v>2425</v>
      </c>
      <c r="I63" s="624">
        <v>3</v>
      </c>
      <c r="J63" s="747" t="s">
        <v>2850</v>
      </c>
      <c r="K63" s="953" t="s">
        <v>2909</v>
      </c>
      <c r="L63" s="743">
        <v>0</v>
      </c>
      <c r="M63" s="744" t="str">
        <f t="shared" si="25"/>
        <v>grün</v>
      </c>
      <c r="N63" s="943" t="s">
        <v>2820</v>
      </c>
      <c r="O63" s="765">
        <v>42719</v>
      </c>
      <c r="P63" s="765">
        <v>42786</v>
      </c>
      <c r="Q63" s="741">
        <v>42719</v>
      </c>
      <c r="R63" s="741">
        <v>42786</v>
      </c>
      <c r="S63" s="762">
        <v>3</v>
      </c>
      <c r="T63" s="740"/>
      <c r="U63" s="740">
        <v>3</v>
      </c>
      <c r="V63" s="763">
        <v>3</v>
      </c>
      <c r="W63" s="764">
        <f t="shared" si="26"/>
        <v>0</v>
      </c>
      <c r="X63" s="764">
        <f t="shared" si="27"/>
        <v>3</v>
      </c>
      <c r="Y63" s="764">
        <f t="shared" si="28"/>
        <v>3</v>
      </c>
      <c r="Z63" s="764">
        <f t="shared" si="29"/>
        <v>0</v>
      </c>
      <c r="AA63" s="761">
        <v>105</v>
      </c>
      <c r="AB63" s="760">
        <f>nlc_rescost($S63:$U63,'Calc-Master'!$AX$13:$BF$13,AB$21,2)</f>
        <v>0</v>
      </c>
      <c r="AC63" s="760">
        <f>nlc_rescost($S63:$U63,'Calc-Master'!$AX$13:$BF$13,AC$21,3)</f>
        <v>105</v>
      </c>
      <c r="AD63" s="761"/>
      <c r="AE63" s="739"/>
      <c r="AF63" s="739"/>
      <c r="AG63" s="759">
        <v>105</v>
      </c>
      <c r="AH63" s="760">
        <f t="shared" si="30"/>
        <v>0</v>
      </c>
      <c r="AI63" s="760">
        <f t="shared" si="31"/>
        <v>105</v>
      </c>
      <c r="AJ63" s="760">
        <f t="shared" si="32"/>
        <v>105</v>
      </c>
      <c r="AK63" s="760">
        <f t="shared" si="33"/>
        <v>0</v>
      </c>
      <c r="AL63" s="737"/>
      <c r="AM63" s="522">
        <v>16</v>
      </c>
      <c r="AN63" s="522">
        <v>150</v>
      </c>
      <c r="AO63" s="522">
        <v>157</v>
      </c>
      <c r="AP63" s="522">
        <v>24</v>
      </c>
      <c r="AQ63" s="360"/>
    </row>
    <row r="64" spans="1:43" ht="12" customHeight="1" x14ac:dyDescent="0.2">
      <c r="A64" s="893"/>
      <c r="B64" s="528"/>
      <c r="C64" s="890">
        <v>25</v>
      </c>
      <c r="D64" s="621">
        <v>62</v>
      </c>
      <c r="E64" s="622" t="s">
        <v>2425</v>
      </c>
      <c r="F64" s="623"/>
      <c r="G64" s="623" t="s">
        <v>2616</v>
      </c>
      <c r="H64" s="622" t="s">
        <v>2425</v>
      </c>
      <c r="I64" s="624">
        <v>3</v>
      </c>
      <c r="J64" s="747" t="s">
        <v>2852</v>
      </c>
      <c r="K64" s="953" t="s">
        <v>2914</v>
      </c>
      <c r="L64" s="743">
        <v>0</v>
      </c>
      <c r="M64" s="744" t="str">
        <f t="shared" si="25"/>
        <v>grün</v>
      </c>
      <c r="N64" s="943" t="s">
        <v>2820</v>
      </c>
      <c r="O64" s="765">
        <v>42719</v>
      </c>
      <c r="P64" s="765">
        <v>42786</v>
      </c>
      <c r="Q64" s="741">
        <v>42719</v>
      </c>
      <c r="R64" s="741">
        <v>42786</v>
      </c>
      <c r="S64" s="762">
        <v>3</v>
      </c>
      <c r="T64" s="740"/>
      <c r="U64" s="740">
        <v>3</v>
      </c>
      <c r="V64" s="763">
        <v>3</v>
      </c>
      <c r="W64" s="764">
        <f t="shared" si="26"/>
        <v>0</v>
      </c>
      <c r="X64" s="764">
        <f t="shared" si="27"/>
        <v>3</v>
      </c>
      <c r="Y64" s="764">
        <f t="shared" si="28"/>
        <v>3</v>
      </c>
      <c r="Z64" s="764">
        <f t="shared" si="29"/>
        <v>0</v>
      </c>
      <c r="AA64" s="761">
        <v>105</v>
      </c>
      <c r="AB64" s="760">
        <f>nlc_rescost($S64:$U64,'Calc-Master'!$AX$13:$BF$13,AB$21,2)</f>
        <v>0</v>
      </c>
      <c r="AC64" s="760">
        <f>nlc_rescost($S64:$U64,'Calc-Master'!$AX$13:$BF$13,AC$21,3)</f>
        <v>105</v>
      </c>
      <c r="AD64" s="761"/>
      <c r="AE64" s="739"/>
      <c r="AF64" s="739"/>
      <c r="AG64" s="759">
        <v>105</v>
      </c>
      <c r="AH64" s="760">
        <f t="shared" si="30"/>
        <v>0</v>
      </c>
      <c r="AI64" s="760">
        <f t="shared" si="31"/>
        <v>105</v>
      </c>
      <c r="AJ64" s="760">
        <f t="shared" si="32"/>
        <v>105</v>
      </c>
      <c r="AK64" s="760">
        <f t="shared" si="33"/>
        <v>0</v>
      </c>
      <c r="AL64" s="737"/>
      <c r="AM64" s="522">
        <v>16</v>
      </c>
      <c r="AN64" s="522">
        <v>159</v>
      </c>
      <c r="AO64" s="522">
        <v>166</v>
      </c>
      <c r="AP64" s="522">
        <v>24</v>
      </c>
      <c r="AQ64" s="360"/>
    </row>
    <row r="65" spans="1:43" ht="12" customHeight="1" x14ac:dyDescent="0.2">
      <c r="A65" s="893"/>
      <c r="B65" s="528"/>
      <c r="C65" s="890">
        <v>26</v>
      </c>
      <c r="D65" s="621">
        <v>61</v>
      </c>
      <c r="E65" s="622" t="s">
        <v>2425</v>
      </c>
      <c r="F65" s="623"/>
      <c r="G65" s="623" t="s">
        <v>2616</v>
      </c>
      <c r="H65" s="622" t="s">
        <v>2425</v>
      </c>
      <c r="I65" s="624">
        <v>3</v>
      </c>
      <c r="J65" s="747" t="s">
        <v>2907</v>
      </c>
      <c r="K65" s="953" t="s">
        <v>2915</v>
      </c>
      <c r="L65" s="743">
        <v>0</v>
      </c>
      <c r="M65" s="744" t="str">
        <f t="shared" si="25"/>
        <v>grün</v>
      </c>
      <c r="N65" s="943" t="s">
        <v>2820</v>
      </c>
      <c r="O65" s="765">
        <v>42725</v>
      </c>
      <c r="P65" s="765">
        <v>42795</v>
      </c>
      <c r="Q65" s="741">
        <v>42725</v>
      </c>
      <c r="R65" s="741">
        <v>42795</v>
      </c>
      <c r="S65" s="762">
        <v>7</v>
      </c>
      <c r="T65" s="740"/>
      <c r="U65" s="740">
        <v>7</v>
      </c>
      <c r="V65" s="763">
        <v>7</v>
      </c>
      <c r="W65" s="764">
        <f t="shared" si="26"/>
        <v>0</v>
      </c>
      <c r="X65" s="764">
        <f t="shared" si="27"/>
        <v>7</v>
      </c>
      <c r="Y65" s="764">
        <f t="shared" si="28"/>
        <v>7</v>
      </c>
      <c r="Z65" s="764">
        <f t="shared" si="29"/>
        <v>0</v>
      </c>
      <c r="AA65" s="761">
        <v>245</v>
      </c>
      <c r="AB65" s="760">
        <f>nlc_rescost($S65:$U65,'Calc-Master'!$AX$13:$BF$13,AB$21,2)</f>
        <v>0</v>
      </c>
      <c r="AC65" s="760">
        <f>nlc_rescost($S65:$U65,'Calc-Master'!$AX$13:$BF$13,AC$21,3)</f>
        <v>245</v>
      </c>
      <c r="AD65" s="761"/>
      <c r="AE65" s="739"/>
      <c r="AF65" s="739"/>
      <c r="AG65" s="759">
        <v>245</v>
      </c>
      <c r="AH65" s="760">
        <f t="shared" si="30"/>
        <v>0</v>
      </c>
      <c r="AI65" s="760">
        <f t="shared" si="31"/>
        <v>245</v>
      </c>
      <c r="AJ65" s="760">
        <f t="shared" si="32"/>
        <v>245</v>
      </c>
      <c r="AK65" s="760">
        <f t="shared" si="33"/>
        <v>0</v>
      </c>
      <c r="AL65" s="737"/>
      <c r="AM65" s="522">
        <v>16</v>
      </c>
      <c r="AN65" s="522">
        <v>168</v>
      </c>
      <c r="AO65" s="522">
        <v>175</v>
      </c>
      <c r="AP65" s="522">
        <v>24</v>
      </c>
      <c r="AQ65" s="360"/>
    </row>
    <row r="66" spans="1:43" ht="12" customHeight="1" x14ac:dyDescent="0.2">
      <c r="A66" s="893"/>
      <c r="B66" s="528"/>
      <c r="C66" s="890">
        <v>27</v>
      </c>
      <c r="D66" s="629">
        <v>72</v>
      </c>
      <c r="E66" s="630" t="s">
        <v>2059</v>
      </c>
      <c r="F66" s="630"/>
      <c r="G66" s="630" t="s">
        <v>728</v>
      </c>
      <c r="H66" s="631" t="s">
        <v>2059</v>
      </c>
      <c r="I66" s="632">
        <v>2</v>
      </c>
      <c r="J66" s="748" t="s">
        <v>2826</v>
      </c>
      <c r="K66" s="746" t="s">
        <v>2917</v>
      </c>
      <c r="L66" s="633">
        <v>0</v>
      </c>
      <c r="M66" s="745" t="str">
        <f t="shared" si="25"/>
        <v>grün</v>
      </c>
      <c r="N66" s="749"/>
      <c r="O66" s="634">
        <v>42795</v>
      </c>
      <c r="P66" s="634">
        <v>42810</v>
      </c>
      <c r="Q66" s="750">
        <v>42795</v>
      </c>
      <c r="R66" s="750">
        <v>42810</v>
      </c>
      <c r="S66" s="752">
        <v>8</v>
      </c>
      <c r="T66" s="751">
        <v>0</v>
      </c>
      <c r="U66" s="751">
        <v>8</v>
      </c>
      <c r="V66" s="753">
        <v>8</v>
      </c>
      <c r="W66" s="754">
        <f t="shared" si="26"/>
        <v>0</v>
      </c>
      <c r="X66" s="754">
        <f t="shared" si="27"/>
        <v>8</v>
      </c>
      <c r="Y66" s="754">
        <f t="shared" si="28"/>
        <v>8</v>
      </c>
      <c r="Z66" s="754">
        <f t="shared" si="29"/>
        <v>0</v>
      </c>
      <c r="AA66" s="755">
        <v>280</v>
      </c>
      <c r="AB66" s="756">
        <f>nlc_rescost($S66:$U66,'Calc-Master'!$AX$13:$BF$13,AB$21,2)</f>
        <v>0</v>
      </c>
      <c r="AC66" s="756">
        <f>nlc_rescost($S66:$U66,'Calc-Master'!$AX$13:$BF$13,AC$21,3)</f>
        <v>280</v>
      </c>
      <c r="AD66" s="755">
        <v>0</v>
      </c>
      <c r="AE66" s="757">
        <v>0</v>
      </c>
      <c r="AF66" s="757">
        <v>0</v>
      </c>
      <c r="AG66" s="758">
        <v>280</v>
      </c>
      <c r="AH66" s="756">
        <f t="shared" si="30"/>
        <v>0</v>
      </c>
      <c r="AI66" s="756">
        <f t="shared" si="31"/>
        <v>280</v>
      </c>
      <c r="AJ66" s="756">
        <f t="shared" si="32"/>
        <v>280</v>
      </c>
      <c r="AK66" s="756">
        <f t="shared" si="33"/>
        <v>0</v>
      </c>
      <c r="AL66" s="738"/>
      <c r="AM66" s="523">
        <v>26</v>
      </c>
      <c r="AN66" s="523">
        <v>15</v>
      </c>
      <c r="AO66" s="523">
        <v>22</v>
      </c>
      <c r="AP66" s="523">
        <v>36</v>
      </c>
      <c r="AQ66" s="360"/>
    </row>
    <row r="67" spans="1:43" ht="12" customHeight="1" x14ac:dyDescent="0.2">
      <c r="A67" s="893"/>
      <c r="B67" s="528"/>
      <c r="C67" s="890">
        <v>28</v>
      </c>
      <c r="D67" s="621">
        <v>71</v>
      </c>
      <c r="E67" s="622" t="s">
        <v>2425</v>
      </c>
      <c r="F67" s="623"/>
      <c r="G67" s="623" t="s">
        <v>2616</v>
      </c>
      <c r="H67" s="622" t="s">
        <v>2425</v>
      </c>
      <c r="I67" s="624">
        <v>3</v>
      </c>
      <c r="J67" s="747" t="s">
        <v>2827</v>
      </c>
      <c r="K67" s="953" t="s">
        <v>2961</v>
      </c>
      <c r="L67" s="743">
        <v>0</v>
      </c>
      <c r="M67" s="744" t="str">
        <f t="shared" si="25"/>
        <v>grün</v>
      </c>
      <c r="N67" s="943" t="s">
        <v>2818</v>
      </c>
      <c r="O67" s="765">
        <v>42795</v>
      </c>
      <c r="P67" s="765">
        <v>42810</v>
      </c>
      <c r="Q67" s="741">
        <v>42795</v>
      </c>
      <c r="R67" s="741">
        <v>42810</v>
      </c>
      <c r="S67" s="762">
        <v>6</v>
      </c>
      <c r="T67" s="740"/>
      <c r="U67" s="740">
        <v>6</v>
      </c>
      <c r="V67" s="763">
        <v>6</v>
      </c>
      <c r="W67" s="764">
        <f t="shared" si="26"/>
        <v>0</v>
      </c>
      <c r="X67" s="764">
        <f t="shared" si="27"/>
        <v>6</v>
      </c>
      <c r="Y67" s="764">
        <f t="shared" si="28"/>
        <v>6</v>
      </c>
      <c r="Z67" s="764">
        <f t="shared" si="29"/>
        <v>0</v>
      </c>
      <c r="AA67" s="761">
        <v>210</v>
      </c>
      <c r="AB67" s="760">
        <f>nlc_rescost($S67:$U67,'Calc-Master'!$AX$13:$BF$13,AB$21,2)</f>
        <v>0</v>
      </c>
      <c r="AC67" s="760">
        <f>nlc_rescost($S67:$U67,'Calc-Master'!$AX$13:$BF$13,AC$21,3)</f>
        <v>210</v>
      </c>
      <c r="AD67" s="761"/>
      <c r="AE67" s="739"/>
      <c r="AF67" s="739"/>
      <c r="AG67" s="759">
        <v>210</v>
      </c>
      <c r="AH67" s="760">
        <f t="shared" si="30"/>
        <v>0</v>
      </c>
      <c r="AI67" s="760">
        <f t="shared" si="31"/>
        <v>210</v>
      </c>
      <c r="AJ67" s="760">
        <f t="shared" si="32"/>
        <v>210</v>
      </c>
      <c r="AK67" s="760">
        <f t="shared" si="33"/>
        <v>0</v>
      </c>
      <c r="AL67" s="737"/>
      <c r="AM67" s="522">
        <v>28</v>
      </c>
      <c r="AN67" s="522">
        <v>24</v>
      </c>
      <c r="AO67" s="522">
        <v>31</v>
      </c>
      <c r="AP67" s="522">
        <v>36</v>
      </c>
      <c r="AQ67" s="360"/>
    </row>
    <row r="68" spans="1:43" ht="12" customHeight="1" x14ac:dyDescent="0.2">
      <c r="A68" s="893"/>
      <c r="B68" s="528"/>
      <c r="C68" s="890">
        <v>29</v>
      </c>
      <c r="D68" s="621">
        <v>70</v>
      </c>
      <c r="E68" s="622" t="s">
        <v>2425</v>
      </c>
      <c r="F68" s="623"/>
      <c r="G68" s="623" t="s">
        <v>2616</v>
      </c>
      <c r="H68" s="622" t="s">
        <v>2425</v>
      </c>
      <c r="I68" s="624">
        <v>3</v>
      </c>
      <c r="J68" s="747" t="s">
        <v>2853</v>
      </c>
      <c r="K68" s="953" t="s">
        <v>2918</v>
      </c>
      <c r="L68" s="743">
        <v>0</v>
      </c>
      <c r="M68" s="744" t="str">
        <f t="shared" si="25"/>
        <v>grün</v>
      </c>
      <c r="N68" s="943" t="s">
        <v>2818</v>
      </c>
      <c r="O68" s="765">
        <v>42795</v>
      </c>
      <c r="P68" s="765">
        <v>42810</v>
      </c>
      <c r="Q68" s="741">
        <v>42795</v>
      </c>
      <c r="R68" s="741">
        <v>42810</v>
      </c>
      <c r="S68" s="762">
        <v>2</v>
      </c>
      <c r="T68" s="740"/>
      <c r="U68" s="740">
        <v>2</v>
      </c>
      <c r="V68" s="763">
        <v>2</v>
      </c>
      <c r="W68" s="764">
        <f t="shared" si="26"/>
        <v>0</v>
      </c>
      <c r="X68" s="764">
        <f t="shared" si="27"/>
        <v>2</v>
      </c>
      <c r="Y68" s="764">
        <f t="shared" si="28"/>
        <v>2</v>
      </c>
      <c r="Z68" s="764">
        <f t="shared" si="29"/>
        <v>0</v>
      </c>
      <c r="AA68" s="761">
        <v>70</v>
      </c>
      <c r="AB68" s="760">
        <f>nlc_rescost($S68:$U68,'Calc-Master'!$AX$13:$BF$13,AB$21,2)</f>
        <v>0</v>
      </c>
      <c r="AC68" s="760">
        <f>nlc_rescost($S68:$U68,'Calc-Master'!$AX$13:$BF$13,AC$21,3)</f>
        <v>70</v>
      </c>
      <c r="AD68" s="761"/>
      <c r="AE68" s="739"/>
      <c r="AF68" s="739"/>
      <c r="AG68" s="759">
        <v>70</v>
      </c>
      <c r="AH68" s="760">
        <f t="shared" si="30"/>
        <v>0</v>
      </c>
      <c r="AI68" s="760">
        <f t="shared" si="31"/>
        <v>70</v>
      </c>
      <c r="AJ68" s="760">
        <f t="shared" si="32"/>
        <v>70</v>
      </c>
      <c r="AK68" s="760">
        <f t="shared" si="33"/>
        <v>0</v>
      </c>
      <c r="AL68" s="737"/>
      <c r="AM68" s="522">
        <v>28</v>
      </c>
      <c r="AN68" s="522">
        <v>33</v>
      </c>
      <c r="AO68" s="522">
        <v>40</v>
      </c>
      <c r="AP68" s="522">
        <v>36</v>
      </c>
      <c r="AQ68" s="360"/>
    </row>
    <row r="69" spans="1:43" ht="12" customHeight="1" x14ac:dyDescent="0.2">
      <c r="A69" s="893"/>
      <c r="B69" s="528"/>
      <c r="C69" s="890">
        <v>30</v>
      </c>
      <c r="D69" s="629">
        <v>69</v>
      </c>
      <c r="E69" s="630" t="s">
        <v>2059</v>
      </c>
      <c r="F69" s="630"/>
      <c r="G69" s="630" t="s">
        <v>728</v>
      </c>
      <c r="H69" s="631" t="s">
        <v>2059</v>
      </c>
      <c r="I69" s="632">
        <v>2</v>
      </c>
      <c r="J69" s="748" t="s">
        <v>2828</v>
      </c>
      <c r="K69" s="746" t="s">
        <v>2919</v>
      </c>
      <c r="L69" s="633">
        <v>0.5</v>
      </c>
      <c r="M69" s="745" t="str">
        <f t="shared" si="25"/>
        <v>grün</v>
      </c>
      <c r="N69" s="749"/>
      <c r="O69" s="634">
        <v>42690</v>
      </c>
      <c r="P69" s="634">
        <v>42810</v>
      </c>
      <c r="Q69" s="750">
        <v>42690</v>
      </c>
      <c r="R69" s="750">
        <v>42810</v>
      </c>
      <c r="S69" s="752">
        <v>27</v>
      </c>
      <c r="T69" s="751">
        <v>13</v>
      </c>
      <c r="U69" s="751">
        <v>27</v>
      </c>
      <c r="V69" s="753">
        <v>27</v>
      </c>
      <c r="W69" s="754">
        <f t="shared" si="26"/>
        <v>13</v>
      </c>
      <c r="X69" s="754">
        <f t="shared" si="27"/>
        <v>14</v>
      </c>
      <c r="Y69" s="754">
        <f t="shared" si="28"/>
        <v>27</v>
      </c>
      <c r="Z69" s="754">
        <f t="shared" si="29"/>
        <v>0</v>
      </c>
      <c r="AA69" s="755">
        <v>945</v>
      </c>
      <c r="AB69" s="756">
        <f>nlc_rescost($S69:$U69,'Calc-Master'!$AX$13:$BF$13,AB$21,2)</f>
        <v>455</v>
      </c>
      <c r="AC69" s="756">
        <f>nlc_rescost($S69:$U69,'Calc-Master'!$AX$13:$BF$13,AC$21,3)</f>
        <v>945</v>
      </c>
      <c r="AD69" s="755">
        <v>0</v>
      </c>
      <c r="AE69" s="757">
        <v>0</v>
      </c>
      <c r="AF69" s="757">
        <v>0</v>
      </c>
      <c r="AG69" s="758">
        <v>945</v>
      </c>
      <c r="AH69" s="756">
        <f t="shared" si="30"/>
        <v>455</v>
      </c>
      <c r="AI69" s="756">
        <f t="shared" si="31"/>
        <v>490</v>
      </c>
      <c r="AJ69" s="756">
        <f t="shared" si="32"/>
        <v>945</v>
      </c>
      <c r="AK69" s="756">
        <f t="shared" si="33"/>
        <v>0</v>
      </c>
      <c r="AL69" s="738"/>
      <c r="AM69" s="523">
        <v>38</v>
      </c>
      <c r="AN69" s="523">
        <v>15</v>
      </c>
      <c r="AO69" s="523">
        <v>22</v>
      </c>
      <c r="AP69" s="523">
        <v>48</v>
      </c>
      <c r="AQ69" s="360"/>
    </row>
    <row r="70" spans="1:43" ht="12" customHeight="1" x14ac:dyDescent="0.2">
      <c r="A70" s="893"/>
      <c r="B70" s="528"/>
      <c r="C70" s="890">
        <v>31</v>
      </c>
      <c r="D70" s="621">
        <v>60</v>
      </c>
      <c r="E70" s="622" t="s">
        <v>2425</v>
      </c>
      <c r="F70" s="623"/>
      <c r="G70" s="623" t="s">
        <v>2616</v>
      </c>
      <c r="H70" s="622" t="s">
        <v>2425</v>
      </c>
      <c r="I70" s="624">
        <v>3</v>
      </c>
      <c r="J70" s="747" t="s">
        <v>2829</v>
      </c>
      <c r="K70" s="953" t="s">
        <v>2920</v>
      </c>
      <c r="L70" s="743">
        <v>0.5</v>
      </c>
      <c r="M70" s="744" t="str">
        <f t="shared" si="25"/>
        <v>grün</v>
      </c>
      <c r="N70" s="943" t="s">
        <v>2820</v>
      </c>
      <c r="O70" s="765">
        <v>42690</v>
      </c>
      <c r="P70" s="765">
        <v>42726</v>
      </c>
      <c r="Q70" s="741">
        <v>42690</v>
      </c>
      <c r="R70" s="741">
        <v>42726</v>
      </c>
      <c r="S70" s="762">
        <v>7</v>
      </c>
      <c r="T70" s="740">
        <v>3</v>
      </c>
      <c r="U70" s="740">
        <v>7</v>
      </c>
      <c r="V70" s="763">
        <v>7</v>
      </c>
      <c r="W70" s="764">
        <f t="shared" si="26"/>
        <v>3</v>
      </c>
      <c r="X70" s="764">
        <f t="shared" si="27"/>
        <v>4</v>
      </c>
      <c r="Y70" s="764">
        <f t="shared" si="28"/>
        <v>7</v>
      </c>
      <c r="Z70" s="764">
        <f t="shared" si="29"/>
        <v>0</v>
      </c>
      <c r="AA70" s="761">
        <v>245</v>
      </c>
      <c r="AB70" s="760">
        <f>nlc_rescost($S70:$U70,'Calc-Master'!$AX$13:$BF$13,AB$21,2)</f>
        <v>105</v>
      </c>
      <c r="AC70" s="760">
        <f>nlc_rescost($S70:$U70,'Calc-Master'!$AX$13:$BF$13,AC$21,3)</f>
        <v>245</v>
      </c>
      <c r="AD70" s="761"/>
      <c r="AE70" s="739"/>
      <c r="AF70" s="739"/>
      <c r="AG70" s="759">
        <v>245</v>
      </c>
      <c r="AH70" s="760">
        <f t="shared" si="30"/>
        <v>105</v>
      </c>
      <c r="AI70" s="760">
        <f t="shared" si="31"/>
        <v>140</v>
      </c>
      <c r="AJ70" s="760">
        <f t="shared" si="32"/>
        <v>245</v>
      </c>
      <c r="AK70" s="760">
        <f t="shared" si="33"/>
        <v>0</v>
      </c>
      <c r="AL70" s="737"/>
      <c r="AM70" s="522">
        <v>40</v>
      </c>
      <c r="AN70" s="522">
        <v>24</v>
      </c>
      <c r="AO70" s="522">
        <v>31</v>
      </c>
      <c r="AP70" s="522">
        <v>48</v>
      </c>
      <c r="AQ70" s="360"/>
    </row>
    <row r="71" spans="1:43" ht="12" customHeight="1" x14ac:dyDescent="0.2">
      <c r="A71" s="893"/>
      <c r="B71" s="528"/>
      <c r="C71" s="890">
        <v>32</v>
      </c>
      <c r="D71" s="621">
        <v>59</v>
      </c>
      <c r="E71" s="622" t="s">
        <v>2425</v>
      </c>
      <c r="F71" s="623"/>
      <c r="G71" s="623" t="s">
        <v>2616</v>
      </c>
      <c r="H71" s="622" t="s">
        <v>2425</v>
      </c>
      <c r="I71" s="624">
        <v>3</v>
      </c>
      <c r="J71" s="747" t="s">
        <v>2830</v>
      </c>
      <c r="K71" s="953" t="s">
        <v>2921</v>
      </c>
      <c r="L71" s="743">
        <v>1</v>
      </c>
      <c r="M71" s="744" t="str">
        <f t="shared" si="25"/>
        <v>grün</v>
      </c>
      <c r="N71" s="943" t="s">
        <v>2820</v>
      </c>
      <c r="O71" s="765">
        <v>42704</v>
      </c>
      <c r="P71" s="765">
        <v>42810</v>
      </c>
      <c r="Q71" s="741">
        <v>42704</v>
      </c>
      <c r="R71" s="741">
        <v>42810</v>
      </c>
      <c r="S71" s="762">
        <v>10</v>
      </c>
      <c r="T71" s="740">
        <v>10</v>
      </c>
      <c r="U71" s="740">
        <v>10</v>
      </c>
      <c r="V71" s="763">
        <v>10</v>
      </c>
      <c r="W71" s="764">
        <f t="shared" si="26"/>
        <v>10</v>
      </c>
      <c r="X71" s="764">
        <f t="shared" si="27"/>
        <v>0</v>
      </c>
      <c r="Y71" s="764">
        <f t="shared" si="28"/>
        <v>10</v>
      </c>
      <c r="Z71" s="764">
        <f t="shared" si="29"/>
        <v>0</v>
      </c>
      <c r="AA71" s="761">
        <v>350</v>
      </c>
      <c r="AB71" s="760">
        <f>nlc_rescost($S71:$U71,'Calc-Master'!$AX$13:$BF$13,AB$21,2)</f>
        <v>350</v>
      </c>
      <c r="AC71" s="760">
        <f>nlc_rescost($S71:$U71,'Calc-Master'!$AX$13:$BF$13,AC$21,3)</f>
        <v>350</v>
      </c>
      <c r="AD71" s="761"/>
      <c r="AE71" s="739"/>
      <c r="AF71" s="739"/>
      <c r="AG71" s="759">
        <v>350</v>
      </c>
      <c r="AH71" s="760">
        <f t="shared" si="30"/>
        <v>350</v>
      </c>
      <c r="AI71" s="760">
        <f t="shared" si="31"/>
        <v>0</v>
      </c>
      <c r="AJ71" s="760">
        <f t="shared" si="32"/>
        <v>350</v>
      </c>
      <c r="AK71" s="760">
        <f t="shared" si="33"/>
        <v>0</v>
      </c>
      <c r="AL71" s="737"/>
      <c r="AM71" s="522">
        <v>40</v>
      </c>
      <c r="AN71" s="522">
        <v>33</v>
      </c>
      <c r="AO71" s="522">
        <v>40</v>
      </c>
      <c r="AP71" s="522">
        <v>48</v>
      </c>
      <c r="AQ71" s="360"/>
    </row>
    <row r="72" spans="1:43" ht="12" customHeight="1" x14ac:dyDescent="0.2">
      <c r="A72" s="893"/>
      <c r="B72" s="528"/>
      <c r="C72" s="890">
        <v>33</v>
      </c>
      <c r="D72" s="621">
        <v>75</v>
      </c>
      <c r="E72" s="622" t="s">
        <v>2425</v>
      </c>
      <c r="F72" s="623"/>
      <c r="G72" s="623" t="s">
        <v>2616</v>
      </c>
      <c r="H72" s="622" t="s">
        <v>2425</v>
      </c>
      <c r="I72" s="624">
        <v>3</v>
      </c>
      <c r="J72" s="747" t="s">
        <v>2854</v>
      </c>
      <c r="K72" s="953" t="s">
        <v>2922</v>
      </c>
      <c r="L72" s="743">
        <v>0</v>
      </c>
      <c r="M72" s="744" t="str">
        <f t="shared" si="25"/>
        <v>grün</v>
      </c>
      <c r="N72" s="943" t="s">
        <v>2820</v>
      </c>
      <c r="O72" s="765">
        <v>42753</v>
      </c>
      <c r="P72" s="765">
        <v>42810</v>
      </c>
      <c r="Q72" s="741">
        <v>42753</v>
      </c>
      <c r="R72" s="741">
        <v>42810</v>
      </c>
      <c r="S72" s="762">
        <v>10</v>
      </c>
      <c r="T72" s="740"/>
      <c r="U72" s="740">
        <v>10</v>
      </c>
      <c r="V72" s="763">
        <v>10</v>
      </c>
      <c r="W72" s="764">
        <f t="shared" si="26"/>
        <v>0</v>
      </c>
      <c r="X72" s="764">
        <f t="shared" si="27"/>
        <v>10</v>
      </c>
      <c r="Y72" s="764">
        <f t="shared" si="28"/>
        <v>10</v>
      </c>
      <c r="Z72" s="764">
        <f t="shared" si="29"/>
        <v>0</v>
      </c>
      <c r="AA72" s="761">
        <v>350</v>
      </c>
      <c r="AB72" s="760">
        <f>nlc_rescost($S72:$U72,'Calc-Master'!$AX$13:$BF$13,AB$21,2)</f>
        <v>0</v>
      </c>
      <c r="AC72" s="760">
        <f>nlc_rescost($S72:$U72,'Calc-Master'!$AX$13:$BF$13,AC$21,3)</f>
        <v>350</v>
      </c>
      <c r="AD72" s="761"/>
      <c r="AE72" s="739"/>
      <c r="AF72" s="739"/>
      <c r="AG72" s="759">
        <v>350</v>
      </c>
      <c r="AH72" s="760">
        <f t="shared" si="30"/>
        <v>0</v>
      </c>
      <c r="AI72" s="760">
        <f t="shared" si="31"/>
        <v>350</v>
      </c>
      <c r="AJ72" s="760">
        <f t="shared" si="32"/>
        <v>350</v>
      </c>
      <c r="AK72" s="760">
        <f t="shared" si="33"/>
        <v>0</v>
      </c>
      <c r="AL72" s="737"/>
      <c r="AM72" s="522">
        <v>40</v>
      </c>
      <c r="AN72" s="522">
        <v>42</v>
      </c>
      <c r="AO72" s="522">
        <v>49</v>
      </c>
      <c r="AP72" s="522">
        <v>48</v>
      </c>
      <c r="AQ72" s="360"/>
    </row>
    <row r="73" spans="1:43" ht="12" customHeight="1" x14ac:dyDescent="0.2">
      <c r="A73" s="893"/>
      <c r="B73" s="528"/>
      <c r="C73" s="890">
        <v>34</v>
      </c>
      <c r="D73" s="629">
        <v>74</v>
      </c>
      <c r="E73" s="630" t="s">
        <v>2059</v>
      </c>
      <c r="F73" s="630"/>
      <c r="G73" s="630" t="s">
        <v>728</v>
      </c>
      <c r="H73" s="631" t="s">
        <v>2059</v>
      </c>
      <c r="I73" s="632">
        <v>2</v>
      </c>
      <c r="J73" s="748" t="s">
        <v>2855</v>
      </c>
      <c r="K73" s="746" t="s">
        <v>2923</v>
      </c>
      <c r="L73" s="633">
        <v>0</v>
      </c>
      <c r="M73" s="745" t="str">
        <f t="shared" si="25"/>
        <v>grün</v>
      </c>
      <c r="N73" s="749"/>
      <c r="O73" s="634">
        <v>42704</v>
      </c>
      <c r="P73" s="634">
        <v>42810</v>
      </c>
      <c r="Q73" s="750">
        <v>42704</v>
      </c>
      <c r="R73" s="750">
        <v>42810</v>
      </c>
      <c r="S73" s="752">
        <v>10</v>
      </c>
      <c r="T73" s="751">
        <v>1</v>
      </c>
      <c r="U73" s="751">
        <v>10</v>
      </c>
      <c r="V73" s="753">
        <v>10</v>
      </c>
      <c r="W73" s="754">
        <f t="shared" si="26"/>
        <v>1</v>
      </c>
      <c r="X73" s="754">
        <f t="shared" si="27"/>
        <v>9</v>
      </c>
      <c r="Y73" s="754">
        <f t="shared" si="28"/>
        <v>10</v>
      </c>
      <c r="Z73" s="754">
        <f t="shared" si="29"/>
        <v>0</v>
      </c>
      <c r="AA73" s="755">
        <v>350</v>
      </c>
      <c r="AB73" s="756">
        <f>nlc_rescost($S73:$U73,'Calc-Master'!$AX$13:$BF$13,AB$21,2)</f>
        <v>35</v>
      </c>
      <c r="AC73" s="756">
        <f>nlc_rescost($S73:$U73,'Calc-Master'!$AX$13:$BF$13,AC$21,3)</f>
        <v>350</v>
      </c>
      <c r="AD73" s="755">
        <v>0</v>
      </c>
      <c r="AE73" s="757">
        <v>0</v>
      </c>
      <c r="AF73" s="757">
        <v>0</v>
      </c>
      <c r="AG73" s="758">
        <v>350</v>
      </c>
      <c r="AH73" s="756">
        <f t="shared" si="30"/>
        <v>35</v>
      </c>
      <c r="AI73" s="756">
        <f t="shared" si="31"/>
        <v>315</v>
      </c>
      <c r="AJ73" s="756">
        <f t="shared" si="32"/>
        <v>350</v>
      </c>
      <c r="AK73" s="756">
        <f t="shared" si="33"/>
        <v>0</v>
      </c>
      <c r="AL73" s="738"/>
      <c r="AM73" s="523">
        <v>50</v>
      </c>
      <c r="AN73" s="523">
        <v>15</v>
      </c>
      <c r="AO73" s="523">
        <v>22</v>
      </c>
      <c r="AP73" s="523">
        <v>60</v>
      </c>
      <c r="AQ73" s="360"/>
    </row>
    <row r="74" spans="1:43" ht="12" customHeight="1" x14ac:dyDescent="0.2">
      <c r="A74" s="893"/>
      <c r="B74" s="528"/>
      <c r="C74" s="890">
        <v>35</v>
      </c>
      <c r="D74" s="621">
        <v>73</v>
      </c>
      <c r="E74" s="622" t="s">
        <v>2425</v>
      </c>
      <c r="F74" s="623"/>
      <c r="G74" s="623" t="s">
        <v>2616</v>
      </c>
      <c r="H74" s="622" t="s">
        <v>2425</v>
      </c>
      <c r="I74" s="624">
        <v>3</v>
      </c>
      <c r="J74" s="747" t="s">
        <v>2856</v>
      </c>
      <c r="K74" s="953" t="s">
        <v>2924</v>
      </c>
      <c r="L74" s="743">
        <v>0</v>
      </c>
      <c r="M74" s="744" t="str">
        <f t="shared" si="25"/>
        <v>grün</v>
      </c>
      <c r="N74" s="943" t="s">
        <v>2819</v>
      </c>
      <c r="O74" s="765">
        <v>42704</v>
      </c>
      <c r="P74" s="765">
        <v>42810</v>
      </c>
      <c r="Q74" s="741">
        <v>42704</v>
      </c>
      <c r="R74" s="741">
        <v>42810</v>
      </c>
      <c r="S74" s="762">
        <v>10</v>
      </c>
      <c r="T74" s="740">
        <v>1</v>
      </c>
      <c r="U74" s="740">
        <v>10</v>
      </c>
      <c r="V74" s="763">
        <v>10</v>
      </c>
      <c r="W74" s="764">
        <f t="shared" si="26"/>
        <v>1</v>
      </c>
      <c r="X74" s="764">
        <f t="shared" si="27"/>
        <v>9</v>
      </c>
      <c r="Y74" s="764">
        <f t="shared" si="28"/>
        <v>10</v>
      </c>
      <c r="Z74" s="764">
        <f t="shared" si="29"/>
        <v>0</v>
      </c>
      <c r="AA74" s="761">
        <v>350</v>
      </c>
      <c r="AB74" s="760">
        <f>nlc_rescost($S74:$U74,'Calc-Master'!$AX$13:$BF$13,AB$21,2)</f>
        <v>35</v>
      </c>
      <c r="AC74" s="760">
        <f>nlc_rescost($S74:$U74,'Calc-Master'!$AX$13:$BF$13,AC$21,3)</f>
        <v>350</v>
      </c>
      <c r="AD74" s="761"/>
      <c r="AE74" s="739"/>
      <c r="AF74" s="739"/>
      <c r="AG74" s="759">
        <v>350</v>
      </c>
      <c r="AH74" s="760">
        <f t="shared" si="30"/>
        <v>35</v>
      </c>
      <c r="AI74" s="760">
        <f t="shared" si="31"/>
        <v>315</v>
      </c>
      <c r="AJ74" s="760">
        <f t="shared" si="32"/>
        <v>350</v>
      </c>
      <c r="AK74" s="760">
        <f t="shared" si="33"/>
        <v>0</v>
      </c>
      <c r="AL74" s="737"/>
      <c r="AM74" s="522">
        <v>52</v>
      </c>
      <c r="AN74" s="522">
        <v>24</v>
      </c>
      <c r="AO74" s="522">
        <v>31</v>
      </c>
      <c r="AP74" s="522">
        <v>60</v>
      </c>
      <c r="AQ74" s="360"/>
    </row>
    <row r="75" spans="1:43" ht="12" customHeight="1" x14ac:dyDescent="0.2">
      <c r="A75" s="893"/>
      <c r="B75" s="528"/>
      <c r="C75" s="890">
        <v>36</v>
      </c>
      <c r="D75" s="629">
        <v>78</v>
      </c>
      <c r="E75" s="630" t="s">
        <v>2059</v>
      </c>
      <c r="F75" s="630"/>
      <c r="G75" s="630" t="s">
        <v>728</v>
      </c>
      <c r="H75" s="631" t="s">
        <v>2059</v>
      </c>
      <c r="I75" s="632">
        <v>2</v>
      </c>
      <c r="J75" s="748" t="s">
        <v>2926</v>
      </c>
      <c r="K75" s="746" t="s">
        <v>2925</v>
      </c>
      <c r="L75" s="633">
        <v>0</v>
      </c>
      <c r="M75" s="745" t="str">
        <f t="shared" si="25"/>
        <v>grün</v>
      </c>
      <c r="N75" s="749"/>
      <c r="O75" s="634">
        <v>42810</v>
      </c>
      <c r="P75" s="634">
        <v>42824</v>
      </c>
      <c r="Q75" s="750">
        <v>42810</v>
      </c>
      <c r="R75" s="750">
        <v>42824</v>
      </c>
      <c r="S75" s="752">
        <v>6</v>
      </c>
      <c r="T75" s="751">
        <v>0</v>
      </c>
      <c r="U75" s="751">
        <v>6</v>
      </c>
      <c r="V75" s="753">
        <v>6</v>
      </c>
      <c r="W75" s="754">
        <f t="shared" si="26"/>
        <v>0</v>
      </c>
      <c r="X75" s="754">
        <f t="shared" si="27"/>
        <v>6</v>
      </c>
      <c r="Y75" s="754">
        <f t="shared" si="28"/>
        <v>6</v>
      </c>
      <c r="Z75" s="754">
        <f t="shared" si="29"/>
        <v>0</v>
      </c>
      <c r="AA75" s="755">
        <v>210</v>
      </c>
      <c r="AB75" s="756">
        <f>nlc_rescost($S75:$U75,'Calc-Master'!$AX$13:$BF$13,AB$21,2)</f>
        <v>0</v>
      </c>
      <c r="AC75" s="756">
        <f>nlc_rescost($S75:$U75,'Calc-Master'!$AX$13:$BF$13,AC$21,3)</f>
        <v>210</v>
      </c>
      <c r="AD75" s="755">
        <v>0</v>
      </c>
      <c r="AE75" s="757">
        <v>0</v>
      </c>
      <c r="AF75" s="757">
        <v>0</v>
      </c>
      <c r="AG75" s="758">
        <v>210</v>
      </c>
      <c r="AH75" s="756">
        <f t="shared" si="30"/>
        <v>0</v>
      </c>
      <c r="AI75" s="756">
        <f t="shared" si="31"/>
        <v>210</v>
      </c>
      <c r="AJ75" s="756">
        <f t="shared" si="32"/>
        <v>210</v>
      </c>
      <c r="AK75" s="756">
        <f t="shared" si="33"/>
        <v>0</v>
      </c>
      <c r="AL75" s="738"/>
      <c r="AM75" s="523">
        <v>62</v>
      </c>
      <c r="AN75" s="523">
        <v>15</v>
      </c>
      <c r="AO75" s="523">
        <v>22</v>
      </c>
      <c r="AP75" s="523">
        <v>72</v>
      </c>
      <c r="AQ75" s="360"/>
    </row>
    <row r="76" spans="1:43" ht="12" customHeight="1" x14ac:dyDescent="0.2">
      <c r="A76" s="893"/>
      <c r="B76" s="528"/>
      <c r="C76" s="890">
        <v>37</v>
      </c>
      <c r="D76" s="621">
        <v>77</v>
      </c>
      <c r="E76" s="622" t="s">
        <v>2425</v>
      </c>
      <c r="F76" s="623"/>
      <c r="G76" s="623" t="s">
        <v>2616</v>
      </c>
      <c r="H76" s="622" t="s">
        <v>2425</v>
      </c>
      <c r="I76" s="624">
        <v>3</v>
      </c>
      <c r="J76" s="747" t="s">
        <v>2927</v>
      </c>
      <c r="K76" s="953" t="s">
        <v>2928</v>
      </c>
      <c r="L76" s="743">
        <v>0</v>
      </c>
      <c r="M76" s="744" t="str">
        <f t="shared" si="25"/>
        <v>grün</v>
      </c>
      <c r="N76" s="943" t="s">
        <v>2818</v>
      </c>
      <c r="O76" s="765">
        <v>42810</v>
      </c>
      <c r="P76" s="765">
        <v>42824</v>
      </c>
      <c r="Q76" s="741">
        <v>42810</v>
      </c>
      <c r="R76" s="741">
        <v>42824</v>
      </c>
      <c r="S76" s="762">
        <v>6</v>
      </c>
      <c r="T76" s="740">
        <v>0</v>
      </c>
      <c r="U76" s="740">
        <v>6</v>
      </c>
      <c r="V76" s="763">
        <v>6</v>
      </c>
      <c r="W76" s="764">
        <f t="shared" si="26"/>
        <v>0</v>
      </c>
      <c r="X76" s="764">
        <f t="shared" si="27"/>
        <v>6</v>
      </c>
      <c r="Y76" s="764">
        <f t="shared" si="28"/>
        <v>6</v>
      </c>
      <c r="Z76" s="764">
        <f t="shared" si="29"/>
        <v>0</v>
      </c>
      <c r="AA76" s="761">
        <v>210</v>
      </c>
      <c r="AB76" s="760">
        <f>nlc_rescost($S76:$U76,'Calc-Master'!$AX$13:$BF$13,AB$21,2)</f>
        <v>0</v>
      </c>
      <c r="AC76" s="760">
        <f>nlc_rescost($S76:$U76,'Calc-Master'!$AX$13:$BF$13,AC$21,3)</f>
        <v>210</v>
      </c>
      <c r="AD76" s="761"/>
      <c r="AE76" s="739"/>
      <c r="AF76" s="739"/>
      <c r="AG76" s="759">
        <v>210</v>
      </c>
      <c r="AH76" s="760">
        <f t="shared" si="30"/>
        <v>0</v>
      </c>
      <c r="AI76" s="760">
        <f t="shared" si="31"/>
        <v>210</v>
      </c>
      <c r="AJ76" s="760">
        <f t="shared" si="32"/>
        <v>210</v>
      </c>
      <c r="AK76" s="760">
        <f t="shared" si="33"/>
        <v>0</v>
      </c>
      <c r="AL76" s="737"/>
      <c r="AM76" s="522">
        <v>64</v>
      </c>
      <c r="AN76" s="522">
        <v>24</v>
      </c>
      <c r="AO76" s="522">
        <v>31</v>
      </c>
      <c r="AP76" s="522">
        <v>72</v>
      </c>
      <c r="AQ76" s="360"/>
    </row>
    <row r="77" spans="1:43" ht="12" customHeight="1" x14ac:dyDescent="0.2">
      <c r="A77" s="893"/>
      <c r="B77" s="528"/>
      <c r="C77" s="890">
        <v>38</v>
      </c>
      <c r="D77" s="629">
        <v>80</v>
      </c>
      <c r="E77" s="630" t="s">
        <v>2059</v>
      </c>
      <c r="F77" s="630"/>
      <c r="G77" s="630" t="s">
        <v>728</v>
      </c>
      <c r="H77" s="631" t="s">
        <v>2059</v>
      </c>
      <c r="I77" s="632">
        <v>2</v>
      </c>
      <c r="J77" s="748" t="s">
        <v>2929</v>
      </c>
      <c r="K77" s="970" t="s">
        <v>2934</v>
      </c>
      <c r="L77" s="633">
        <v>1</v>
      </c>
      <c r="M77" s="745" t="s">
        <v>854</v>
      </c>
      <c r="N77" s="749"/>
      <c r="O77" s="634">
        <v>42635</v>
      </c>
      <c r="P77" s="634">
        <v>42684</v>
      </c>
      <c r="Q77" s="750">
        <v>42635</v>
      </c>
      <c r="R77" s="750">
        <v>42684</v>
      </c>
      <c r="S77" s="752">
        <v>30</v>
      </c>
      <c r="T77" s="751">
        <v>30</v>
      </c>
      <c r="U77" s="751">
        <v>30</v>
      </c>
      <c r="V77" s="753">
        <v>30</v>
      </c>
      <c r="W77" s="754">
        <f t="shared" si="26"/>
        <v>30</v>
      </c>
      <c r="X77" s="754">
        <f t="shared" si="27"/>
        <v>0</v>
      </c>
      <c r="Y77" s="754">
        <f t="shared" si="28"/>
        <v>30</v>
      </c>
      <c r="Z77" s="754">
        <f t="shared" si="29"/>
        <v>0</v>
      </c>
      <c r="AA77" s="755">
        <v>1050</v>
      </c>
      <c r="AB77" s="756">
        <f>nlc_rescost($S77:$U77,'Calc-Master'!$AX$13:$BF$13,AB$21,2)</f>
        <v>1050</v>
      </c>
      <c r="AC77" s="756">
        <f>nlc_rescost($S77:$U77,'Calc-Master'!$AX$13:$BF$13,AC$21,3)</f>
        <v>1050</v>
      </c>
      <c r="AD77" s="755">
        <v>0</v>
      </c>
      <c r="AE77" s="757">
        <v>0</v>
      </c>
      <c r="AF77" s="757">
        <v>0</v>
      </c>
      <c r="AG77" s="758">
        <v>1050</v>
      </c>
      <c r="AH77" s="756">
        <f t="shared" si="30"/>
        <v>1050</v>
      </c>
      <c r="AI77" s="756">
        <f t="shared" si="31"/>
        <v>0</v>
      </c>
      <c r="AJ77" s="756">
        <f t="shared" si="32"/>
        <v>1050</v>
      </c>
      <c r="AK77" s="756">
        <f t="shared" si="33"/>
        <v>0</v>
      </c>
      <c r="AL77" s="738"/>
      <c r="AM77" s="523">
        <v>74</v>
      </c>
      <c r="AN77" s="523">
        <v>15</v>
      </c>
      <c r="AO77" s="523">
        <v>22</v>
      </c>
      <c r="AP77" s="523">
        <v>84</v>
      </c>
      <c r="AQ77" s="360"/>
    </row>
    <row r="78" spans="1:43" ht="12" customHeight="1" x14ac:dyDescent="0.2">
      <c r="A78" s="893"/>
      <c r="B78" s="528"/>
      <c r="C78" s="890">
        <v>39</v>
      </c>
      <c r="D78" s="621">
        <v>82</v>
      </c>
      <c r="E78" s="622" t="s">
        <v>2425</v>
      </c>
      <c r="F78" s="623"/>
      <c r="G78" s="623" t="s">
        <v>2616</v>
      </c>
      <c r="H78" s="622" t="s">
        <v>2425</v>
      </c>
      <c r="I78" s="624">
        <v>3</v>
      </c>
      <c r="J78" s="747" t="s">
        <v>2930</v>
      </c>
      <c r="K78" s="953" t="s">
        <v>2953</v>
      </c>
      <c r="L78" s="743">
        <v>1</v>
      </c>
      <c r="M78" s="744" t="str">
        <f>green</f>
        <v>grün</v>
      </c>
      <c r="N78" s="943" t="s">
        <v>2818</v>
      </c>
      <c r="O78" s="765">
        <v>42635</v>
      </c>
      <c r="P78" s="765">
        <v>42684</v>
      </c>
      <c r="Q78" s="741">
        <v>42635</v>
      </c>
      <c r="R78" s="741">
        <v>42684</v>
      </c>
      <c r="S78" s="762">
        <v>10</v>
      </c>
      <c r="T78" s="740">
        <v>10</v>
      </c>
      <c r="U78" s="740">
        <v>10</v>
      </c>
      <c r="V78" s="763">
        <v>10</v>
      </c>
      <c r="W78" s="764">
        <f>T78</f>
        <v>10</v>
      </c>
      <c r="X78" s="764">
        <f>Y78-W78</f>
        <v>0</v>
      </c>
      <c r="Y78" s="764">
        <f>U78</f>
        <v>10</v>
      </c>
      <c r="Z78" s="764">
        <f>Y78-V78</f>
        <v>0</v>
      </c>
      <c r="AA78" s="761">
        <v>350</v>
      </c>
      <c r="AB78" s="760">
        <f>nlc_rescost($S78:$U78,'Calc-Master'!$AX$13:$BF$13,AB$21,2)</f>
        <v>350</v>
      </c>
      <c r="AC78" s="760">
        <f>nlc_rescost($S78:$U78,'Calc-Master'!$AX$13:$BF$13,AC$21,3)</f>
        <v>350</v>
      </c>
      <c r="AD78" s="761"/>
      <c r="AE78" s="739"/>
      <c r="AF78" s="739"/>
      <c r="AG78" s="759">
        <v>350</v>
      </c>
      <c r="AH78" s="760">
        <f>AB78+AE78</f>
        <v>350</v>
      </c>
      <c r="AI78" s="760">
        <f>AJ78-AH78</f>
        <v>0</v>
      </c>
      <c r="AJ78" s="760">
        <f>AC78+AF78</f>
        <v>350</v>
      </c>
      <c r="AK78" s="760">
        <f>AJ78-AG78</f>
        <v>0</v>
      </c>
      <c r="AL78" s="737"/>
      <c r="AM78" s="522"/>
      <c r="AN78" s="522"/>
      <c r="AO78" s="522"/>
      <c r="AP78" s="522"/>
      <c r="AQ78" s="360"/>
    </row>
    <row r="79" spans="1:43" ht="12" customHeight="1" x14ac:dyDescent="0.2">
      <c r="A79" s="893"/>
      <c r="B79" s="528"/>
      <c r="C79" s="890">
        <v>40</v>
      </c>
      <c r="D79" s="621">
        <v>81</v>
      </c>
      <c r="E79" s="622" t="s">
        <v>2425</v>
      </c>
      <c r="F79" s="623"/>
      <c r="G79" s="623" t="s">
        <v>2616</v>
      </c>
      <c r="H79" s="622" t="s">
        <v>2425</v>
      </c>
      <c r="I79" s="624">
        <v>3</v>
      </c>
      <c r="J79" s="747" t="s">
        <v>2931</v>
      </c>
      <c r="K79" s="953" t="s">
        <v>2932</v>
      </c>
      <c r="L79" s="743">
        <v>1</v>
      </c>
      <c r="M79" s="744" t="str">
        <f>green</f>
        <v>grün</v>
      </c>
      <c r="N79" s="943" t="s">
        <v>2819</v>
      </c>
      <c r="O79" s="765">
        <v>42635</v>
      </c>
      <c r="P79" s="765">
        <v>42684</v>
      </c>
      <c r="Q79" s="741">
        <v>42635</v>
      </c>
      <c r="R79" s="741">
        <v>42684</v>
      </c>
      <c r="S79" s="762">
        <v>10</v>
      </c>
      <c r="T79" s="740">
        <v>10</v>
      </c>
      <c r="U79" s="740">
        <v>10</v>
      </c>
      <c r="V79" s="763">
        <v>10</v>
      </c>
      <c r="W79" s="764">
        <f t="shared" si="26"/>
        <v>10</v>
      </c>
      <c r="X79" s="764">
        <f t="shared" si="27"/>
        <v>0</v>
      </c>
      <c r="Y79" s="764">
        <f t="shared" si="28"/>
        <v>10</v>
      </c>
      <c r="Z79" s="764">
        <f t="shared" si="29"/>
        <v>0</v>
      </c>
      <c r="AA79" s="761">
        <v>350</v>
      </c>
      <c r="AB79" s="760">
        <f>nlc_rescost($S79:$U79,'Calc-Master'!$AX$13:$BF$13,AB$21,2)</f>
        <v>350</v>
      </c>
      <c r="AC79" s="760">
        <f>nlc_rescost($S79:$U79,'Calc-Master'!$AX$13:$BF$13,AC$21,3)</f>
        <v>350</v>
      </c>
      <c r="AD79" s="761"/>
      <c r="AE79" s="739"/>
      <c r="AF79" s="739"/>
      <c r="AG79" s="759">
        <v>350</v>
      </c>
      <c r="AH79" s="760">
        <f t="shared" si="30"/>
        <v>350</v>
      </c>
      <c r="AI79" s="760">
        <f t="shared" si="31"/>
        <v>0</v>
      </c>
      <c r="AJ79" s="760">
        <f t="shared" si="32"/>
        <v>350</v>
      </c>
      <c r="AK79" s="760">
        <f t="shared" si="33"/>
        <v>0</v>
      </c>
      <c r="AL79" s="737"/>
      <c r="AM79" s="522">
        <v>76</v>
      </c>
      <c r="AN79" s="522">
        <v>24</v>
      </c>
      <c r="AO79" s="522">
        <v>31</v>
      </c>
      <c r="AP79" s="522">
        <v>84</v>
      </c>
      <c r="AQ79" s="360"/>
    </row>
    <row r="80" spans="1:43" ht="12" customHeight="1" x14ac:dyDescent="0.2">
      <c r="A80" s="893"/>
      <c r="B80" s="528"/>
      <c r="C80" s="890">
        <v>41</v>
      </c>
      <c r="D80" s="621">
        <v>79</v>
      </c>
      <c r="E80" s="622" t="s">
        <v>2425</v>
      </c>
      <c r="F80" s="623"/>
      <c r="G80" s="623" t="s">
        <v>2616</v>
      </c>
      <c r="H80" s="622" t="s">
        <v>2425</v>
      </c>
      <c r="I80" s="624">
        <v>3</v>
      </c>
      <c r="J80" s="747" t="s">
        <v>2952</v>
      </c>
      <c r="K80" s="953" t="s">
        <v>2933</v>
      </c>
      <c r="L80" s="743">
        <v>1</v>
      </c>
      <c r="M80" s="744" t="s">
        <v>854</v>
      </c>
      <c r="N80" s="943" t="s">
        <v>2820</v>
      </c>
      <c r="O80" s="765">
        <v>42635</v>
      </c>
      <c r="P80" s="765">
        <v>42684</v>
      </c>
      <c r="Q80" s="741">
        <v>42635</v>
      </c>
      <c r="R80" s="741">
        <v>42684</v>
      </c>
      <c r="S80" s="762">
        <v>10</v>
      </c>
      <c r="T80" s="740">
        <v>10</v>
      </c>
      <c r="U80" s="740">
        <v>10</v>
      </c>
      <c r="V80" s="763">
        <v>10</v>
      </c>
      <c r="W80" s="764">
        <f t="shared" si="26"/>
        <v>10</v>
      </c>
      <c r="X80" s="764">
        <f t="shared" si="27"/>
        <v>0</v>
      </c>
      <c r="Y80" s="764">
        <f t="shared" si="28"/>
        <v>10</v>
      </c>
      <c r="Z80" s="764">
        <f t="shared" si="29"/>
        <v>0</v>
      </c>
      <c r="AA80" s="761">
        <v>350</v>
      </c>
      <c r="AB80" s="760">
        <f>nlc_rescost($S80:$U80,'Calc-Master'!$AX$13:$BF$13,AB$21,2)</f>
        <v>350</v>
      </c>
      <c r="AC80" s="760">
        <f>nlc_rescost($S80:$U80,'Calc-Master'!$AX$13:$BF$13,AC$21,3)</f>
        <v>350</v>
      </c>
      <c r="AD80" s="761"/>
      <c r="AE80" s="739"/>
      <c r="AF80" s="739"/>
      <c r="AG80" s="759">
        <v>350</v>
      </c>
      <c r="AH80" s="760">
        <f t="shared" si="30"/>
        <v>350</v>
      </c>
      <c r="AI80" s="760">
        <f t="shared" si="31"/>
        <v>0</v>
      </c>
      <c r="AJ80" s="760">
        <f t="shared" si="32"/>
        <v>350</v>
      </c>
      <c r="AK80" s="760">
        <f t="shared" si="33"/>
        <v>0</v>
      </c>
      <c r="AL80" s="737"/>
      <c r="AM80" s="522">
        <v>76</v>
      </c>
      <c r="AN80" s="522">
        <v>33</v>
      </c>
      <c r="AO80" s="522">
        <v>40</v>
      </c>
      <c r="AP80" s="522">
        <v>84</v>
      </c>
      <c r="AQ80" s="360"/>
    </row>
    <row r="81" spans="1:43" x14ac:dyDescent="0.2">
      <c r="A81" s="892"/>
      <c r="B81" s="49"/>
      <c r="C81" s="860" t="s">
        <v>2577</v>
      </c>
      <c r="D81" s="855"/>
      <c r="E81" s="855"/>
      <c r="F81" s="855"/>
      <c r="G81" s="855"/>
      <c r="H81" s="856"/>
      <c r="I81" s="855"/>
      <c r="J81" s="857"/>
      <c r="K81" s="856"/>
      <c r="L81" s="856"/>
      <c r="M81" s="856"/>
      <c r="N81" s="856"/>
      <c r="O81" s="856"/>
      <c r="P81" s="856"/>
      <c r="Q81" s="856"/>
      <c r="R81" s="856"/>
      <c r="S81" s="856"/>
      <c r="T81" s="856"/>
      <c r="U81" s="856"/>
      <c r="V81" s="856"/>
      <c r="W81" s="856"/>
      <c r="X81" s="856"/>
      <c r="Y81" s="856"/>
      <c r="Z81" s="856"/>
      <c r="AA81" s="856"/>
      <c r="AB81" s="856"/>
      <c r="AC81" s="856"/>
      <c r="AD81" s="856"/>
      <c r="AE81" s="856"/>
      <c r="AF81" s="856"/>
      <c r="AG81" s="856"/>
      <c r="AH81" s="856"/>
      <c r="AI81" s="856"/>
      <c r="AJ81" s="856"/>
      <c r="AK81" s="856"/>
      <c r="AL81" s="858"/>
      <c r="AM81" s="859"/>
      <c r="AN81" s="859"/>
      <c r="AO81" s="859"/>
      <c r="AP81" s="859"/>
      <c r="AQ81" s="661"/>
    </row>
    <row r="82" spans="1:43" ht="7.5" customHeight="1" x14ac:dyDescent="0.2">
      <c r="A82" s="915"/>
      <c r="B82" s="483"/>
      <c r="C82" s="483"/>
      <c r="D82" s="483"/>
      <c r="E82" s="483"/>
      <c r="F82" s="483"/>
      <c r="G82" s="483"/>
      <c r="H82" s="483"/>
      <c r="I82" s="483"/>
      <c r="J82" s="483"/>
      <c r="K82" s="483"/>
      <c r="L82" s="483"/>
      <c r="M82" s="483"/>
      <c r="N82" s="483"/>
      <c r="O82" s="483"/>
      <c r="P82" s="483"/>
      <c r="Q82" s="483"/>
      <c r="R82" s="483"/>
      <c r="S82" s="483"/>
      <c r="T82" s="483"/>
      <c r="U82" s="483"/>
      <c r="V82" s="483"/>
      <c r="W82" s="483"/>
      <c r="X82" s="483"/>
      <c r="Y82" s="483"/>
      <c r="Z82" s="483"/>
      <c r="AA82" s="483"/>
      <c r="AB82" s="483"/>
      <c r="AC82" s="483"/>
      <c r="AD82" s="483"/>
      <c r="AE82" s="483"/>
      <c r="AF82" s="483"/>
      <c r="AG82" s="483"/>
      <c r="AH82" s="483"/>
      <c r="AI82" s="483"/>
      <c r="AJ82" s="483"/>
      <c r="AK82" s="483"/>
      <c r="AL82" s="483"/>
      <c r="AM82" s="483"/>
      <c r="AN82" s="483"/>
      <c r="AO82" s="483"/>
      <c r="AP82" s="483"/>
      <c r="AQ82" s="83"/>
    </row>
    <row r="83" spans="1:43" x14ac:dyDescent="0.2">
      <c r="A83" s="306"/>
      <c r="B83" s="306"/>
      <c r="C83" s="306"/>
      <c r="D83" s="306"/>
      <c r="E83" s="306"/>
      <c r="F83" s="306"/>
      <c r="G83" s="306"/>
      <c r="H83" s="306"/>
      <c r="I83" s="306"/>
      <c r="J83" s="306"/>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6"/>
      <c r="AI83" s="306"/>
      <c r="AJ83" s="306"/>
      <c r="AK83" s="306"/>
      <c r="AL83" s="306"/>
      <c r="AM83" s="306"/>
      <c r="AN83" s="306"/>
      <c r="AO83" s="306"/>
      <c r="AP83" s="306"/>
    </row>
  </sheetData>
  <sheetProtection algorithmName="SHA-512" hashValue="bgZlQyd/34K08HnU2PbQThQ0Vo3Om1wfMbeHy1il9lekmoq6YwNncKUG9lFJWfSjw8uFNAOJAyfqUUkOULucDw==" saltValue="jAitIqn7z+yiye7/yilCHw==" spinCount="100000" sheet="1" objects="1" scenarios="1"/>
  <dataConsolidate link="1"/>
  <mergeCells count="28">
    <mergeCell ref="AL37:AL39"/>
    <mergeCell ref="AM37:AP37"/>
    <mergeCell ref="AM38:AM39"/>
    <mergeCell ref="AN38:AN39"/>
    <mergeCell ref="AO38:AO39"/>
    <mergeCell ref="AP38:AP39"/>
    <mergeCell ref="AD38:AF38"/>
    <mergeCell ref="AA38:AC38"/>
    <mergeCell ref="O38:P38"/>
    <mergeCell ref="AA37:AK37"/>
    <mergeCell ref="N37:N39"/>
    <mergeCell ref="Q38:R38"/>
    <mergeCell ref="O37:R37"/>
    <mergeCell ref="V38:Z38"/>
    <mergeCell ref="AG38:AK38"/>
    <mergeCell ref="C37:C39"/>
    <mergeCell ref="S38:U38"/>
    <mergeCell ref="J37:J39"/>
    <mergeCell ref="I37:I39"/>
    <mergeCell ref="G37:G39"/>
    <mergeCell ref="F37:F39"/>
    <mergeCell ref="S37:Z37"/>
    <mergeCell ref="D37:D39"/>
    <mergeCell ref="M37:M39"/>
    <mergeCell ref="L37:L39"/>
    <mergeCell ref="K37:K39"/>
    <mergeCell ref="H37:H39"/>
    <mergeCell ref="E37:E39"/>
  </mergeCells>
  <phoneticPr fontId="25" type="noConversion"/>
  <conditionalFormatting sqref="Q9:Q11 Q41:Q47 Q54">
    <cfRule type="cellIs" dxfId="272" priority="478" stopIfTrue="1" operator="greaterThan">
      <formula>$R9</formula>
    </cfRule>
  </conditionalFormatting>
  <conditionalFormatting sqref="M9:M11 M40:M47 M54">
    <cfRule type="cellIs" dxfId="271" priority="480" stopIfTrue="1" operator="equal">
      <formula>green</formula>
    </cfRule>
    <cfRule type="cellIs" dxfId="270" priority="481" stopIfTrue="1" operator="equal">
      <formula>yellow</formula>
    </cfRule>
    <cfRule type="cellIs" dxfId="269" priority="482" stopIfTrue="1" operator="equal">
      <formula>red</formula>
    </cfRule>
  </conditionalFormatting>
  <conditionalFormatting sqref="Q55">
    <cfRule type="cellIs" dxfId="268" priority="408" stopIfTrue="1" operator="greaterThan">
      <formula>$R55</formula>
    </cfRule>
  </conditionalFormatting>
  <conditionalFormatting sqref="M55">
    <cfRule type="cellIs" dxfId="267" priority="410" stopIfTrue="1" operator="equal">
      <formula>green</formula>
    </cfRule>
    <cfRule type="cellIs" dxfId="266" priority="411" stopIfTrue="1" operator="equal">
      <formula>yellow</formula>
    </cfRule>
    <cfRule type="cellIs" dxfId="265" priority="412" stopIfTrue="1" operator="equal">
      <formula>red</formula>
    </cfRule>
  </conditionalFormatting>
  <conditionalFormatting sqref="Q58">
    <cfRule type="cellIs" dxfId="264" priority="378" stopIfTrue="1" operator="greaterThan">
      <formula>$R58</formula>
    </cfRule>
  </conditionalFormatting>
  <conditionalFormatting sqref="M58">
    <cfRule type="cellIs" dxfId="263" priority="380" stopIfTrue="1" operator="equal">
      <formula>green</formula>
    </cfRule>
    <cfRule type="cellIs" dxfId="262" priority="381" stopIfTrue="1" operator="equal">
      <formula>yellow</formula>
    </cfRule>
    <cfRule type="cellIs" dxfId="261" priority="382" stopIfTrue="1" operator="equal">
      <formula>red</formula>
    </cfRule>
  </conditionalFormatting>
  <conditionalFormatting sqref="Q51">
    <cfRule type="cellIs" dxfId="260" priority="373" stopIfTrue="1" operator="greaterThan">
      <formula>$R51</formula>
    </cfRule>
  </conditionalFormatting>
  <conditionalFormatting sqref="M51">
    <cfRule type="cellIs" dxfId="259" priority="375" stopIfTrue="1" operator="equal">
      <formula>green</formula>
    </cfRule>
    <cfRule type="cellIs" dxfId="258" priority="376" stopIfTrue="1" operator="equal">
      <formula>yellow</formula>
    </cfRule>
    <cfRule type="cellIs" dxfId="257" priority="377" stopIfTrue="1" operator="equal">
      <formula>red</formula>
    </cfRule>
  </conditionalFormatting>
  <conditionalFormatting sqref="Q52">
    <cfRule type="cellIs" dxfId="256" priority="368" stopIfTrue="1" operator="greaterThan">
      <formula>$R52</formula>
    </cfRule>
  </conditionalFormatting>
  <conditionalFormatting sqref="M52">
    <cfRule type="cellIs" dxfId="255" priority="370" stopIfTrue="1" operator="equal">
      <formula>green</formula>
    </cfRule>
    <cfRule type="cellIs" dxfId="254" priority="371" stopIfTrue="1" operator="equal">
      <formula>yellow</formula>
    </cfRule>
    <cfRule type="cellIs" dxfId="253" priority="372" stopIfTrue="1" operator="equal">
      <formula>red</formula>
    </cfRule>
  </conditionalFormatting>
  <conditionalFormatting sqref="Q56">
    <cfRule type="cellIs" dxfId="252" priority="348" stopIfTrue="1" operator="greaterThan">
      <formula>$R56</formula>
    </cfRule>
  </conditionalFormatting>
  <conditionalFormatting sqref="M56">
    <cfRule type="cellIs" dxfId="251" priority="350" stopIfTrue="1" operator="equal">
      <formula>green</formula>
    </cfRule>
    <cfRule type="cellIs" dxfId="250" priority="351" stopIfTrue="1" operator="equal">
      <formula>yellow</formula>
    </cfRule>
    <cfRule type="cellIs" dxfId="249" priority="352" stopIfTrue="1" operator="equal">
      <formula>red</formula>
    </cfRule>
  </conditionalFormatting>
  <conditionalFormatting sqref="Q57">
    <cfRule type="cellIs" dxfId="248" priority="343" stopIfTrue="1" operator="greaterThan">
      <formula>$R57</formula>
    </cfRule>
  </conditionalFormatting>
  <conditionalFormatting sqref="M57">
    <cfRule type="cellIs" dxfId="247" priority="345" stopIfTrue="1" operator="equal">
      <formula>green</formula>
    </cfRule>
    <cfRule type="cellIs" dxfId="246" priority="346" stopIfTrue="1" operator="equal">
      <formula>yellow</formula>
    </cfRule>
    <cfRule type="cellIs" dxfId="245" priority="347" stopIfTrue="1" operator="equal">
      <formula>red</formula>
    </cfRule>
  </conditionalFormatting>
  <conditionalFormatting sqref="Q48">
    <cfRule type="cellIs" dxfId="244" priority="323" stopIfTrue="1" operator="greaterThan">
      <formula>$R48</formula>
    </cfRule>
  </conditionalFormatting>
  <conditionalFormatting sqref="M48">
    <cfRule type="cellIs" dxfId="243" priority="325" stopIfTrue="1" operator="equal">
      <formula>green</formula>
    </cfRule>
    <cfRule type="cellIs" dxfId="242" priority="326" stopIfTrue="1" operator="equal">
      <formula>yellow</formula>
    </cfRule>
    <cfRule type="cellIs" dxfId="241" priority="327" stopIfTrue="1" operator="equal">
      <formula>red</formula>
    </cfRule>
  </conditionalFormatting>
  <conditionalFormatting sqref="Q49">
    <cfRule type="cellIs" dxfId="240" priority="318" stopIfTrue="1" operator="greaterThan">
      <formula>$R49</formula>
    </cfRule>
  </conditionalFormatting>
  <conditionalFormatting sqref="M49">
    <cfRule type="cellIs" dxfId="239" priority="320" stopIfTrue="1" operator="equal">
      <formula>green</formula>
    </cfRule>
    <cfRule type="cellIs" dxfId="238" priority="321" stopIfTrue="1" operator="equal">
      <formula>yellow</formula>
    </cfRule>
    <cfRule type="cellIs" dxfId="237" priority="322" stopIfTrue="1" operator="equal">
      <formula>red</formula>
    </cfRule>
  </conditionalFormatting>
  <conditionalFormatting sqref="Q50">
    <cfRule type="cellIs" dxfId="236" priority="149" stopIfTrue="1" operator="greaterThan">
      <formula>$R50</formula>
    </cfRule>
  </conditionalFormatting>
  <conditionalFormatting sqref="M50">
    <cfRule type="cellIs" dxfId="235" priority="150" stopIfTrue="1" operator="equal">
      <formula>green</formula>
    </cfRule>
    <cfRule type="cellIs" dxfId="234" priority="151" stopIfTrue="1" operator="equal">
      <formula>yellow</formula>
    </cfRule>
    <cfRule type="cellIs" dxfId="233" priority="152" stopIfTrue="1" operator="equal">
      <formula>red</formula>
    </cfRule>
  </conditionalFormatting>
  <conditionalFormatting sqref="Q71">
    <cfRule type="cellIs" dxfId="232" priority="129" stopIfTrue="1" operator="greaterThan">
      <formula>$R71</formula>
    </cfRule>
  </conditionalFormatting>
  <conditionalFormatting sqref="M71">
    <cfRule type="cellIs" dxfId="231" priority="130" stopIfTrue="1" operator="equal">
      <formula>green</formula>
    </cfRule>
    <cfRule type="cellIs" dxfId="230" priority="131" stopIfTrue="1" operator="equal">
      <formula>yellow</formula>
    </cfRule>
    <cfRule type="cellIs" dxfId="229" priority="132" stopIfTrue="1" operator="equal">
      <formula>red</formula>
    </cfRule>
  </conditionalFormatting>
  <conditionalFormatting sqref="Q70">
    <cfRule type="cellIs" dxfId="228" priority="125" stopIfTrue="1" operator="greaterThan">
      <formula>$R70</formula>
    </cfRule>
  </conditionalFormatting>
  <conditionalFormatting sqref="M70">
    <cfRule type="cellIs" dxfId="227" priority="126" stopIfTrue="1" operator="equal">
      <formula>green</formula>
    </cfRule>
    <cfRule type="cellIs" dxfId="226" priority="127" stopIfTrue="1" operator="equal">
      <formula>yellow</formula>
    </cfRule>
    <cfRule type="cellIs" dxfId="225" priority="128" stopIfTrue="1" operator="equal">
      <formula>red</formula>
    </cfRule>
  </conditionalFormatting>
  <conditionalFormatting sqref="Q65">
    <cfRule type="cellIs" dxfId="224" priority="121" stopIfTrue="1" operator="greaterThan">
      <formula>$R65</formula>
    </cfRule>
  </conditionalFormatting>
  <conditionalFormatting sqref="M65">
    <cfRule type="cellIs" dxfId="223" priority="122" stopIfTrue="1" operator="equal">
      <formula>green</formula>
    </cfRule>
    <cfRule type="cellIs" dxfId="222" priority="123" stopIfTrue="1" operator="equal">
      <formula>yellow</formula>
    </cfRule>
    <cfRule type="cellIs" dxfId="221" priority="124" stopIfTrue="1" operator="equal">
      <formula>red</formula>
    </cfRule>
  </conditionalFormatting>
  <conditionalFormatting sqref="Q64">
    <cfRule type="cellIs" dxfId="220" priority="117" stopIfTrue="1" operator="greaterThan">
      <formula>$R64</formula>
    </cfRule>
  </conditionalFormatting>
  <conditionalFormatting sqref="M64">
    <cfRule type="cellIs" dxfId="219" priority="118" stopIfTrue="1" operator="equal">
      <formula>green</formula>
    </cfRule>
    <cfRule type="cellIs" dxfId="218" priority="119" stopIfTrue="1" operator="equal">
      <formula>yellow</formula>
    </cfRule>
    <cfRule type="cellIs" dxfId="217" priority="120" stopIfTrue="1" operator="equal">
      <formula>red</formula>
    </cfRule>
  </conditionalFormatting>
  <conditionalFormatting sqref="Q63">
    <cfRule type="cellIs" dxfId="216" priority="113" stopIfTrue="1" operator="greaterThan">
      <formula>$R63</formula>
    </cfRule>
  </conditionalFormatting>
  <conditionalFormatting sqref="M63">
    <cfRule type="cellIs" dxfId="215" priority="114" stopIfTrue="1" operator="equal">
      <formula>green</formula>
    </cfRule>
    <cfRule type="cellIs" dxfId="214" priority="115" stopIfTrue="1" operator="equal">
      <formula>yellow</formula>
    </cfRule>
    <cfRule type="cellIs" dxfId="213" priority="116" stopIfTrue="1" operator="equal">
      <formula>red</formula>
    </cfRule>
  </conditionalFormatting>
  <conditionalFormatting sqref="Q62">
    <cfRule type="cellIs" dxfId="212" priority="109" stopIfTrue="1" operator="greaterThan">
      <formula>$R62</formula>
    </cfRule>
  </conditionalFormatting>
  <conditionalFormatting sqref="M62">
    <cfRule type="cellIs" dxfId="211" priority="110" stopIfTrue="1" operator="equal">
      <formula>green</formula>
    </cfRule>
    <cfRule type="cellIs" dxfId="210" priority="111" stopIfTrue="1" operator="equal">
      <formula>yellow</formula>
    </cfRule>
    <cfRule type="cellIs" dxfId="209" priority="112" stopIfTrue="1" operator="equal">
      <formula>red</formula>
    </cfRule>
  </conditionalFormatting>
  <conditionalFormatting sqref="Q61">
    <cfRule type="cellIs" dxfId="208" priority="105" stopIfTrue="1" operator="greaterThan">
      <formula>$R61</formula>
    </cfRule>
  </conditionalFormatting>
  <conditionalFormatting sqref="M61">
    <cfRule type="cellIs" dxfId="207" priority="106" stopIfTrue="1" operator="equal">
      <formula>green</formula>
    </cfRule>
    <cfRule type="cellIs" dxfId="206" priority="107" stopIfTrue="1" operator="equal">
      <formula>yellow</formula>
    </cfRule>
    <cfRule type="cellIs" dxfId="205" priority="108" stopIfTrue="1" operator="equal">
      <formula>red</formula>
    </cfRule>
  </conditionalFormatting>
  <conditionalFormatting sqref="Q59">
    <cfRule type="cellIs" dxfId="204" priority="101" stopIfTrue="1" operator="greaterThan">
      <formula>$R59</formula>
    </cfRule>
  </conditionalFormatting>
  <conditionalFormatting sqref="M59">
    <cfRule type="cellIs" dxfId="203" priority="102" stopIfTrue="1" operator="equal">
      <formula>green</formula>
    </cfRule>
    <cfRule type="cellIs" dxfId="202" priority="103" stopIfTrue="1" operator="equal">
      <formula>yellow</formula>
    </cfRule>
    <cfRule type="cellIs" dxfId="201" priority="104" stopIfTrue="1" operator="equal">
      <formula>red</formula>
    </cfRule>
  </conditionalFormatting>
  <conditionalFormatting sqref="Q53">
    <cfRule type="cellIs" dxfId="200" priority="97" stopIfTrue="1" operator="greaterThan">
      <formula>$R53</formula>
    </cfRule>
  </conditionalFormatting>
  <conditionalFormatting sqref="M53">
    <cfRule type="cellIs" dxfId="199" priority="98" stopIfTrue="1" operator="equal">
      <formula>green</formula>
    </cfRule>
    <cfRule type="cellIs" dxfId="198" priority="99" stopIfTrue="1" operator="equal">
      <formula>yellow</formula>
    </cfRule>
    <cfRule type="cellIs" dxfId="197" priority="100" stopIfTrue="1" operator="equal">
      <formula>red</formula>
    </cfRule>
  </conditionalFormatting>
  <conditionalFormatting sqref="Q60">
    <cfRule type="cellIs" dxfId="196" priority="93" stopIfTrue="1" operator="greaterThan">
      <formula>$R60</formula>
    </cfRule>
  </conditionalFormatting>
  <conditionalFormatting sqref="M60">
    <cfRule type="cellIs" dxfId="195" priority="94" stopIfTrue="1" operator="equal">
      <formula>green</formula>
    </cfRule>
    <cfRule type="cellIs" dxfId="194" priority="95" stopIfTrue="1" operator="equal">
      <formula>yellow</formula>
    </cfRule>
    <cfRule type="cellIs" dxfId="193" priority="96" stopIfTrue="1" operator="equal">
      <formula>red</formula>
    </cfRule>
  </conditionalFormatting>
  <conditionalFormatting sqref="Q67">
    <cfRule type="cellIs" dxfId="192" priority="81" stopIfTrue="1" operator="greaterThan">
      <formula>$R67</formula>
    </cfRule>
  </conditionalFormatting>
  <conditionalFormatting sqref="M67">
    <cfRule type="cellIs" dxfId="191" priority="82" stopIfTrue="1" operator="equal">
      <formula>green</formula>
    </cfRule>
    <cfRule type="cellIs" dxfId="190" priority="83" stopIfTrue="1" operator="equal">
      <formula>yellow</formula>
    </cfRule>
    <cfRule type="cellIs" dxfId="189" priority="84" stopIfTrue="1" operator="equal">
      <formula>red</formula>
    </cfRule>
  </conditionalFormatting>
  <conditionalFormatting sqref="Q68">
    <cfRule type="cellIs" dxfId="188" priority="85" stopIfTrue="1" operator="greaterThan">
      <formula>$R68</formula>
    </cfRule>
  </conditionalFormatting>
  <conditionalFormatting sqref="M68">
    <cfRule type="cellIs" dxfId="187" priority="86" stopIfTrue="1" operator="equal">
      <formula>green</formula>
    </cfRule>
    <cfRule type="cellIs" dxfId="186" priority="87" stopIfTrue="1" operator="equal">
      <formula>yellow</formula>
    </cfRule>
    <cfRule type="cellIs" dxfId="185" priority="88" stopIfTrue="1" operator="equal">
      <formula>red</formula>
    </cfRule>
  </conditionalFormatting>
  <conditionalFormatting sqref="Q74">
    <cfRule type="cellIs" dxfId="184" priority="73" stopIfTrue="1" operator="greaterThan">
      <formula>$R74</formula>
    </cfRule>
  </conditionalFormatting>
  <conditionalFormatting sqref="M74">
    <cfRule type="cellIs" dxfId="183" priority="74" stopIfTrue="1" operator="equal">
      <formula>green</formula>
    </cfRule>
    <cfRule type="cellIs" dxfId="182" priority="75" stopIfTrue="1" operator="equal">
      <formula>yellow</formula>
    </cfRule>
    <cfRule type="cellIs" dxfId="181" priority="76" stopIfTrue="1" operator="equal">
      <formula>red</formula>
    </cfRule>
  </conditionalFormatting>
  <conditionalFormatting sqref="Q73">
    <cfRule type="cellIs" dxfId="180" priority="61" stopIfTrue="1" operator="greaterThan">
      <formula>$R73</formula>
    </cfRule>
  </conditionalFormatting>
  <conditionalFormatting sqref="M73">
    <cfRule type="cellIs" dxfId="179" priority="62" stopIfTrue="1" operator="equal">
      <formula>green</formula>
    </cfRule>
    <cfRule type="cellIs" dxfId="178" priority="63" stopIfTrue="1" operator="equal">
      <formula>yellow</formula>
    </cfRule>
    <cfRule type="cellIs" dxfId="177" priority="64" stopIfTrue="1" operator="equal">
      <formula>red</formula>
    </cfRule>
  </conditionalFormatting>
  <conditionalFormatting sqref="Q72">
    <cfRule type="cellIs" dxfId="176" priority="65" stopIfTrue="1" operator="greaterThan">
      <formula>$R72</formula>
    </cfRule>
  </conditionalFormatting>
  <conditionalFormatting sqref="M72">
    <cfRule type="cellIs" dxfId="175" priority="66" stopIfTrue="1" operator="equal">
      <formula>green</formula>
    </cfRule>
    <cfRule type="cellIs" dxfId="174" priority="67" stopIfTrue="1" operator="equal">
      <formula>yellow</formula>
    </cfRule>
    <cfRule type="cellIs" dxfId="173" priority="68" stopIfTrue="1" operator="equal">
      <formula>red</formula>
    </cfRule>
  </conditionalFormatting>
  <conditionalFormatting sqref="Q69">
    <cfRule type="cellIs" dxfId="172" priority="57" stopIfTrue="1" operator="greaterThan">
      <formula>$R69</formula>
    </cfRule>
  </conditionalFormatting>
  <conditionalFormatting sqref="M69">
    <cfRule type="cellIs" dxfId="171" priority="58" stopIfTrue="1" operator="equal">
      <formula>green</formula>
    </cfRule>
    <cfRule type="cellIs" dxfId="170" priority="59" stopIfTrue="1" operator="equal">
      <formula>yellow</formula>
    </cfRule>
    <cfRule type="cellIs" dxfId="169" priority="60" stopIfTrue="1" operator="equal">
      <formula>red</formula>
    </cfRule>
  </conditionalFormatting>
  <conditionalFormatting sqref="Q66">
    <cfRule type="cellIs" dxfId="168" priority="53" stopIfTrue="1" operator="greaterThan">
      <formula>$R66</formula>
    </cfRule>
  </conditionalFormatting>
  <conditionalFormatting sqref="M66">
    <cfRule type="cellIs" dxfId="167" priority="54" stopIfTrue="1" operator="equal">
      <formula>green</formula>
    </cfRule>
    <cfRule type="cellIs" dxfId="166" priority="55" stopIfTrue="1" operator="equal">
      <formula>yellow</formula>
    </cfRule>
    <cfRule type="cellIs" dxfId="165" priority="56" stopIfTrue="1" operator="equal">
      <formula>red</formula>
    </cfRule>
  </conditionalFormatting>
  <conditionalFormatting sqref="Q76">
    <cfRule type="cellIs" dxfId="164" priority="45" stopIfTrue="1" operator="greaterThan">
      <formula>$R76</formula>
    </cfRule>
  </conditionalFormatting>
  <conditionalFormatting sqref="M76">
    <cfRule type="cellIs" dxfId="163" priority="46" stopIfTrue="1" operator="equal">
      <formula>green</formula>
    </cfRule>
    <cfRule type="cellIs" dxfId="162" priority="47" stopIfTrue="1" operator="equal">
      <formula>yellow</formula>
    </cfRule>
    <cfRule type="cellIs" dxfId="161" priority="48" stopIfTrue="1" operator="equal">
      <formula>red</formula>
    </cfRule>
  </conditionalFormatting>
  <conditionalFormatting sqref="Q75">
    <cfRule type="cellIs" dxfId="160" priority="37" stopIfTrue="1" operator="greaterThan">
      <formula>$R75</formula>
    </cfRule>
  </conditionalFormatting>
  <conditionalFormatting sqref="M75">
    <cfRule type="cellIs" dxfId="159" priority="38" stopIfTrue="1" operator="equal">
      <formula>green</formula>
    </cfRule>
    <cfRule type="cellIs" dxfId="158" priority="39" stopIfTrue="1" operator="equal">
      <formula>yellow</formula>
    </cfRule>
    <cfRule type="cellIs" dxfId="157" priority="40" stopIfTrue="1" operator="equal">
      <formula>red</formula>
    </cfRule>
  </conditionalFormatting>
  <conditionalFormatting sqref="Q80">
    <cfRule type="cellIs" dxfId="156" priority="17" stopIfTrue="1" operator="greaterThan">
      <formula>$R80</formula>
    </cfRule>
  </conditionalFormatting>
  <conditionalFormatting sqref="M80">
    <cfRule type="cellIs" dxfId="155" priority="18" stopIfTrue="1" operator="equal">
      <formula>green</formula>
    </cfRule>
    <cfRule type="cellIs" dxfId="154" priority="19" stopIfTrue="1" operator="equal">
      <formula>yellow</formula>
    </cfRule>
    <cfRule type="cellIs" dxfId="153" priority="20" stopIfTrue="1" operator="equal">
      <formula>red</formula>
    </cfRule>
  </conditionalFormatting>
  <conditionalFormatting sqref="Q79">
    <cfRule type="cellIs" dxfId="152" priority="13" stopIfTrue="1" operator="greaterThan">
      <formula>$R79</formula>
    </cfRule>
  </conditionalFormatting>
  <conditionalFormatting sqref="M79">
    <cfRule type="cellIs" dxfId="151" priority="14" stopIfTrue="1" operator="equal">
      <formula>green</formula>
    </cfRule>
    <cfRule type="cellIs" dxfId="150" priority="15" stopIfTrue="1" operator="equal">
      <formula>yellow</formula>
    </cfRule>
    <cfRule type="cellIs" dxfId="149" priority="16" stopIfTrue="1" operator="equal">
      <formula>red</formula>
    </cfRule>
  </conditionalFormatting>
  <conditionalFormatting sqref="Q77">
    <cfRule type="cellIs" dxfId="148" priority="9" stopIfTrue="1" operator="greaterThan">
      <formula>$R77</formula>
    </cfRule>
  </conditionalFormatting>
  <conditionalFormatting sqref="M77">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8">
    <cfRule type="cellIs" dxfId="144" priority="5" stopIfTrue="1" operator="greaterThan">
      <formula>$R78</formula>
    </cfRule>
  </conditionalFormatting>
  <conditionalFormatting sqref="M78">
    <cfRule type="cellIs" dxfId="143" priority="6" stopIfTrue="1" operator="equal">
      <formula>green</formula>
    </cfRule>
    <cfRule type="cellIs" dxfId="142" priority="7" stopIfTrue="1" operator="equal">
      <formula>yellow</formula>
    </cfRule>
    <cfRule type="cellIs" dxfId="141" priority="8" stopIfTrue="1" operator="equal">
      <formula>red</formula>
    </cfRule>
  </conditionalFormatting>
  <dataValidations count="35">
    <dataValidation type="date" operator="greaterThanOrEqual" allowBlank="1" showInputMessage="1" showErrorMessage="1" sqref="R9 R43:R46 R67:R68 R78:R80 R49:R65 R74 R76 R70:R72">
      <formula1>Q9</formula1>
    </dataValidation>
    <dataValidation type="decimal" operator="greaterThanOrEqual" allowBlank="1" showInputMessage="1" showErrorMessage="1" sqref="O40:P40 J81 S9:AK11 S40:AK80">
      <formula1>0</formula1>
    </dataValidation>
    <dataValidation operator="greaterThanOrEqual" allowBlank="1" showInputMessage="1" showErrorMessage="1" sqref="R47 P47 P10 P42 R42 R10"/>
    <dataValidation type="date" operator="greaterThanOrEqual" allowBlank="1" showInputMessage="1" showErrorMessage="1" sqref="Q47 P41 P43:Q46 Q42 P9:Q9 Q10 P11 O9:O11 Q40:R40 P49:Q53 P48 O41:O53 O73:P73 O66:P66 O69:P69 O78:Q80 O54:Q65 O67:Q68 O74:Q74 O75:P75 O76:Q76 O77:P77 O70:Q72">
      <formula1>36526</formula1>
    </dataValidation>
    <dataValidation type="list" allowBlank="1" showInputMessage="1" showErrorMessage="1" sqref="N9 N43:N46 N67:N68 N78:N80 N49:N65 N74 N76 N70:N72">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1">
      <formula1>1</formula1>
      <formula2>5</formula2>
    </dataValidation>
    <dataValidation type="decimal" allowBlank="1" showInputMessage="1" showErrorMessage="1" sqref="L11 L40:L41 L48 L73 L69 L66 L75 L77">
      <formula1>0</formula1>
      <formula2>1</formula2>
    </dataValidation>
    <dataValidation type="list" allowBlank="1" showInputMessage="1" showErrorMessage="1" sqref="L9 L43:L46 L67:L68 L78:L80 L49:L65 L74 L76 L70:L72">
      <formula1>"0%,25%,50%,75%,100%"</formula1>
    </dataValidation>
    <dataValidation type="list" allowBlank="1" showInputMessage="1" showErrorMessage="1" sqref="L47 L10 L42">
      <formula1>"0%,100%"</formula1>
    </dataValidation>
    <dataValidation type="list" allowBlank="1" showInputMessage="1" showErrorMessage="1" sqref="E43:E46 H9:H11 E9 E67:E68 E49:E65 E74 E78:E80 E76 E70:E72 H40:H80">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0">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4"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102" t="s">
        <v>2803</v>
      </c>
      <c r="AM5" s="1103"/>
      <c r="AN5" s="1103"/>
      <c r="AO5" s="1103"/>
      <c r="AP5" s="1103"/>
      <c r="AQ5" s="1103"/>
      <c r="AR5" s="1103"/>
      <c r="AS5" s="1103"/>
      <c r="AT5" s="1103"/>
      <c r="AU5" s="1103"/>
      <c r="AV5" s="1067"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103"/>
      <c r="AM6" s="1103"/>
      <c r="AN6" s="1103"/>
      <c r="AO6" s="1103"/>
      <c r="AP6" s="1103"/>
      <c r="AQ6" s="1103"/>
      <c r="AR6" s="1103"/>
      <c r="AS6" s="1103"/>
      <c r="AT6" s="1103"/>
      <c r="AU6" s="1103"/>
      <c r="AV6" s="1068"/>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103"/>
      <c r="AM7" s="1103"/>
      <c r="AN7" s="1103"/>
      <c r="AO7" s="1103"/>
      <c r="AP7" s="1103"/>
      <c r="AQ7" s="1103"/>
      <c r="AR7" s="1103"/>
      <c r="AS7" s="1103"/>
      <c r="AT7" s="1103"/>
      <c r="AU7" s="1103"/>
      <c r="AV7" s="1068"/>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103"/>
      <c r="AM8" s="1103"/>
      <c r="AN8" s="1103"/>
      <c r="AO8" s="1103"/>
      <c r="AP8" s="1103"/>
      <c r="AQ8" s="1103"/>
      <c r="AR8" s="1103"/>
      <c r="AS8" s="1103"/>
      <c r="AT8" s="1103"/>
      <c r="AU8" s="1103"/>
      <c r="AV8" s="1068"/>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118" t="s">
        <v>2736</v>
      </c>
      <c r="AM9" s="1118"/>
      <c r="AN9" s="1118"/>
      <c r="AO9" s="1119" t="s">
        <v>2218</v>
      </c>
      <c r="AP9" s="1090"/>
      <c r="AQ9" s="1090"/>
      <c r="AR9" s="1090"/>
      <c r="AS9" s="1090"/>
      <c r="AT9" s="1090"/>
      <c r="AU9" s="1090"/>
      <c r="AV9" s="1068"/>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118"/>
      <c r="AM10" s="1118"/>
      <c r="AN10" s="1118"/>
      <c r="AO10" s="1090"/>
      <c r="AP10" s="1090"/>
      <c r="AQ10" s="1090"/>
      <c r="AR10" s="1090"/>
      <c r="AS10" s="1090"/>
      <c r="AT10" s="1090"/>
      <c r="AU10" s="1090"/>
      <c r="AV10" s="1068"/>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96">
        <v>42635</v>
      </c>
      <c r="AM11" s="1097"/>
      <c r="AN11" s="1097"/>
      <c r="AO11" s="1097"/>
      <c r="AP11" s="1097"/>
      <c r="AQ11" s="1096">
        <v>42831</v>
      </c>
      <c r="AR11" s="1097"/>
      <c r="AS11" s="1097"/>
      <c r="AT11" s="1097"/>
      <c r="AU11" s="1097"/>
      <c r="AV11" s="1068"/>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97"/>
      <c r="AM12" s="1097"/>
      <c r="AN12" s="1097"/>
      <c r="AO12" s="1097"/>
      <c r="AP12" s="1097"/>
      <c r="AQ12" s="1098"/>
      <c r="AR12" s="1097"/>
      <c r="AS12" s="1097"/>
      <c r="AT12" s="1097"/>
      <c r="AU12" s="1097"/>
      <c r="AV12" s="1068"/>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102" t="s">
        <v>1882</v>
      </c>
      <c r="C15" s="1103"/>
      <c r="D15" s="1103"/>
      <c r="E15" s="1103"/>
      <c r="F15" s="1103"/>
      <c r="G15" s="1104"/>
      <c r="H15" s="1103"/>
      <c r="I15" s="1103"/>
      <c r="J15" s="1103"/>
      <c r="K15" s="1103"/>
      <c r="L15" s="1067" t="s">
        <v>854</v>
      </c>
      <c r="M15" s="3"/>
      <c r="N15" s="1089" t="s">
        <v>2821</v>
      </c>
      <c r="O15" s="1090"/>
      <c r="P15" s="1090"/>
      <c r="Q15" s="1090"/>
      <c r="R15" s="1090"/>
      <c r="S15" s="1091"/>
      <c r="T15" s="1090"/>
      <c r="U15" s="1090"/>
      <c r="V15" s="1090"/>
      <c r="W15" s="1090"/>
      <c r="X15" s="1067" t="s">
        <v>854</v>
      </c>
      <c r="Y15" s="3"/>
      <c r="Z15" s="1089" t="s">
        <v>2917</v>
      </c>
      <c r="AA15" s="1090"/>
      <c r="AB15" s="1090"/>
      <c r="AC15" s="1090"/>
      <c r="AD15" s="1090"/>
      <c r="AE15" s="1091"/>
      <c r="AF15" s="1090"/>
      <c r="AG15" s="1090"/>
      <c r="AH15" s="1090"/>
      <c r="AI15" s="1090"/>
      <c r="AJ15" s="1067" t="s">
        <v>854</v>
      </c>
      <c r="AK15" s="3"/>
      <c r="AL15" s="1089" t="s">
        <v>2919</v>
      </c>
      <c r="AM15" s="1090"/>
      <c r="AN15" s="1090"/>
      <c r="AO15" s="1090"/>
      <c r="AP15" s="1090"/>
      <c r="AQ15" s="1091"/>
      <c r="AR15" s="1090"/>
      <c r="AS15" s="1090"/>
      <c r="AT15" s="1090"/>
      <c r="AU15" s="1090"/>
      <c r="AV15" s="1067" t="s">
        <v>854</v>
      </c>
      <c r="AW15" s="3"/>
      <c r="AX15" s="1089" t="s">
        <v>2923</v>
      </c>
      <c r="AY15" s="1090"/>
      <c r="AZ15" s="1090"/>
      <c r="BA15" s="1090"/>
      <c r="BB15" s="1090"/>
      <c r="BC15" s="1091"/>
      <c r="BD15" s="1090"/>
      <c r="BE15" s="1090"/>
      <c r="BF15" s="1090"/>
      <c r="BG15" s="1090"/>
      <c r="BH15" s="1067" t="s">
        <v>854</v>
      </c>
      <c r="BI15" s="3"/>
      <c r="BJ15" s="1089" t="s">
        <v>2925</v>
      </c>
      <c r="BK15" s="1090"/>
      <c r="BL15" s="1090"/>
      <c r="BM15" s="1090"/>
      <c r="BN15" s="1090"/>
      <c r="BO15" s="1091"/>
      <c r="BP15" s="1090"/>
      <c r="BQ15" s="1090"/>
      <c r="BR15" s="1090"/>
      <c r="BS15" s="1090"/>
      <c r="BT15" s="1067" t="s">
        <v>854</v>
      </c>
      <c r="BU15" s="3"/>
      <c r="BV15" s="1099" t="s">
        <v>2934</v>
      </c>
      <c r="BW15" s="1100"/>
      <c r="BX15" s="1100"/>
      <c r="BY15" s="1100"/>
      <c r="BZ15" s="1100"/>
      <c r="CA15" s="1101"/>
      <c r="CB15" s="1100"/>
      <c r="CC15" s="1100"/>
      <c r="CD15" s="1100"/>
      <c r="CE15" s="1100"/>
      <c r="CF15" s="1067" t="s">
        <v>854</v>
      </c>
      <c r="CG15" s="6"/>
    </row>
    <row r="16" spans="1:85" ht="6.95" customHeight="1" x14ac:dyDescent="0.2">
      <c r="A16" s="4"/>
      <c r="B16" s="1103"/>
      <c r="C16" s="1103"/>
      <c r="D16" s="1103"/>
      <c r="E16" s="1103"/>
      <c r="F16" s="1103"/>
      <c r="G16" s="1103"/>
      <c r="H16" s="1103"/>
      <c r="I16" s="1103"/>
      <c r="J16" s="1103"/>
      <c r="K16" s="1103"/>
      <c r="L16" s="1068"/>
      <c r="M16" s="3"/>
      <c r="N16" s="1090"/>
      <c r="O16" s="1090"/>
      <c r="P16" s="1090"/>
      <c r="Q16" s="1090"/>
      <c r="R16" s="1090"/>
      <c r="S16" s="1090"/>
      <c r="T16" s="1090"/>
      <c r="U16" s="1090"/>
      <c r="V16" s="1090"/>
      <c r="W16" s="1090"/>
      <c r="X16" s="1068"/>
      <c r="Y16" s="3"/>
      <c r="Z16" s="1090"/>
      <c r="AA16" s="1090"/>
      <c r="AB16" s="1090"/>
      <c r="AC16" s="1090"/>
      <c r="AD16" s="1090"/>
      <c r="AE16" s="1090"/>
      <c r="AF16" s="1090"/>
      <c r="AG16" s="1090"/>
      <c r="AH16" s="1090"/>
      <c r="AI16" s="1090"/>
      <c r="AJ16" s="1068"/>
      <c r="AK16" s="3"/>
      <c r="AL16" s="1090"/>
      <c r="AM16" s="1090"/>
      <c r="AN16" s="1090"/>
      <c r="AO16" s="1090"/>
      <c r="AP16" s="1090"/>
      <c r="AQ16" s="1090"/>
      <c r="AR16" s="1090"/>
      <c r="AS16" s="1090"/>
      <c r="AT16" s="1090"/>
      <c r="AU16" s="1090"/>
      <c r="AV16" s="1068"/>
      <c r="AW16" s="3"/>
      <c r="AX16" s="1090"/>
      <c r="AY16" s="1090"/>
      <c r="AZ16" s="1090"/>
      <c r="BA16" s="1090"/>
      <c r="BB16" s="1090"/>
      <c r="BC16" s="1090"/>
      <c r="BD16" s="1090"/>
      <c r="BE16" s="1090"/>
      <c r="BF16" s="1090"/>
      <c r="BG16" s="1090"/>
      <c r="BH16" s="1068"/>
      <c r="BI16" s="3"/>
      <c r="BJ16" s="1090"/>
      <c r="BK16" s="1090"/>
      <c r="BL16" s="1090"/>
      <c r="BM16" s="1090"/>
      <c r="BN16" s="1090"/>
      <c r="BO16" s="1090"/>
      <c r="BP16" s="1090"/>
      <c r="BQ16" s="1090"/>
      <c r="BR16" s="1090"/>
      <c r="BS16" s="1090"/>
      <c r="BT16" s="1068"/>
      <c r="BU16" s="3"/>
      <c r="BV16" s="1100"/>
      <c r="BW16" s="1100"/>
      <c r="BX16" s="1100"/>
      <c r="BY16" s="1100"/>
      <c r="BZ16" s="1100"/>
      <c r="CA16" s="1100"/>
      <c r="CB16" s="1100"/>
      <c r="CC16" s="1100"/>
      <c r="CD16" s="1100"/>
      <c r="CE16" s="1100"/>
      <c r="CF16" s="1068"/>
      <c r="CG16" s="6"/>
    </row>
    <row r="17" spans="1:85" ht="6.95" customHeight="1" x14ac:dyDescent="0.2">
      <c r="A17" s="4"/>
      <c r="B17" s="1103"/>
      <c r="C17" s="1103"/>
      <c r="D17" s="1103"/>
      <c r="E17" s="1103"/>
      <c r="F17" s="1103"/>
      <c r="G17" s="1103"/>
      <c r="H17" s="1103"/>
      <c r="I17" s="1103"/>
      <c r="J17" s="1103"/>
      <c r="K17" s="1103"/>
      <c r="L17" s="1068"/>
      <c r="M17" s="3"/>
      <c r="N17" s="1090"/>
      <c r="O17" s="1090"/>
      <c r="P17" s="1090"/>
      <c r="Q17" s="1090"/>
      <c r="R17" s="1090"/>
      <c r="S17" s="1090"/>
      <c r="T17" s="1090"/>
      <c r="U17" s="1090"/>
      <c r="V17" s="1090"/>
      <c r="W17" s="1090"/>
      <c r="X17" s="1068"/>
      <c r="Y17" s="3"/>
      <c r="Z17" s="1090"/>
      <c r="AA17" s="1090"/>
      <c r="AB17" s="1090"/>
      <c r="AC17" s="1090"/>
      <c r="AD17" s="1090"/>
      <c r="AE17" s="1090"/>
      <c r="AF17" s="1090"/>
      <c r="AG17" s="1090"/>
      <c r="AH17" s="1090"/>
      <c r="AI17" s="1090"/>
      <c r="AJ17" s="1068"/>
      <c r="AK17" s="3"/>
      <c r="AL17" s="1090"/>
      <c r="AM17" s="1090"/>
      <c r="AN17" s="1090"/>
      <c r="AO17" s="1090"/>
      <c r="AP17" s="1090"/>
      <c r="AQ17" s="1090"/>
      <c r="AR17" s="1090"/>
      <c r="AS17" s="1090"/>
      <c r="AT17" s="1090"/>
      <c r="AU17" s="1090"/>
      <c r="AV17" s="1068"/>
      <c r="AW17" s="3"/>
      <c r="AX17" s="1090"/>
      <c r="AY17" s="1090"/>
      <c r="AZ17" s="1090"/>
      <c r="BA17" s="1090"/>
      <c r="BB17" s="1090"/>
      <c r="BC17" s="1090"/>
      <c r="BD17" s="1090"/>
      <c r="BE17" s="1090"/>
      <c r="BF17" s="1090"/>
      <c r="BG17" s="1090"/>
      <c r="BH17" s="1068"/>
      <c r="BI17" s="3"/>
      <c r="BJ17" s="1090"/>
      <c r="BK17" s="1090"/>
      <c r="BL17" s="1090"/>
      <c r="BM17" s="1090"/>
      <c r="BN17" s="1090"/>
      <c r="BO17" s="1090"/>
      <c r="BP17" s="1090"/>
      <c r="BQ17" s="1090"/>
      <c r="BR17" s="1090"/>
      <c r="BS17" s="1090"/>
      <c r="BT17" s="1068"/>
      <c r="BU17" s="3"/>
      <c r="BV17" s="1100"/>
      <c r="BW17" s="1100"/>
      <c r="BX17" s="1100"/>
      <c r="BY17" s="1100"/>
      <c r="BZ17" s="1100"/>
      <c r="CA17" s="1100"/>
      <c r="CB17" s="1100"/>
      <c r="CC17" s="1100"/>
      <c r="CD17" s="1100"/>
      <c r="CE17" s="1100"/>
      <c r="CF17" s="1068"/>
      <c r="CG17" s="6"/>
    </row>
    <row r="18" spans="1:85" ht="6.95" customHeight="1" x14ac:dyDescent="0.2">
      <c r="A18" s="4"/>
      <c r="B18" s="1103"/>
      <c r="C18" s="1103"/>
      <c r="D18" s="1103"/>
      <c r="E18" s="1103"/>
      <c r="F18" s="1103"/>
      <c r="G18" s="1103"/>
      <c r="H18" s="1103"/>
      <c r="I18" s="1103"/>
      <c r="J18" s="1103"/>
      <c r="K18" s="1103"/>
      <c r="L18" s="1068"/>
      <c r="M18" s="3"/>
      <c r="N18" s="1090"/>
      <c r="O18" s="1090"/>
      <c r="P18" s="1090"/>
      <c r="Q18" s="1090"/>
      <c r="R18" s="1090"/>
      <c r="S18" s="1090"/>
      <c r="T18" s="1090"/>
      <c r="U18" s="1090"/>
      <c r="V18" s="1090"/>
      <c r="W18" s="1090"/>
      <c r="X18" s="1068"/>
      <c r="Y18" s="3"/>
      <c r="Z18" s="1090"/>
      <c r="AA18" s="1090"/>
      <c r="AB18" s="1090"/>
      <c r="AC18" s="1090"/>
      <c r="AD18" s="1090"/>
      <c r="AE18" s="1090"/>
      <c r="AF18" s="1090"/>
      <c r="AG18" s="1090"/>
      <c r="AH18" s="1090"/>
      <c r="AI18" s="1090"/>
      <c r="AJ18" s="1068"/>
      <c r="AK18" s="3"/>
      <c r="AL18" s="1090"/>
      <c r="AM18" s="1090"/>
      <c r="AN18" s="1090"/>
      <c r="AO18" s="1090"/>
      <c r="AP18" s="1090"/>
      <c r="AQ18" s="1090"/>
      <c r="AR18" s="1090"/>
      <c r="AS18" s="1090"/>
      <c r="AT18" s="1090"/>
      <c r="AU18" s="1090"/>
      <c r="AV18" s="1068"/>
      <c r="AW18" s="3"/>
      <c r="AX18" s="1090"/>
      <c r="AY18" s="1090"/>
      <c r="AZ18" s="1090"/>
      <c r="BA18" s="1090"/>
      <c r="BB18" s="1090"/>
      <c r="BC18" s="1090"/>
      <c r="BD18" s="1090"/>
      <c r="BE18" s="1090"/>
      <c r="BF18" s="1090"/>
      <c r="BG18" s="1090"/>
      <c r="BH18" s="1068"/>
      <c r="BI18" s="3"/>
      <c r="BJ18" s="1090"/>
      <c r="BK18" s="1090"/>
      <c r="BL18" s="1090"/>
      <c r="BM18" s="1090"/>
      <c r="BN18" s="1090"/>
      <c r="BO18" s="1090"/>
      <c r="BP18" s="1090"/>
      <c r="BQ18" s="1090"/>
      <c r="BR18" s="1090"/>
      <c r="BS18" s="1090"/>
      <c r="BT18" s="1068"/>
      <c r="BU18" s="3"/>
      <c r="BV18" s="1100"/>
      <c r="BW18" s="1100"/>
      <c r="BX18" s="1100"/>
      <c r="BY18" s="1100"/>
      <c r="BZ18" s="1100"/>
      <c r="CA18" s="1100"/>
      <c r="CB18" s="1100"/>
      <c r="CC18" s="1100"/>
      <c r="CD18" s="1100"/>
      <c r="CE18" s="1100"/>
      <c r="CF18" s="1068"/>
      <c r="CG18" s="6"/>
    </row>
    <row r="19" spans="1:85" ht="6.95" customHeight="1" x14ac:dyDescent="0.2">
      <c r="A19" s="4"/>
      <c r="B19" s="1092" t="s">
        <v>2576</v>
      </c>
      <c r="C19" s="1093"/>
      <c r="D19" s="1093"/>
      <c r="E19" s="1093"/>
      <c r="F19" s="1093"/>
      <c r="G19" s="1094">
        <v>0.25</v>
      </c>
      <c r="H19" s="1095"/>
      <c r="I19" s="1095"/>
      <c r="J19" s="1095"/>
      <c r="K19" s="1095"/>
      <c r="L19" s="1068"/>
      <c r="M19" s="3"/>
      <c r="N19" s="1092" t="s">
        <v>872</v>
      </c>
      <c r="O19" s="1093"/>
      <c r="P19" s="1093"/>
      <c r="Q19" s="1093"/>
      <c r="R19" s="1093"/>
      <c r="S19" s="1094">
        <v>0</v>
      </c>
      <c r="T19" s="1095"/>
      <c r="U19" s="1095"/>
      <c r="V19" s="1095"/>
      <c r="W19" s="1095"/>
      <c r="X19" s="1068"/>
      <c r="Y19" s="3"/>
      <c r="Z19" s="1092" t="s">
        <v>2826</v>
      </c>
      <c r="AA19" s="1093"/>
      <c r="AB19" s="1093"/>
      <c r="AC19" s="1093"/>
      <c r="AD19" s="1093"/>
      <c r="AE19" s="1094">
        <v>0</v>
      </c>
      <c r="AF19" s="1095"/>
      <c r="AG19" s="1095"/>
      <c r="AH19" s="1095"/>
      <c r="AI19" s="1095"/>
      <c r="AJ19" s="1068"/>
      <c r="AK19" s="3"/>
      <c r="AL19" s="1092" t="s">
        <v>2828</v>
      </c>
      <c r="AM19" s="1093"/>
      <c r="AN19" s="1093"/>
      <c r="AO19" s="1093"/>
      <c r="AP19" s="1093"/>
      <c r="AQ19" s="1094">
        <v>0</v>
      </c>
      <c r="AR19" s="1095"/>
      <c r="AS19" s="1095"/>
      <c r="AT19" s="1095"/>
      <c r="AU19" s="1095"/>
      <c r="AV19" s="1068"/>
      <c r="AW19" s="3"/>
      <c r="AX19" s="1092" t="s">
        <v>2855</v>
      </c>
      <c r="AY19" s="1093"/>
      <c r="AZ19" s="1093"/>
      <c r="BA19" s="1093"/>
      <c r="BB19" s="1093"/>
      <c r="BC19" s="1094">
        <v>0</v>
      </c>
      <c r="BD19" s="1095"/>
      <c r="BE19" s="1095"/>
      <c r="BF19" s="1095"/>
      <c r="BG19" s="1095"/>
      <c r="BH19" s="1068"/>
      <c r="BI19" s="3"/>
      <c r="BJ19" s="1092" t="s">
        <v>2926</v>
      </c>
      <c r="BK19" s="1093"/>
      <c r="BL19" s="1093"/>
      <c r="BM19" s="1093"/>
      <c r="BN19" s="1093"/>
      <c r="BO19" s="1094">
        <v>0</v>
      </c>
      <c r="BP19" s="1095"/>
      <c r="BQ19" s="1095"/>
      <c r="BR19" s="1095"/>
      <c r="BS19" s="1095"/>
      <c r="BT19" s="1068"/>
      <c r="BU19" s="3"/>
      <c r="BV19" s="1092" t="s">
        <v>2929</v>
      </c>
      <c r="BW19" s="1093"/>
      <c r="BX19" s="1093"/>
      <c r="BY19" s="1093"/>
      <c r="BZ19" s="1093"/>
      <c r="CA19" s="1094">
        <v>1</v>
      </c>
      <c r="CB19" s="1095"/>
      <c r="CC19" s="1095"/>
      <c r="CD19" s="1095"/>
      <c r="CE19" s="1095"/>
      <c r="CF19" s="1068"/>
      <c r="CG19" s="6"/>
    </row>
    <row r="20" spans="1:85" ht="6.95" customHeight="1" x14ac:dyDescent="0.2">
      <c r="A20" s="4"/>
      <c r="B20" s="1093"/>
      <c r="C20" s="1093"/>
      <c r="D20" s="1093"/>
      <c r="E20" s="1093"/>
      <c r="F20" s="1093"/>
      <c r="G20" s="1095"/>
      <c r="H20" s="1095"/>
      <c r="I20" s="1095"/>
      <c r="J20" s="1095"/>
      <c r="K20" s="1095"/>
      <c r="L20" s="1068"/>
      <c r="M20" s="3"/>
      <c r="N20" s="1093"/>
      <c r="O20" s="1093"/>
      <c r="P20" s="1093"/>
      <c r="Q20" s="1093"/>
      <c r="R20" s="1093"/>
      <c r="S20" s="1095"/>
      <c r="T20" s="1095"/>
      <c r="U20" s="1095"/>
      <c r="V20" s="1095"/>
      <c r="W20" s="1095"/>
      <c r="X20" s="1068"/>
      <c r="Y20" s="3"/>
      <c r="Z20" s="1093"/>
      <c r="AA20" s="1093"/>
      <c r="AB20" s="1093"/>
      <c r="AC20" s="1093"/>
      <c r="AD20" s="1093"/>
      <c r="AE20" s="1095"/>
      <c r="AF20" s="1095"/>
      <c r="AG20" s="1095"/>
      <c r="AH20" s="1095"/>
      <c r="AI20" s="1095"/>
      <c r="AJ20" s="1068"/>
      <c r="AK20" s="3"/>
      <c r="AL20" s="1093"/>
      <c r="AM20" s="1093"/>
      <c r="AN20" s="1093"/>
      <c r="AO20" s="1093"/>
      <c r="AP20" s="1093"/>
      <c r="AQ20" s="1095"/>
      <c r="AR20" s="1095"/>
      <c r="AS20" s="1095"/>
      <c r="AT20" s="1095"/>
      <c r="AU20" s="1095"/>
      <c r="AV20" s="1068"/>
      <c r="AW20" s="3"/>
      <c r="AX20" s="1093"/>
      <c r="AY20" s="1093"/>
      <c r="AZ20" s="1093"/>
      <c r="BA20" s="1093"/>
      <c r="BB20" s="1093"/>
      <c r="BC20" s="1095"/>
      <c r="BD20" s="1095"/>
      <c r="BE20" s="1095"/>
      <c r="BF20" s="1095"/>
      <c r="BG20" s="1095"/>
      <c r="BH20" s="1068"/>
      <c r="BI20" s="3"/>
      <c r="BJ20" s="1093"/>
      <c r="BK20" s="1093"/>
      <c r="BL20" s="1093"/>
      <c r="BM20" s="1093"/>
      <c r="BN20" s="1093"/>
      <c r="BO20" s="1095"/>
      <c r="BP20" s="1095"/>
      <c r="BQ20" s="1095"/>
      <c r="BR20" s="1095"/>
      <c r="BS20" s="1095"/>
      <c r="BT20" s="1068"/>
      <c r="BU20" s="3"/>
      <c r="BV20" s="1093"/>
      <c r="BW20" s="1093"/>
      <c r="BX20" s="1093"/>
      <c r="BY20" s="1093"/>
      <c r="BZ20" s="1093"/>
      <c r="CA20" s="1095"/>
      <c r="CB20" s="1095"/>
      <c r="CC20" s="1095"/>
      <c r="CD20" s="1095"/>
      <c r="CE20" s="1095"/>
      <c r="CF20" s="1068"/>
      <c r="CG20" s="6"/>
    </row>
    <row r="21" spans="1:85" ht="6.95" customHeight="1" x14ac:dyDescent="0.2">
      <c r="A21" s="4"/>
      <c r="B21" s="1096">
        <v>42635</v>
      </c>
      <c r="C21" s="1097"/>
      <c r="D21" s="1097"/>
      <c r="E21" s="1097"/>
      <c r="F21" s="1097"/>
      <c r="G21" s="1096">
        <v>42831</v>
      </c>
      <c r="H21" s="1097"/>
      <c r="I21" s="1097"/>
      <c r="J21" s="1097"/>
      <c r="K21" s="1097"/>
      <c r="L21" s="1068"/>
      <c r="M21" s="3"/>
      <c r="N21" s="1096">
        <v>42662</v>
      </c>
      <c r="O21" s="1097"/>
      <c r="P21" s="1097"/>
      <c r="Q21" s="1097"/>
      <c r="R21" s="1097"/>
      <c r="S21" s="1096">
        <v>42810</v>
      </c>
      <c r="T21" s="1097"/>
      <c r="U21" s="1097"/>
      <c r="V21" s="1097"/>
      <c r="W21" s="1097"/>
      <c r="X21" s="1068"/>
      <c r="Y21" s="3"/>
      <c r="Z21" s="1096">
        <v>42795</v>
      </c>
      <c r="AA21" s="1097"/>
      <c r="AB21" s="1097"/>
      <c r="AC21" s="1097"/>
      <c r="AD21" s="1097"/>
      <c r="AE21" s="1096">
        <v>42810</v>
      </c>
      <c r="AF21" s="1097"/>
      <c r="AG21" s="1097"/>
      <c r="AH21" s="1097"/>
      <c r="AI21" s="1097"/>
      <c r="AJ21" s="1068"/>
      <c r="AK21" s="3"/>
      <c r="AL21" s="1096">
        <v>42690</v>
      </c>
      <c r="AM21" s="1097"/>
      <c r="AN21" s="1097"/>
      <c r="AO21" s="1097"/>
      <c r="AP21" s="1097"/>
      <c r="AQ21" s="1096">
        <v>42810</v>
      </c>
      <c r="AR21" s="1097"/>
      <c r="AS21" s="1097"/>
      <c r="AT21" s="1097"/>
      <c r="AU21" s="1097"/>
      <c r="AV21" s="1068"/>
      <c r="AW21" s="3"/>
      <c r="AX21" s="1096">
        <v>42704</v>
      </c>
      <c r="AY21" s="1097"/>
      <c r="AZ21" s="1097"/>
      <c r="BA21" s="1097"/>
      <c r="BB21" s="1097"/>
      <c r="BC21" s="1096">
        <v>42810</v>
      </c>
      <c r="BD21" s="1097"/>
      <c r="BE21" s="1097"/>
      <c r="BF21" s="1097"/>
      <c r="BG21" s="1097"/>
      <c r="BH21" s="1068"/>
      <c r="BI21" s="3"/>
      <c r="BJ21" s="1096">
        <v>42810</v>
      </c>
      <c r="BK21" s="1097"/>
      <c r="BL21" s="1097"/>
      <c r="BM21" s="1097"/>
      <c r="BN21" s="1097"/>
      <c r="BO21" s="1096">
        <v>42824</v>
      </c>
      <c r="BP21" s="1097"/>
      <c r="BQ21" s="1097"/>
      <c r="BR21" s="1097"/>
      <c r="BS21" s="1097"/>
      <c r="BT21" s="1068"/>
      <c r="BU21" s="3"/>
      <c r="BV21" s="1096">
        <v>42635</v>
      </c>
      <c r="BW21" s="1097"/>
      <c r="BX21" s="1097"/>
      <c r="BY21" s="1097"/>
      <c r="BZ21" s="1097"/>
      <c r="CA21" s="1096">
        <v>42684</v>
      </c>
      <c r="CB21" s="1097"/>
      <c r="CC21" s="1097"/>
      <c r="CD21" s="1097"/>
      <c r="CE21" s="1097"/>
      <c r="CF21" s="1068"/>
      <c r="CG21" s="6"/>
    </row>
    <row r="22" spans="1:85" ht="6.95" customHeight="1" x14ac:dyDescent="0.2">
      <c r="A22" s="4"/>
      <c r="B22" s="1097"/>
      <c r="C22" s="1098"/>
      <c r="D22" s="1097"/>
      <c r="E22" s="1097"/>
      <c r="F22" s="1097"/>
      <c r="G22" s="1097"/>
      <c r="H22" s="1097"/>
      <c r="I22" s="1097"/>
      <c r="J22" s="1097"/>
      <c r="K22" s="1097"/>
      <c r="L22" s="1068"/>
      <c r="M22" s="3"/>
      <c r="N22" s="1097"/>
      <c r="O22" s="1098"/>
      <c r="P22" s="1097"/>
      <c r="Q22" s="1097"/>
      <c r="R22" s="1097"/>
      <c r="S22" s="1097"/>
      <c r="T22" s="1097"/>
      <c r="U22" s="1097"/>
      <c r="V22" s="1097"/>
      <c r="W22" s="1097"/>
      <c r="X22" s="1068"/>
      <c r="Y22" s="3"/>
      <c r="Z22" s="1097"/>
      <c r="AA22" s="1098"/>
      <c r="AB22" s="1097"/>
      <c r="AC22" s="1097"/>
      <c r="AD22" s="1097"/>
      <c r="AE22" s="1097"/>
      <c r="AF22" s="1097"/>
      <c r="AG22" s="1097"/>
      <c r="AH22" s="1097"/>
      <c r="AI22" s="1097"/>
      <c r="AJ22" s="1068"/>
      <c r="AK22" s="3"/>
      <c r="AL22" s="1097"/>
      <c r="AM22" s="1098"/>
      <c r="AN22" s="1097"/>
      <c r="AO22" s="1097"/>
      <c r="AP22" s="1097"/>
      <c r="AQ22" s="1097"/>
      <c r="AR22" s="1097"/>
      <c r="AS22" s="1097"/>
      <c r="AT22" s="1097"/>
      <c r="AU22" s="1097"/>
      <c r="AV22" s="1068"/>
      <c r="AW22" s="3"/>
      <c r="AX22" s="1097"/>
      <c r="AY22" s="1098"/>
      <c r="AZ22" s="1097"/>
      <c r="BA22" s="1097"/>
      <c r="BB22" s="1097"/>
      <c r="BC22" s="1097"/>
      <c r="BD22" s="1097"/>
      <c r="BE22" s="1097"/>
      <c r="BF22" s="1097"/>
      <c r="BG22" s="1097"/>
      <c r="BH22" s="1068"/>
      <c r="BI22" s="3"/>
      <c r="BJ22" s="1097"/>
      <c r="BK22" s="1098"/>
      <c r="BL22" s="1097"/>
      <c r="BM22" s="1097"/>
      <c r="BN22" s="1097"/>
      <c r="BO22" s="1097"/>
      <c r="BP22" s="1097"/>
      <c r="BQ22" s="1097"/>
      <c r="BR22" s="1097"/>
      <c r="BS22" s="1097"/>
      <c r="BT22" s="1068"/>
      <c r="BU22" s="3"/>
      <c r="BV22" s="1097"/>
      <c r="BW22" s="1098"/>
      <c r="BX22" s="1097"/>
      <c r="BY22" s="1097"/>
      <c r="BZ22" s="1097"/>
      <c r="CA22" s="1097"/>
      <c r="CB22" s="1097"/>
      <c r="CC22" s="1097"/>
      <c r="CD22" s="1097"/>
      <c r="CE22" s="1097"/>
      <c r="CF22" s="1068"/>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5" t="s">
        <v>1095</v>
      </c>
      <c r="E24" s="1107" t="s">
        <v>12</v>
      </c>
      <c r="F24" s="1108"/>
      <c r="G24" s="1108"/>
      <c r="H24" s="1108"/>
      <c r="I24" s="1108"/>
      <c r="J24" s="1108"/>
      <c r="K24" s="1108"/>
      <c r="L24" s="1113" t="str">
        <f>nlc_Language(Language!$E$3,"reached")</f>
        <v>erreicht</v>
      </c>
      <c r="M24" s="3"/>
      <c r="N24" s="508"/>
      <c r="O24" s="667"/>
      <c r="P24" s="1081" t="s">
        <v>2847</v>
      </c>
      <c r="Q24" s="1082"/>
      <c r="R24" s="1082"/>
      <c r="S24" s="1082"/>
      <c r="T24" s="1082"/>
      <c r="U24" s="1082"/>
      <c r="V24" s="1082"/>
      <c r="W24" s="1082"/>
      <c r="X24" s="1067" t="s">
        <v>854</v>
      </c>
      <c r="Y24" s="3"/>
      <c r="Z24" s="508"/>
      <c r="AA24" s="667"/>
      <c r="AB24" s="1081" t="s">
        <v>2831</v>
      </c>
      <c r="AC24" s="1082"/>
      <c r="AD24" s="1082"/>
      <c r="AE24" s="1082"/>
      <c r="AF24" s="1082"/>
      <c r="AG24" s="1082"/>
      <c r="AH24" s="1082"/>
      <c r="AI24" s="1082"/>
      <c r="AJ24" s="1067" t="s">
        <v>854</v>
      </c>
      <c r="AK24" s="3"/>
      <c r="AL24" s="508"/>
      <c r="AM24" s="667"/>
      <c r="AN24" s="1081" t="s">
        <v>2920</v>
      </c>
      <c r="AO24" s="1082"/>
      <c r="AP24" s="1082"/>
      <c r="AQ24" s="1082"/>
      <c r="AR24" s="1082"/>
      <c r="AS24" s="1082"/>
      <c r="AT24" s="1082"/>
      <c r="AU24" s="1082"/>
      <c r="AV24" s="1067" t="s">
        <v>854</v>
      </c>
      <c r="AW24" s="3"/>
      <c r="AX24" s="508"/>
      <c r="AY24" s="667"/>
      <c r="AZ24" s="1081" t="s">
        <v>2924</v>
      </c>
      <c r="BA24" s="1082"/>
      <c r="BB24" s="1082"/>
      <c r="BC24" s="1082"/>
      <c r="BD24" s="1082"/>
      <c r="BE24" s="1082"/>
      <c r="BF24" s="1082"/>
      <c r="BG24" s="1082"/>
      <c r="BH24" s="1067" t="s">
        <v>854</v>
      </c>
      <c r="BI24" s="3"/>
      <c r="BJ24" s="508"/>
      <c r="BK24" s="667"/>
      <c r="BL24" s="1081" t="s">
        <v>2928</v>
      </c>
      <c r="BM24" s="1082"/>
      <c r="BN24" s="1082"/>
      <c r="BO24" s="1082"/>
      <c r="BP24" s="1082"/>
      <c r="BQ24" s="1082"/>
      <c r="BR24" s="1082"/>
      <c r="BS24" s="1082"/>
      <c r="BT24" s="1067" t="s">
        <v>854</v>
      </c>
      <c r="BU24" s="3"/>
      <c r="BV24" s="508"/>
      <c r="BW24" s="667"/>
      <c r="BX24" s="1064" t="s">
        <v>2932</v>
      </c>
      <c r="BY24" s="1065"/>
      <c r="BZ24" s="1065"/>
      <c r="CA24" s="1065"/>
      <c r="CB24" s="1065"/>
      <c r="CC24" s="1065"/>
      <c r="CD24" s="1065"/>
      <c r="CE24" s="1065"/>
      <c r="CF24" s="1067" t="s">
        <v>854</v>
      </c>
      <c r="CG24" s="6"/>
    </row>
    <row r="25" spans="1:85" ht="6.95" customHeight="1" x14ac:dyDescent="0.2">
      <c r="A25" s="4"/>
      <c r="B25" s="508"/>
      <c r="C25" s="667"/>
      <c r="D25" s="1105"/>
      <c r="E25" s="1108"/>
      <c r="F25" s="1108"/>
      <c r="G25" s="1108"/>
      <c r="H25" s="1108"/>
      <c r="I25" s="1108"/>
      <c r="J25" s="1108"/>
      <c r="K25" s="1108"/>
      <c r="L25" s="1113"/>
      <c r="M25" s="3"/>
      <c r="N25" s="508"/>
      <c r="O25" s="667"/>
      <c r="P25" s="1082"/>
      <c r="Q25" s="1082"/>
      <c r="R25" s="1082"/>
      <c r="S25" s="1082"/>
      <c r="T25" s="1082"/>
      <c r="U25" s="1082"/>
      <c r="V25" s="1082"/>
      <c r="W25" s="1082"/>
      <c r="X25" s="1068"/>
      <c r="Y25" s="3"/>
      <c r="Z25" s="508"/>
      <c r="AA25" s="667"/>
      <c r="AB25" s="1082"/>
      <c r="AC25" s="1082"/>
      <c r="AD25" s="1082"/>
      <c r="AE25" s="1082"/>
      <c r="AF25" s="1082"/>
      <c r="AG25" s="1082"/>
      <c r="AH25" s="1082"/>
      <c r="AI25" s="1082"/>
      <c r="AJ25" s="1068"/>
      <c r="AK25" s="3"/>
      <c r="AL25" s="508"/>
      <c r="AM25" s="667"/>
      <c r="AN25" s="1082"/>
      <c r="AO25" s="1082"/>
      <c r="AP25" s="1082"/>
      <c r="AQ25" s="1082"/>
      <c r="AR25" s="1082"/>
      <c r="AS25" s="1082"/>
      <c r="AT25" s="1082"/>
      <c r="AU25" s="1082"/>
      <c r="AV25" s="1068"/>
      <c r="AW25" s="3"/>
      <c r="AX25" s="508"/>
      <c r="AY25" s="667"/>
      <c r="AZ25" s="1082"/>
      <c r="BA25" s="1082"/>
      <c r="BB25" s="1082"/>
      <c r="BC25" s="1082"/>
      <c r="BD25" s="1082"/>
      <c r="BE25" s="1082"/>
      <c r="BF25" s="1082"/>
      <c r="BG25" s="1082"/>
      <c r="BH25" s="1068"/>
      <c r="BI25" s="3"/>
      <c r="BJ25" s="508"/>
      <c r="BK25" s="667"/>
      <c r="BL25" s="1082"/>
      <c r="BM25" s="1082"/>
      <c r="BN25" s="1082"/>
      <c r="BO25" s="1082"/>
      <c r="BP25" s="1082"/>
      <c r="BQ25" s="1082"/>
      <c r="BR25" s="1082"/>
      <c r="BS25" s="1082"/>
      <c r="BT25" s="1068"/>
      <c r="BU25" s="3"/>
      <c r="BV25" s="508"/>
      <c r="BW25" s="667"/>
      <c r="BX25" s="1065"/>
      <c r="BY25" s="1065"/>
      <c r="BZ25" s="1065"/>
      <c r="CA25" s="1065"/>
      <c r="CB25" s="1065"/>
      <c r="CC25" s="1065"/>
      <c r="CD25" s="1065"/>
      <c r="CE25" s="1065"/>
      <c r="CF25" s="1068"/>
      <c r="CG25" s="6"/>
    </row>
    <row r="26" spans="1:85" ht="6.95" customHeight="1" x14ac:dyDescent="0.2">
      <c r="A26" s="4"/>
      <c r="B26" s="508"/>
      <c r="C26" s="667"/>
      <c r="D26" s="1105"/>
      <c r="E26" s="1108"/>
      <c r="F26" s="1108"/>
      <c r="G26" s="1108"/>
      <c r="H26" s="1108"/>
      <c r="I26" s="1108"/>
      <c r="J26" s="1108"/>
      <c r="K26" s="1108"/>
      <c r="L26" s="1113"/>
      <c r="M26" s="3"/>
      <c r="N26" s="508"/>
      <c r="O26" s="667"/>
      <c r="P26" s="1082"/>
      <c r="Q26" s="1082"/>
      <c r="R26" s="1082"/>
      <c r="S26" s="1082"/>
      <c r="T26" s="1082"/>
      <c r="U26" s="1082"/>
      <c r="V26" s="1082"/>
      <c r="W26" s="1082"/>
      <c r="X26" s="1068"/>
      <c r="Y26" s="3"/>
      <c r="Z26" s="508"/>
      <c r="AA26" s="667"/>
      <c r="AB26" s="1082"/>
      <c r="AC26" s="1082"/>
      <c r="AD26" s="1082"/>
      <c r="AE26" s="1082"/>
      <c r="AF26" s="1082"/>
      <c r="AG26" s="1082"/>
      <c r="AH26" s="1082"/>
      <c r="AI26" s="1082"/>
      <c r="AJ26" s="1068"/>
      <c r="AK26" s="3"/>
      <c r="AL26" s="508"/>
      <c r="AM26" s="667"/>
      <c r="AN26" s="1082"/>
      <c r="AO26" s="1082"/>
      <c r="AP26" s="1082"/>
      <c r="AQ26" s="1082"/>
      <c r="AR26" s="1082"/>
      <c r="AS26" s="1082"/>
      <c r="AT26" s="1082"/>
      <c r="AU26" s="1082"/>
      <c r="AV26" s="1068"/>
      <c r="AW26" s="3"/>
      <c r="AX26" s="508"/>
      <c r="AY26" s="667"/>
      <c r="AZ26" s="1082"/>
      <c r="BA26" s="1082"/>
      <c r="BB26" s="1082"/>
      <c r="BC26" s="1082"/>
      <c r="BD26" s="1082"/>
      <c r="BE26" s="1082"/>
      <c r="BF26" s="1082"/>
      <c r="BG26" s="1082"/>
      <c r="BH26" s="1068"/>
      <c r="BI26" s="3"/>
      <c r="BJ26" s="508"/>
      <c r="BK26" s="667"/>
      <c r="BL26" s="1082"/>
      <c r="BM26" s="1082"/>
      <c r="BN26" s="1082"/>
      <c r="BO26" s="1082"/>
      <c r="BP26" s="1082"/>
      <c r="BQ26" s="1082"/>
      <c r="BR26" s="1082"/>
      <c r="BS26" s="1082"/>
      <c r="BT26" s="1068"/>
      <c r="BU26" s="3"/>
      <c r="BV26" s="508"/>
      <c r="BW26" s="667"/>
      <c r="BX26" s="1065"/>
      <c r="BY26" s="1065"/>
      <c r="BZ26" s="1065"/>
      <c r="CA26" s="1065"/>
      <c r="CB26" s="1065"/>
      <c r="CC26" s="1065"/>
      <c r="CD26" s="1065"/>
      <c r="CE26" s="1065"/>
      <c r="CF26" s="1068"/>
      <c r="CG26" s="6"/>
    </row>
    <row r="27" spans="1:85" ht="6.95" customHeight="1" thickBot="1" x14ac:dyDescent="0.25">
      <c r="A27" s="4"/>
      <c r="B27" s="508"/>
      <c r="C27" s="693"/>
      <c r="D27" s="1106"/>
      <c r="E27" s="1108"/>
      <c r="F27" s="1108"/>
      <c r="G27" s="1108"/>
      <c r="H27" s="1108"/>
      <c r="I27" s="1108"/>
      <c r="J27" s="1108"/>
      <c r="K27" s="1108"/>
      <c r="L27" s="1113"/>
      <c r="M27" s="3"/>
      <c r="N27" s="508"/>
      <c r="O27" s="691"/>
      <c r="P27" s="1083"/>
      <c r="Q27" s="1082"/>
      <c r="R27" s="1082"/>
      <c r="S27" s="1082"/>
      <c r="T27" s="1082"/>
      <c r="U27" s="1082"/>
      <c r="V27" s="1082"/>
      <c r="W27" s="1082"/>
      <c r="X27" s="1068"/>
      <c r="Y27" s="3"/>
      <c r="Z27" s="508"/>
      <c r="AA27" s="691"/>
      <c r="AB27" s="1083"/>
      <c r="AC27" s="1082"/>
      <c r="AD27" s="1082"/>
      <c r="AE27" s="1082"/>
      <c r="AF27" s="1082"/>
      <c r="AG27" s="1082"/>
      <c r="AH27" s="1082"/>
      <c r="AI27" s="1082"/>
      <c r="AJ27" s="1068"/>
      <c r="AK27" s="3"/>
      <c r="AL27" s="508"/>
      <c r="AM27" s="691"/>
      <c r="AN27" s="1083"/>
      <c r="AO27" s="1082"/>
      <c r="AP27" s="1082"/>
      <c r="AQ27" s="1082"/>
      <c r="AR27" s="1082"/>
      <c r="AS27" s="1082"/>
      <c r="AT27" s="1082"/>
      <c r="AU27" s="1082"/>
      <c r="AV27" s="1068"/>
      <c r="AW27" s="3"/>
      <c r="AX27" s="508"/>
      <c r="AY27" s="691"/>
      <c r="AZ27" s="1083"/>
      <c r="BA27" s="1082"/>
      <c r="BB27" s="1082"/>
      <c r="BC27" s="1082"/>
      <c r="BD27" s="1082"/>
      <c r="BE27" s="1082"/>
      <c r="BF27" s="1082"/>
      <c r="BG27" s="1082"/>
      <c r="BH27" s="1068"/>
      <c r="BI27" s="3"/>
      <c r="BJ27" s="508"/>
      <c r="BK27" s="691"/>
      <c r="BL27" s="1083"/>
      <c r="BM27" s="1082"/>
      <c r="BN27" s="1082"/>
      <c r="BO27" s="1082"/>
      <c r="BP27" s="1082"/>
      <c r="BQ27" s="1082"/>
      <c r="BR27" s="1082"/>
      <c r="BS27" s="1082"/>
      <c r="BT27" s="1068"/>
      <c r="BU27" s="3"/>
      <c r="BV27" s="508"/>
      <c r="BW27" s="691"/>
      <c r="BX27" s="1066"/>
      <c r="BY27" s="1065"/>
      <c r="BZ27" s="1065"/>
      <c r="CA27" s="1065"/>
      <c r="CB27" s="1065"/>
      <c r="CC27" s="1065"/>
      <c r="CD27" s="1065"/>
      <c r="CE27" s="1065"/>
      <c r="CF27" s="1068"/>
      <c r="CG27" s="6"/>
    </row>
    <row r="28" spans="1:85" ht="6.95" customHeight="1" x14ac:dyDescent="0.2">
      <c r="A28" s="4"/>
      <c r="B28" s="508"/>
      <c r="C28" s="667"/>
      <c r="D28" s="1105"/>
      <c r="E28" s="1109">
        <v>42635</v>
      </c>
      <c r="F28" s="1110"/>
      <c r="G28" s="1110"/>
      <c r="H28" s="1110"/>
      <c r="I28" s="1110"/>
      <c r="J28" s="1110"/>
      <c r="K28" s="1110"/>
      <c r="L28" s="1113"/>
      <c r="M28" s="3"/>
      <c r="N28" s="508"/>
      <c r="O28" s="667"/>
      <c r="P28" s="1084" t="s">
        <v>1098</v>
      </c>
      <c r="Q28" s="1085"/>
      <c r="R28" s="1085"/>
      <c r="S28" s="1086" t="s">
        <v>2818</v>
      </c>
      <c r="T28" s="1082"/>
      <c r="U28" s="1082"/>
      <c r="V28" s="1082"/>
      <c r="W28" s="1082"/>
      <c r="X28" s="1068"/>
      <c r="Y28" s="3"/>
      <c r="Z28" s="508"/>
      <c r="AA28" s="667"/>
      <c r="AB28" s="1084" t="s">
        <v>2827</v>
      </c>
      <c r="AC28" s="1085"/>
      <c r="AD28" s="1085"/>
      <c r="AE28" s="1086" t="s">
        <v>2818</v>
      </c>
      <c r="AF28" s="1082"/>
      <c r="AG28" s="1082"/>
      <c r="AH28" s="1082"/>
      <c r="AI28" s="1082"/>
      <c r="AJ28" s="1068"/>
      <c r="AK28" s="3"/>
      <c r="AL28" s="508"/>
      <c r="AM28" s="667"/>
      <c r="AN28" s="1084" t="s">
        <v>2829</v>
      </c>
      <c r="AO28" s="1085"/>
      <c r="AP28" s="1085"/>
      <c r="AQ28" s="1086" t="s">
        <v>2820</v>
      </c>
      <c r="AR28" s="1082"/>
      <c r="AS28" s="1082"/>
      <c r="AT28" s="1082"/>
      <c r="AU28" s="1082"/>
      <c r="AV28" s="1068"/>
      <c r="AW28" s="3"/>
      <c r="AX28" s="508"/>
      <c r="AY28" s="508"/>
      <c r="AZ28" s="1084" t="s">
        <v>2856</v>
      </c>
      <c r="BA28" s="1085"/>
      <c r="BB28" s="1085"/>
      <c r="BC28" s="1086" t="s">
        <v>2819</v>
      </c>
      <c r="BD28" s="1082"/>
      <c r="BE28" s="1082"/>
      <c r="BF28" s="1082"/>
      <c r="BG28" s="1082"/>
      <c r="BH28" s="1068"/>
      <c r="BI28" s="3"/>
      <c r="BJ28" s="508"/>
      <c r="BK28" s="508"/>
      <c r="BL28" s="1084" t="s">
        <v>2927</v>
      </c>
      <c r="BM28" s="1085"/>
      <c r="BN28" s="1085"/>
      <c r="BO28" s="1086" t="s">
        <v>2818</v>
      </c>
      <c r="BP28" s="1082"/>
      <c r="BQ28" s="1082"/>
      <c r="BR28" s="1082"/>
      <c r="BS28" s="1082"/>
      <c r="BT28" s="1068"/>
      <c r="BU28" s="3"/>
      <c r="BV28" s="508"/>
      <c r="BW28" s="667"/>
      <c r="BX28" s="1069" t="s">
        <v>2930</v>
      </c>
      <c r="BY28" s="1070"/>
      <c r="BZ28" s="1070"/>
      <c r="CA28" s="1071" t="s">
        <v>2819</v>
      </c>
      <c r="CB28" s="1072"/>
      <c r="CC28" s="1072"/>
      <c r="CD28" s="1072"/>
      <c r="CE28" s="1072"/>
      <c r="CF28" s="1068"/>
      <c r="CG28" s="6"/>
    </row>
    <row r="29" spans="1:85" ht="6.95" customHeight="1" x14ac:dyDescent="0.2">
      <c r="A29" s="4"/>
      <c r="B29" s="508"/>
      <c r="C29" s="667"/>
      <c r="D29" s="1105"/>
      <c r="E29" s="1110"/>
      <c r="F29" s="1110"/>
      <c r="G29" s="1110"/>
      <c r="H29" s="1110"/>
      <c r="I29" s="1110"/>
      <c r="J29" s="1110"/>
      <c r="K29" s="1110"/>
      <c r="L29" s="1113"/>
      <c r="M29" s="3"/>
      <c r="N29" s="508"/>
      <c r="O29" s="667"/>
      <c r="P29" s="1085"/>
      <c r="Q29" s="1085"/>
      <c r="R29" s="1085"/>
      <c r="S29" s="1082"/>
      <c r="T29" s="1082"/>
      <c r="U29" s="1082"/>
      <c r="V29" s="1082"/>
      <c r="W29" s="1082"/>
      <c r="X29" s="1068"/>
      <c r="Y29" s="3"/>
      <c r="Z29" s="508"/>
      <c r="AA29" s="667"/>
      <c r="AB29" s="1085"/>
      <c r="AC29" s="1085"/>
      <c r="AD29" s="1085"/>
      <c r="AE29" s="1082"/>
      <c r="AF29" s="1082"/>
      <c r="AG29" s="1082"/>
      <c r="AH29" s="1082"/>
      <c r="AI29" s="1082"/>
      <c r="AJ29" s="1068"/>
      <c r="AK29" s="3"/>
      <c r="AL29" s="508"/>
      <c r="AM29" s="667"/>
      <c r="AN29" s="1085"/>
      <c r="AO29" s="1085"/>
      <c r="AP29" s="1085"/>
      <c r="AQ29" s="1082"/>
      <c r="AR29" s="1082"/>
      <c r="AS29" s="1082"/>
      <c r="AT29" s="1082"/>
      <c r="AU29" s="1082"/>
      <c r="AV29" s="1068"/>
      <c r="AW29" s="3"/>
      <c r="AX29" s="508"/>
      <c r="AY29" s="508"/>
      <c r="AZ29" s="1085"/>
      <c r="BA29" s="1085"/>
      <c r="BB29" s="1085"/>
      <c r="BC29" s="1082"/>
      <c r="BD29" s="1082"/>
      <c r="BE29" s="1082"/>
      <c r="BF29" s="1082"/>
      <c r="BG29" s="1082"/>
      <c r="BH29" s="1068"/>
      <c r="BI29" s="3"/>
      <c r="BJ29" s="508"/>
      <c r="BK29" s="508"/>
      <c r="BL29" s="1085"/>
      <c r="BM29" s="1085"/>
      <c r="BN29" s="1085"/>
      <c r="BO29" s="1082"/>
      <c r="BP29" s="1082"/>
      <c r="BQ29" s="1082"/>
      <c r="BR29" s="1082"/>
      <c r="BS29" s="1082"/>
      <c r="BT29" s="1068"/>
      <c r="BU29" s="3"/>
      <c r="BV29" s="508"/>
      <c r="BW29" s="667"/>
      <c r="BX29" s="1070"/>
      <c r="BY29" s="1070"/>
      <c r="BZ29" s="1070"/>
      <c r="CA29" s="1072"/>
      <c r="CB29" s="1072"/>
      <c r="CC29" s="1072"/>
      <c r="CD29" s="1072"/>
      <c r="CE29" s="1072"/>
      <c r="CF29" s="1068"/>
      <c r="CG29" s="6"/>
    </row>
    <row r="30" spans="1:85" ht="6.95" customHeight="1" x14ac:dyDescent="0.2">
      <c r="A30" s="4"/>
      <c r="B30" s="508"/>
      <c r="C30" s="667"/>
      <c r="D30" s="1105"/>
      <c r="E30" s="1111">
        <v>42635</v>
      </c>
      <c r="F30" s="1112"/>
      <c r="G30" s="1112"/>
      <c r="H30" s="1112"/>
      <c r="I30" s="1112"/>
      <c r="J30" s="1112"/>
      <c r="K30" s="1112"/>
      <c r="L30" s="1113"/>
      <c r="M30" s="3"/>
      <c r="N30" s="508"/>
      <c r="O30" s="667"/>
      <c r="P30" s="1087">
        <v>42662</v>
      </c>
      <c r="Q30" s="1088"/>
      <c r="R30" s="1088"/>
      <c r="S30" s="1088"/>
      <c r="T30" s="1087">
        <v>42663</v>
      </c>
      <c r="U30" s="1088"/>
      <c r="V30" s="1088"/>
      <c r="W30" s="1088"/>
      <c r="X30" s="1068"/>
      <c r="Y30" s="3"/>
      <c r="Z30" s="508"/>
      <c r="AA30" s="667"/>
      <c r="AB30" s="1087">
        <v>42795</v>
      </c>
      <c r="AC30" s="1088"/>
      <c r="AD30" s="1088"/>
      <c r="AE30" s="1088"/>
      <c r="AF30" s="1087">
        <v>42810</v>
      </c>
      <c r="AG30" s="1088"/>
      <c r="AH30" s="1088"/>
      <c r="AI30" s="1088"/>
      <c r="AJ30" s="1068"/>
      <c r="AK30" s="3"/>
      <c r="AL30" s="508"/>
      <c r="AM30" s="667"/>
      <c r="AN30" s="1087">
        <v>42690</v>
      </c>
      <c r="AO30" s="1088"/>
      <c r="AP30" s="1088"/>
      <c r="AQ30" s="1088"/>
      <c r="AR30" s="1087">
        <v>42726</v>
      </c>
      <c r="AS30" s="1088"/>
      <c r="AT30" s="1088"/>
      <c r="AU30" s="1088"/>
      <c r="AV30" s="1068"/>
      <c r="AW30" s="3"/>
      <c r="AX30" s="508"/>
      <c r="AY30" s="508"/>
      <c r="AZ30" s="1087">
        <v>42704</v>
      </c>
      <c r="BA30" s="1088"/>
      <c r="BB30" s="1088"/>
      <c r="BC30" s="1088"/>
      <c r="BD30" s="1087">
        <v>42810</v>
      </c>
      <c r="BE30" s="1088"/>
      <c r="BF30" s="1088"/>
      <c r="BG30" s="1088"/>
      <c r="BH30" s="1068"/>
      <c r="BI30" s="3"/>
      <c r="BJ30" s="508"/>
      <c r="BK30" s="508"/>
      <c r="BL30" s="1087">
        <v>42810</v>
      </c>
      <c r="BM30" s="1088"/>
      <c r="BN30" s="1088"/>
      <c r="BO30" s="1088"/>
      <c r="BP30" s="1087">
        <v>42824</v>
      </c>
      <c r="BQ30" s="1088"/>
      <c r="BR30" s="1088"/>
      <c r="BS30" s="1088"/>
      <c r="BT30" s="1068"/>
      <c r="BU30" s="3"/>
      <c r="BV30" s="508"/>
      <c r="BW30" s="667"/>
      <c r="BX30" s="1073">
        <v>42635</v>
      </c>
      <c r="BY30" s="1074"/>
      <c r="BZ30" s="1074"/>
      <c r="CA30" s="1074"/>
      <c r="CB30" s="1073">
        <v>42684</v>
      </c>
      <c r="CC30" s="1074"/>
      <c r="CD30" s="1074"/>
      <c r="CE30" s="1074"/>
      <c r="CF30" s="1068"/>
      <c r="CG30" s="6"/>
    </row>
    <row r="31" spans="1:85" ht="6.95" customHeight="1" x14ac:dyDescent="0.2">
      <c r="A31" s="4"/>
      <c r="B31" s="508"/>
      <c r="C31" s="667"/>
      <c r="D31" s="1105"/>
      <c r="E31" s="1112"/>
      <c r="F31" s="1112"/>
      <c r="G31" s="1112"/>
      <c r="H31" s="1112"/>
      <c r="I31" s="1112"/>
      <c r="J31" s="1112"/>
      <c r="K31" s="1112"/>
      <c r="L31" s="1113"/>
      <c r="M31" s="3"/>
      <c r="N31" s="508"/>
      <c r="O31" s="667"/>
      <c r="P31" s="1088"/>
      <c r="Q31" s="1088"/>
      <c r="R31" s="1088"/>
      <c r="S31" s="1088"/>
      <c r="T31" s="1088"/>
      <c r="U31" s="1088"/>
      <c r="V31" s="1088"/>
      <c r="W31" s="1088"/>
      <c r="X31" s="1068"/>
      <c r="Y31" s="3"/>
      <c r="Z31" s="508"/>
      <c r="AA31" s="667"/>
      <c r="AB31" s="1088"/>
      <c r="AC31" s="1088"/>
      <c r="AD31" s="1088"/>
      <c r="AE31" s="1088"/>
      <c r="AF31" s="1088"/>
      <c r="AG31" s="1088"/>
      <c r="AH31" s="1088"/>
      <c r="AI31" s="1088"/>
      <c r="AJ31" s="1068"/>
      <c r="AK31" s="3"/>
      <c r="AL31" s="508"/>
      <c r="AM31" s="667"/>
      <c r="AN31" s="1088"/>
      <c r="AO31" s="1088"/>
      <c r="AP31" s="1088"/>
      <c r="AQ31" s="1088"/>
      <c r="AR31" s="1088"/>
      <c r="AS31" s="1088"/>
      <c r="AT31" s="1088"/>
      <c r="AU31" s="1088"/>
      <c r="AV31" s="1068"/>
      <c r="AW31" s="3"/>
      <c r="AX31" s="508"/>
      <c r="AY31" s="508"/>
      <c r="AZ31" s="1088"/>
      <c r="BA31" s="1088"/>
      <c r="BB31" s="1088"/>
      <c r="BC31" s="1088"/>
      <c r="BD31" s="1088"/>
      <c r="BE31" s="1088"/>
      <c r="BF31" s="1088"/>
      <c r="BG31" s="1088"/>
      <c r="BH31" s="1068"/>
      <c r="BI31" s="3"/>
      <c r="BJ31" s="508"/>
      <c r="BK31" s="508"/>
      <c r="BL31" s="1088"/>
      <c r="BM31" s="1088"/>
      <c r="BN31" s="1088"/>
      <c r="BO31" s="1088"/>
      <c r="BP31" s="1088"/>
      <c r="BQ31" s="1088"/>
      <c r="BR31" s="1088"/>
      <c r="BS31" s="1088"/>
      <c r="BT31" s="1068"/>
      <c r="BU31" s="3"/>
      <c r="BV31" s="508"/>
      <c r="BW31" s="667"/>
      <c r="BX31" s="1074"/>
      <c r="BY31" s="1074"/>
      <c r="BZ31" s="1074"/>
      <c r="CA31" s="1074"/>
      <c r="CB31" s="1074"/>
      <c r="CC31" s="1074"/>
      <c r="CD31" s="1074"/>
      <c r="CE31" s="1074"/>
      <c r="CF31" s="1068"/>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64" t="s">
        <v>1883</v>
      </c>
      <c r="E33" s="1065"/>
      <c r="F33" s="1065"/>
      <c r="G33" s="1065"/>
      <c r="H33" s="1065"/>
      <c r="I33" s="1065"/>
      <c r="J33" s="1065"/>
      <c r="K33" s="1065"/>
      <c r="L33" s="1067" t="s">
        <v>854</v>
      </c>
      <c r="M33" s="3"/>
      <c r="N33" s="508"/>
      <c r="O33" s="667"/>
      <c r="P33" s="1081" t="s">
        <v>2851</v>
      </c>
      <c r="Q33" s="1082"/>
      <c r="R33" s="1082"/>
      <c r="S33" s="1082"/>
      <c r="T33" s="1082"/>
      <c r="U33" s="1082"/>
      <c r="V33" s="1082"/>
      <c r="W33" s="1082"/>
      <c r="X33" s="1067" t="s">
        <v>854</v>
      </c>
      <c r="Y33" s="3"/>
      <c r="Z33" s="508"/>
      <c r="AA33" s="667"/>
      <c r="AB33" s="1081" t="s">
        <v>2918</v>
      </c>
      <c r="AC33" s="1082"/>
      <c r="AD33" s="1082"/>
      <c r="AE33" s="1082"/>
      <c r="AF33" s="1082"/>
      <c r="AG33" s="1082"/>
      <c r="AH33" s="1082"/>
      <c r="AI33" s="1082"/>
      <c r="AJ33" s="1067" t="s">
        <v>854</v>
      </c>
      <c r="AK33" s="3"/>
      <c r="AL33" s="508"/>
      <c r="AM33" s="667"/>
      <c r="AN33" s="1081" t="s">
        <v>2921</v>
      </c>
      <c r="AO33" s="1082"/>
      <c r="AP33" s="1082"/>
      <c r="AQ33" s="1082"/>
      <c r="AR33" s="1082"/>
      <c r="AS33" s="1082"/>
      <c r="AT33" s="1082"/>
      <c r="AU33" s="1082"/>
      <c r="AV33" s="1067"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64" t="s">
        <v>2933</v>
      </c>
      <c r="BY33" s="1065"/>
      <c r="BZ33" s="1065"/>
      <c r="CA33" s="1065"/>
      <c r="CB33" s="1065"/>
      <c r="CC33" s="1065"/>
      <c r="CD33" s="1065"/>
      <c r="CE33" s="1065"/>
      <c r="CF33" s="1067" t="s">
        <v>854</v>
      </c>
      <c r="CG33" s="6"/>
    </row>
    <row r="34" spans="1:85" ht="6.95" customHeight="1" x14ac:dyDescent="0.2">
      <c r="A34" s="4"/>
      <c r="B34" s="508"/>
      <c r="C34" s="667"/>
      <c r="D34" s="1065"/>
      <c r="E34" s="1065"/>
      <c r="F34" s="1065"/>
      <c r="G34" s="1065"/>
      <c r="H34" s="1065"/>
      <c r="I34" s="1065"/>
      <c r="J34" s="1065"/>
      <c r="K34" s="1065"/>
      <c r="L34" s="1068"/>
      <c r="M34" s="3"/>
      <c r="N34" s="508"/>
      <c r="O34" s="667"/>
      <c r="P34" s="1082"/>
      <c r="Q34" s="1082"/>
      <c r="R34" s="1082"/>
      <c r="S34" s="1082"/>
      <c r="T34" s="1082"/>
      <c r="U34" s="1082"/>
      <c r="V34" s="1082"/>
      <c r="W34" s="1082"/>
      <c r="X34" s="1068"/>
      <c r="Y34" s="3"/>
      <c r="Z34" s="508"/>
      <c r="AA34" s="667"/>
      <c r="AB34" s="1082"/>
      <c r="AC34" s="1082"/>
      <c r="AD34" s="1082"/>
      <c r="AE34" s="1082"/>
      <c r="AF34" s="1082"/>
      <c r="AG34" s="1082"/>
      <c r="AH34" s="1082"/>
      <c r="AI34" s="1082"/>
      <c r="AJ34" s="1068"/>
      <c r="AK34" s="3"/>
      <c r="AL34" s="508"/>
      <c r="AM34" s="667"/>
      <c r="AN34" s="1082"/>
      <c r="AO34" s="1082"/>
      <c r="AP34" s="1082"/>
      <c r="AQ34" s="1082"/>
      <c r="AR34" s="1082"/>
      <c r="AS34" s="1082"/>
      <c r="AT34" s="1082"/>
      <c r="AU34" s="1082"/>
      <c r="AV34" s="1068"/>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65"/>
      <c r="BY34" s="1065"/>
      <c r="BZ34" s="1065"/>
      <c r="CA34" s="1065"/>
      <c r="CB34" s="1065"/>
      <c r="CC34" s="1065"/>
      <c r="CD34" s="1065"/>
      <c r="CE34" s="1065"/>
      <c r="CF34" s="1068"/>
      <c r="CG34" s="6"/>
    </row>
    <row r="35" spans="1:85" ht="6.95" customHeight="1" x14ac:dyDescent="0.2">
      <c r="A35" s="4"/>
      <c r="B35" s="508"/>
      <c r="C35" s="667"/>
      <c r="D35" s="1065"/>
      <c r="E35" s="1065"/>
      <c r="F35" s="1065"/>
      <c r="G35" s="1065"/>
      <c r="H35" s="1065"/>
      <c r="I35" s="1065"/>
      <c r="J35" s="1065"/>
      <c r="K35" s="1065"/>
      <c r="L35" s="1068"/>
      <c r="M35" s="3"/>
      <c r="N35" s="508"/>
      <c r="O35" s="667"/>
      <c r="P35" s="1082"/>
      <c r="Q35" s="1082"/>
      <c r="R35" s="1082"/>
      <c r="S35" s="1082"/>
      <c r="T35" s="1082"/>
      <c r="U35" s="1082"/>
      <c r="V35" s="1082"/>
      <c r="W35" s="1082"/>
      <c r="X35" s="1068"/>
      <c r="Y35" s="3"/>
      <c r="Z35" s="508"/>
      <c r="AA35" s="667"/>
      <c r="AB35" s="1082"/>
      <c r="AC35" s="1082"/>
      <c r="AD35" s="1082"/>
      <c r="AE35" s="1082"/>
      <c r="AF35" s="1082"/>
      <c r="AG35" s="1082"/>
      <c r="AH35" s="1082"/>
      <c r="AI35" s="1082"/>
      <c r="AJ35" s="1068"/>
      <c r="AK35" s="3"/>
      <c r="AL35" s="508"/>
      <c r="AM35" s="667"/>
      <c r="AN35" s="1082"/>
      <c r="AO35" s="1082"/>
      <c r="AP35" s="1082"/>
      <c r="AQ35" s="1082"/>
      <c r="AR35" s="1082"/>
      <c r="AS35" s="1082"/>
      <c r="AT35" s="1082"/>
      <c r="AU35" s="1082"/>
      <c r="AV35" s="1068"/>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65"/>
      <c r="BY35" s="1065"/>
      <c r="BZ35" s="1065"/>
      <c r="CA35" s="1065"/>
      <c r="CB35" s="1065"/>
      <c r="CC35" s="1065"/>
      <c r="CD35" s="1065"/>
      <c r="CE35" s="1065"/>
      <c r="CF35" s="1068"/>
      <c r="CG35" s="6"/>
    </row>
    <row r="36" spans="1:85" ht="6.95" customHeight="1" thickBot="1" x14ac:dyDescent="0.25">
      <c r="A36" s="4"/>
      <c r="B36" s="508"/>
      <c r="C36" s="691"/>
      <c r="D36" s="1066"/>
      <c r="E36" s="1065"/>
      <c r="F36" s="1065"/>
      <c r="G36" s="1065"/>
      <c r="H36" s="1065"/>
      <c r="I36" s="1065"/>
      <c r="J36" s="1065"/>
      <c r="K36" s="1065"/>
      <c r="L36" s="1068"/>
      <c r="M36" s="3"/>
      <c r="N36" s="508"/>
      <c r="O36" s="691"/>
      <c r="P36" s="1083"/>
      <c r="Q36" s="1082"/>
      <c r="R36" s="1082"/>
      <c r="S36" s="1082"/>
      <c r="T36" s="1082"/>
      <c r="U36" s="1082"/>
      <c r="V36" s="1082"/>
      <c r="W36" s="1082"/>
      <c r="X36" s="1068"/>
      <c r="Y36" s="3"/>
      <c r="Z36" s="508"/>
      <c r="AA36" s="691"/>
      <c r="AB36" s="1083"/>
      <c r="AC36" s="1082"/>
      <c r="AD36" s="1082"/>
      <c r="AE36" s="1082"/>
      <c r="AF36" s="1082"/>
      <c r="AG36" s="1082"/>
      <c r="AH36" s="1082"/>
      <c r="AI36" s="1082"/>
      <c r="AJ36" s="1068"/>
      <c r="AK36" s="3"/>
      <c r="AL36" s="508"/>
      <c r="AM36" s="691"/>
      <c r="AN36" s="1083"/>
      <c r="AO36" s="1082"/>
      <c r="AP36" s="1082"/>
      <c r="AQ36" s="1082"/>
      <c r="AR36" s="1082"/>
      <c r="AS36" s="1082"/>
      <c r="AT36" s="1082"/>
      <c r="AU36" s="1082"/>
      <c r="AV36" s="1068"/>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66"/>
      <c r="BY36" s="1065"/>
      <c r="BZ36" s="1065"/>
      <c r="CA36" s="1065"/>
      <c r="CB36" s="1065"/>
      <c r="CC36" s="1065"/>
      <c r="CD36" s="1065"/>
      <c r="CE36" s="1065"/>
      <c r="CF36" s="1068"/>
      <c r="CG36" s="6"/>
    </row>
    <row r="37" spans="1:85" ht="6.95" customHeight="1" x14ac:dyDescent="0.2">
      <c r="A37" s="4"/>
      <c r="B37" s="508"/>
      <c r="C37" s="667"/>
      <c r="D37" s="1069" t="s">
        <v>1096</v>
      </c>
      <c r="E37" s="1070"/>
      <c r="F37" s="1070"/>
      <c r="G37" s="1071" t="s">
        <v>2818</v>
      </c>
      <c r="H37" s="1072"/>
      <c r="I37" s="1072"/>
      <c r="J37" s="1072"/>
      <c r="K37" s="1072"/>
      <c r="L37" s="1068"/>
      <c r="M37" s="3"/>
      <c r="N37" s="508"/>
      <c r="O37" s="667"/>
      <c r="P37" s="1084" t="s">
        <v>2079</v>
      </c>
      <c r="Q37" s="1085"/>
      <c r="R37" s="1085"/>
      <c r="S37" s="1086" t="s">
        <v>2818</v>
      </c>
      <c r="T37" s="1082"/>
      <c r="U37" s="1082"/>
      <c r="V37" s="1082"/>
      <c r="W37" s="1082"/>
      <c r="X37" s="1068"/>
      <c r="Y37" s="3"/>
      <c r="Z37" s="508"/>
      <c r="AA37" s="508"/>
      <c r="AB37" s="1084" t="s">
        <v>2853</v>
      </c>
      <c r="AC37" s="1085"/>
      <c r="AD37" s="1085"/>
      <c r="AE37" s="1086" t="s">
        <v>2818</v>
      </c>
      <c r="AF37" s="1082"/>
      <c r="AG37" s="1082"/>
      <c r="AH37" s="1082"/>
      <c r="AI37" s="1082"/>
      <c r="AJ37" s="1068"/>
      <c r="AK37" s="3"/>
      <c r="AL37" s="508"/>
      <c r="AM37" s="667"/>
      <c r="AN37" s="1084" t="s">
        <v>2830</v>
      </c>
      <c r="AO37" s="1085"/>
      <c r="AP37" s="1085"/>
      <c r="AQ37" s="1086" t="s">
        <v>2820</v>
      </c>
      <c r="AR37" s="1082"/>
      <c r="AS37" s="1082"/>
      <c r="AT37" s="1082"/>
      <c r="AU37" s="1082"/>
      <c r="AV37" s="1068"/>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69" t="s">
        <v>2931</v>
      </c>
      <c r="BY37" s="1070"/>
      <c r="BZ37" s="1070"/>
      <c r="CA37" s="1071" t="s">
        <v>2820</v>
      </c>
      <c r="CB37" s="1072"/>
      <c r="CC37" s="1072"/>
      <c r="CD37" s="1072"/>
      <c r="CE37" s="1072"/>
      <c r="CF37" s="1068"/>
      <c r="CG37" s="6"/>
    </row>
    <row r="38" spans="1:85" ht="6.95" customHeight="1" x14ac:dyDescent="0.2">
      <c r="A38" s="4"/>
      <c r="B38" s="508"/>
      <c r="C38" s="667"/>
      <c r="D38" s="1070"/>
      <c r="E38" s="1070"/>
      <c r="F38" s="1070"/>
      <c r="G38" s="1072"/>
      <c r="H38" s="1072"/>
      <c r="I38" s="1072"/>
      <c r="J38" s="1072"/>
      <c r="K38" s="1072"/>
      <c r="L38" s="1068"/>
      <c r="M38" s="3"/>
      <c r="N38" s="508"/>
      <c r="O38" s="667"/>
      <c r="P38" s="1085"/>
      <c r="Q38" s="1085"/>
      <c r="R38" s="1085"/>
      <c r="S38" s="1082"/>
      <c r="T38" s="1082"/>
      <c r="U38" s="1082"/>
      <c r="V38" s="1082"/>
      <c r="W38" s="1082"/>
      <c r="X38" s="1068"/>
      <c r="Y38" s="3"/>
      <c r="Z38" s="508"/>
      <c r="AA38" s="508"/>
      <c r="AB38" s="1085"/>
      <c r="AC38" s="1085"/>
      <c r="AD38" s="1085"/>
      <c r="AE38" s="1082"/>
      <c r="AF38" s="1082"/>
      <c r="AG38" s="1082"/>
      <c r="AH38" s="1082"/>
      <c r="AI38" s="1082"/>
      <c r="AJ38" s="1068"/>
      <c r="AK38" s="3"/>
      <c r="AL38" s="508"/>
      <c r="AM38" s="667"/>
      <c r="AN38" s="1085"/>
      <c r="AO38" s="1085"/>
      <c r="AP38" s="1085"/>
      <c r="AQ38" s="1082"/>
      <c r="AR38" s="1082"/>
      <c r="AS38" s="1082"/>
      <c r="AT38" s="1082"/>
      <c r="AU38" s="1082"/>
      <c r="AV38" s="1068"/>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70"/>
      <c r="BY38" s="1070"/>
      <c r="BZ38" s="1070"/>
      <c r="CA38" s="1072"/>
      <c r="CB38" s="1072"/>
      <c r="CC38" s="1072"/>
      <c r="CD38" s="1072"/>
      <c r="CE38" s="1072"/>
      <c r="CF38" s="1068"/>
      <c r="CG38" s="6"/>
    </row>
    <row r="39" spans="1:85" ht="6.95" customHeight="1" x14ac:dyDescent="0.2">
      <c r="A39" s="4"/>
      <c r="B39" s="508"/>
      <c r="C39" s="667"/>
      <c r="D39" s="1073">
        <v>42635</v>
      </c>
      <c r="E39" s="1074"/>
      <c r="F39" s="1074"/>
      <c r="G39" s="1074"/>
      <c r="H39" s="1073">
        <v>42635</v>
      </c>
      <c r="I39" s="1074"/>
      <c r="J39" s="1074"/>
      <c r="K39" s="1074"/>
      <c r="L39" s="1068"/>
      <c r="M39" s="3"/>
      <c r="N39" s="508"/>
      <c r="O39" s="667"/>
      <c r="P39" s="1087">
        <v>42677</v>
      </c>
      <c r="Q39" s="1088"/>
      <c r="R39" s="1088"/>
      <c r="S39" s="1088"/>
      <c r="T39" s="1087">
        <v>42684</v>
      </c>
      <c r="U39" s="1088"/>
      <c r="V39" s="1088"/>
      <c r="W39" s="1088"/>
      <c r="X39" s="1068"/>
      <c r="Y39" s="3"/>
      <c r="Z39" s="508"/>
      <c r="AA39" s="508"/>
      <c r="AB39" s="1087">
        <v>42795</v>
      </c>
      <c r="AC39" s="1088"/>
      <c r="AD39" s="1088"/>
      <c r="AE39" s="1088"/>
      <c r="AF39" s="1087">
        <v>42810</v>
      </c>
      <c r="AG39" s="1088"/>
      <c r="AH39" s="1088"/>
      <c r="AI39" s="1088"/>
      <c r="AJ39" s="1068"/>
      <c r="AK39" s="3"/>
      <c r="AL39" s="508"/>
      <c r="AM39" s="667"/>
      <c r="AN39" s="1087">
        <v>42704</v>
      </c>
      <c r="AO39" s="1088"/>
      <c r="AP39" s="1088"/>
      <c r="AQ39" s="1088"/>
      <c r="AR39" s="1087">
        <v>42810</v>
      </c>
      <c r="AS39" s="1088"/>
      <c r="AT39" s="1088"/>
      <c r="AU39" s="1088"/>
      <c r="AV39" s="1068"/>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73">
        <v>42635</v>
      </c>
      <c r="BY39" s="1074"/>
      <c r="BZ39" s="1074"/>
      <c r="CA39" s="1074"/>
      <c r="CB39" s="1073">
        <v>42684</v>
      </c>
      <c r="CC39" s="1074"/>
      <c r="CD39" s="1074"/>
      <c r="CE39" s="1074"/>
      <c r="CF39" s="1068"/>
      <c r="CG39" s="6"/>
    </row>
    <row r="40" spans="1:85" ht="6.95" customHeight="1" x14ac:dyDescent="0.2">
      <c r="A40" s="4"/>
      <c r="B40" s="508"/>
      <c r="C40" s="667"/>
      <c r="D40" s="1074"/>
      <c r="E40" s="1074"/>
      <c r="F40" s="1074"/>
      <c r="G40" s="1074"/>
      <c r="H40" s="1074"/>
      <c r="I40" s="1074"/>
      <c r="J40" s="1074"/>
      <c r="K40" s="1074"/>
      <c r="L40" s="1068"/>
      <c r="M40" s="3"/>
      <c r="N40" s="508"/>
      <c r="O40" s="667"/>
      <c r="P40" s="1088"/>
      <c r="Q40" s="1088"/>
      <c r="R40" s="1088"/>
      <c r="S40" s="1088"/>
      <c r="T40" s="1088"/>
      <c r="U40" s="1088"/>
      <c r="V40" s="1088"/>
      <c r="W40" s="1088"/>
      <c r="X40" s="1068"/>
      <c r="Y40" s="3"/>
      <c r="Z40" s="508"/>
      <c r="AA40" s="508"/>
      <c r="AB40" s="1088"/>
      <c r="AC40" s="1088"/>
      <c r="AD40" s="1088"/>
      <c r="AE40" s="1088"/>
      <c r="AF40" s="1088"/>
      <c r="AG40" s="1088"/>
      <c r="AH40" s="1088"/>
      <c r="AI40" s="1088"/>
      <c r="AJ40" s="1068"/>
      <c r="AK40" s="3"/>
      <c r="AL40" s="508"/>
      <c r="AM40" s="667"/>
      <c r="AN40" s="1088"/>
      <c r="AO40" s="1088"/>
      <c r="AP40" s="1088"/>
      <c r="AQ40" s="1088"/>
      <c r="AR40" s="1088"/>
      <c r="AS40" s="1088"/>
      <c r="AT40" s="1088"/>
      <c r="AU40" s="1088"/>
      <c r="AV40" s="1068"/>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74"/>
      <c r="BY40" s="1074"/>
      <c r="BZ40" s="1074"/>
      <c r="CA40" s="1074"/>
      <c r="CB40" s="1074"/>
      <c r="CC40" s="1074"/>
      <c r="CD40" s="1074"/>
      <c r="CE40" s="1074"/>
      <c r="CF40" s="1068"/>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81" t="s">
        <v>2802</v>
      </c>
      <c r="E42" s="1082"/>
      <c r="F42" s="1082"/>
      <c r="G42" s="1082"/>
      <c r="H42" s="1082"/>
      <c r="I42" s="1082"/>
      <c r="J42" s="1082"/>
      <c r="K42" s="1082"/>
      <c r="L42" s="1067" t="s">
        <v>854</v>
      </c>
      <c r="M42" s="3"/>
      <c r="N42" s="508"/>
      <c r="O42" s="667"/>
      <c r="P42" s="1081" t="s">
        <v>2834</v>
      </c>
      <c r="Q42" s="1082"/>
      <c r="R42" s="1082"/>
      <c r="S42" s="1082"/>
      <c r="T42" s="1082"/>
      <c r="U42" s="1082"/>
      <c r="V42" s="1082"/>
      <c r="W42" s="1082"/>
      <c r="X42" s="1067" t="s">
        <v>854</v>
      </c>
      <c r="Y42" s="3"/>
      <c r="Z42" s="3"/>
      <c r="AA42" s="3"/>
      <c r="AB42" s="3"/>
      <c r="AC42" s="3"/>
      <c r="AD42" s="3"/>
      <c r="AE42" s="3"/>
      <c r="AF42" s="3"/>
      <c r="AG42" s="3"/>
      <c r="AH42" s="3"/>
      <c r="AI42" s="3"/>
      <c r="AJ42" s="3"/>
      <c r="AK42" s="3"/>
      <c r="AL42" s="508"/>
      <c r="AM42" s="667"/>
      <c r="AN42" s="1081" t="s">
        <v>2922</v>
      </c>
      <c r="AO42" s="1082"/>
      <c r="AP42" s="1082"/>
      <c r="AQ42" s="1082"/>
      <c r="AR42" s="1082"/>
      <c r="AS42" s="1082"/>
      <c r="AT42" s="1082"/>
      <c r="AU42" s="1082"/>
      <c r="AV42" s="1067"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82"/>
      <c r="E43" s="1082"/>
      <c r="F43" s="1082"/>
      <c r="G43" s="1082"/>
      <c r="H43" s="1082"/>
      <c r="I43" s="1082"/>
      <c r="J43" s="1082"/>
      <c r="K43" s="1082"/>
      <c r="L43" s="1068"/>
      <c r="M43" s="3"/>
      <c r="N43" s="508"/>
      <c r="O43" s="667"/>
      <c r="P43" s="1082"/>
      <c r="Q43" s="1082"/>
      <c r="R43" s="1082"/>
      <c r="S43" s="1082"/>
      <c r="T43" s="1082"/>
      <c r="U43" s="1082"/>
      <c r="V43" s="1082"/>
      <c r="W43" s="1082"/>
      <c r="X43" s="1068"/>
      <c r="Y43" s="3"/>
      <c r="Z43" s="3"/>
      <c r="AA43" s="3"/>
      <c r="AB43" s="3"/>
      <c r="AC43" s="3"/>
      <c r="AD43" s="3"/>
      <c r="AE43" s="3"/>
      <c r="AF43" s="3"/>
      <c r="AG43" s="3"/>
      <c r="AH43" s="3"/>
      <c r="AI43" s="3"/>
      <c r="AJ43" s="3"/>
      <c r="AK43" s="3"/>
      <c r="AL43" s="508"/>
      <c r="AM43" s="667"/>
      <c r="AN43" s="1082"/>
      <c r="AO43" s="1082"/>
      <c r="AP43" s="1082"/>
      <c r="AQ43" s="1082"/>
      <c r="AR43" s="1082"/>
      <c r="AS43" s="1082"/>
      <c r="AT43" s="1082"/>
      <c r="AU43" s="1082"/>
      <c r="AV43" s="1068"/>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82"/>
      <c r="E44" s="1082"/>
      <c r="F44" s="1082"/>
      <c r="G44" s="1082"/>
      <c r="H44" s="1082"/>
      <c r="I44" s="1082"/>
      <c r="J44" s="1082"/>
      <c r="K44" s="1082"/>
      <c r="L44" s="1068"/>
      <c r="M44" s="3"/>
      <c r="N44" s="508"/>
      <c r="O44" s="667"/>
      <c r="P44" s="1082"/>
      <c r="Q44" s="1082"/>
      <c r="R44" s="1082"/>
      <c r="S44" s="1082"/>
      <c r="T44" s="1082"/>
      <c r="U44" s="1082"/>
      <c r="V44" s="1082"/>
      <c r="W44" s="1082"/>
      <c r="X44" s="1068"/>
      <c r="Y44" s="3"/>
      <c r="Z44" s="3"/>
      <c r="AA44" s="3"/>
      <c r="AB44" s="3"/>
      <c r="AC44" s="3"/>
      <c r="AD44" s="3"/>
      <c r="AE44" s="3"/>
      <c r="AF44" s="3"/>
      <c r="AG44" s="3"/>
      <c r="AH44" s="3"/>
      <c r="AI44" s="3"/>
      <c r="AJ44" s="3"/>
      <c r="AK44" s="3"/>
      <c r="AL44" s="508"/>
      <c r="AM44" s="667"/>
      <c r="AN44" s="1082"/>
      <c r="AO44" s="1082"/>
      <c r="AP44" s="1082"/>
      <c r="AQ44" s="1082"/>
      <c r="AR44" s="1082"/>
      <c r="AS44" s="1082"/>
      <c r="AT44" s="1082"/>
      <c r="AU44" s="1082"/>
      <c r="AV44" s="1068"/>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83"/>
      <c r="E45" s="1082"/>
      <c r="F45" s="1082"/>
      <c r="G45" s="1082"/>
      <c r="H45" s="1082"/>
      <c r="I45" s="1082"/>
      <c r="J45" s="1082"/>
      <c r="K45" s="1082"/>
      <c r="L45" s="1068"/>
      <c r="M45" s="3"/>
      <c r="N45" s="508"/>
      <c r="O45" s="691"/>
      <c r="P45" s="1083"/>
      <c r="Q45" s="1082"/>
      <c r="R45" s="1082"/>
      <c r="S45" s="1082"/>
      <c r="T45" s="1082"/>
      <c r="U45" s="1082"/>
      <c r="V45" s="1082"/>
      <c r="W45" s="1082"/>
      <c r="X45" s="1068"/>
      <c r="Y45" s="3"/>
      <c r="Z45" s="3"/>
      <c r="AA45" s="3"/>
      <c r="AB45" s="3"/>
      <c r="AC45" s="3"/>
      <c r="AD45" s="3"/>
      <c r="AE45" s="3"/>
      <c r="AF45" s="3"/>
      <c r="AG45" s="3"/>
      <c r="AH45" s="3"/>
      <c r="AI45" s="3"/>
      <c r="AJ45" s="3"/>
      <c r="AK45" s="3"/>
      <c r="AL45" s="508"/>
      <c r="AM45" s="691"/>
      <c r="AN45" s="1083"/>
      <c r="AO45" s="1082"/>
      <c r="AP45" s="1082"/>
      <c r="AQ45" s="1082"/>
      <c r="AR45" s="1082"/>
      <c r="AS45" s="1082"/>
      <c r="AT45" s="1082"/>
      <c r="AU45" s="1082"/>
      <c r="AV45" s="1068"/>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84" t="s">
        <v>1097</v>
      </c>
      <c r="E46" s="1085"/>
      <c r="F46" s="1085"/>
      <c r="G46" s="1086" t="s">
        <v>2818</v>
      </c>
      <c r="H46" s="1082"/>
      <c r="I46" s="1082"/>
      <c r="J46" s="1082"/>
      <c r="K46" s="1082"/>
      <c r="L46" s="1068"/>
      <c r="M46" s="3"/>
      <c r="N46" s="508"/>
      <c r="O46" s="667"/>
      <c r="P46" s="1084" t="s">
        <v>2080</v>
      </c>
      <c r="Q46" s="1085"/>
      <c r="R46" s="1085"/>
      <c r="S46" s="1086" t="s">
        <v>2818</v>
      </c>
      <c r="T46" s="1082"/>
      <c r="U46" s="1082"/>
      <c r="V46" s="1082"/>
      <c r="W46" s="1082"/>
      <c r="X46" s="1068"/>
      <c r="Y46" s="3"/>
      <c r="Z46" s="3"/>
      <c r="AA46" s="3"/>
      <c r="AB46" s="3"/>
      <c r="AC46" s="3"/>
      <c r="AD46" s="3"/>
      <c r="AE46" s="3"/>
      <c r="AF46" s="3"/>
      <c r="AG46" s="3"/>
      <c r="AH46" s="3"/>
      <c r="AI46" s="3"/>
      <c r="AJ46" s="3"/>
      <c r="AK46" s="3"/>
      <c r="AL46" s="508"/>
      <c r="AM46" s="508"/>
      <c r="AN46" s="1084" t="s">
        <v>2854</v>
      </c>
      <c r="AO46" s="1085"/>
      <c r="AP46" s="1085"/>
      <c r="AQ46" s="1086" t="s">
        <v>2820</v>
      </c>
      <c r="AR46" s="1082"/>
      <c r="AS46" s="1082"/>
      <c r="AT46" s="1082"/>
      <c r="AU46" s="1082"/>
      <c r="AV46" s="1068"/>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85"/>
      <c r="E47" s="1085"/>
      <c r="F47" s="1085"/>
      <c r="G47" s="1082"/>
      <c r="H47" s="1082"/>
      <c r="I47" s="1082"/>
      <c r="J47" s="1082"/>
      <c r="K47" s="1082"/>
      <c r="L47" s="1068"/>
      <c r="M47" s="3"/>
      <c r="N47" s="508"/>
      <c r="O47" s="667"/>
      <c r="P47" s="1085"/>
      <c r="Q47" s="1085"/>
      <c r="R47" s="1085"/>
      <c r="S47" s="1082"/>
      <c r="T47" s="1082"/>
      <c r="U47" s="1082"/>
      <c r="V47" s="1082"/>
      <c r="W47" s="1082"/>
      <c r="X47" s="1068"/>
      <c r="Y47" s="3"/>
      <c r="Z47" s="3"/>
      <c r="AA47" s="3"/>
      <c r="AB47" s="3"/>
      <c r="AC47" s="3"/>
      <c r="AD47" s="3"/>
      <c r="AE47" s="3"/>
      <c r="AF47" s="3"/>
      <c r="AG47" s="3"/>
      <c r="AH47" s="3"/>
      <c r="AI47" s="3"/>
      <c r="AJ47" s="3"/>
      <c r="AK47" s="3"/>
      <c r="AL47" s="508"/>
      <c r="AM47" s="508"/>
      <c r="AN47" s="1085"/>
      <c r="AO47" s="1085"/>
      <c r="AP47" s="1085"/>
      <c r="AQ47" s="1082"/>
      <c r="AR47" s="1082"/>
      <c r="AS47" s="1082"/>
      <c r="AT47" s="1082"/>
      <c r="AU47" s="1082"/>
      <c r="AV47" s="1068"/>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87">
        <v>42635</v>
      </c>
      <c r="E48" s="1088"/>
      <c r="F48" s="1088"/>
      <c r="G48" s="1088"/>
      <c r="H48" s="1087">
        <v>42831</v>
      </c>
      <c r="I48" s="1088"/>
      <c r="J48" s="1088"/>
      <c r="K48" s="1088"/>
      <c r="L48" s="1068"/>
      <c r="M48" s="3"/>
      <c r="N48" s="508"/>
      <c r="O48" s="667"/>
      <c r="P48" s="1087">
        <v>42704</v>
      </c>
      <c r="Q48" s="1088"/>
      <c r="R48" s="1088"/>
      <c r="S48" s="1088"/>
      <c r="T48" s="1087">
        <v>42705</v>
      </c>
      <c r="U48" s="1088"/>
      <c r="V48" s="1088"/>
      <c r="W48" s="1088"/>
      <c r="X48" s="1068"/>
      <c r="Y48" s="3"/>
      <c r="Z48" s="3"/>
      <c r="AA48" s="3"/>
      <c r="AB48" s="3"/>
      <c r="AC48" s="3"/>
      <c r="AD48" s="3"/>
      <c r="AE48" s="3"/>
      <c r="AF48" s="3"/>
      <c r="AG48" s="3"/>
      <c r="AH48" s="3"/>
      <c r="AI48" s="3"/>
      <c r="AJ48" s="3"/>
      <c r="AK48" s="3"/>
      <c r="AL48" s="508"/>
      <c r="AM48" s="508"/>
      <c r="AN48" s="1087">
        <v>42753</v>
      </c>
      <c r="AO48" s="1088"/>
      <c r="AP48" s="1088"/>
      <c r="AQ48" s="1088"/>
      <c r="AR48" s="1087">
        <v>42810</v>
      </c>
      <c r="AS48" s="1088"/>
      <c r="AT48" s="1088"/>
      <c r="AU48" s="1088"/>
      <c r="AV48" s="1068"/>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88"/>
      <c r="E49" s="1088"/>
      <c r="F49" s="1088"/>
      <c r="G49" s="1088"/>
      <c r="H49" s="1088"/>
      <c r="I49" s="1088"/>
      <c r="J49" s="1088"/>
      <c r="K49" s="1088"/>
      <c r="L49" s="1068"/>
      <c r="M49" s="3"/>
      <c r="N49" s="508"/>
      <c r="O49" s="667"/>
      <c r="P49" s="1088"/>
      <c r="Q49" s="1088"/>
      <c r="R49" s="1088"/>
      <c r="S49" s="1088"/>
      <c r="T49" s="1088"/>
      <c r="U49" s="1088"/>
      <c r="V49" s="1088"/>
      <c r="W49" s="1088"/>
      <c r="X49" s="1068"/>
      <c r="Y49" s="3"/>
      <c r="Z49" s="3"/>
      <c r="AA49" s="3"/>
      <c r="AB49" s="3"/>
      <c r="AC49" s="3"/>
      <c r="AD49" s="3"/>
      <c r="AE49" s="3"/>
      <c r="AF49" s="3"/>
      <c r="AG49" s="3"/>
      <c r="AH49" s="3"/>
      <c r="AI49" s="3"/>
      <c r="AJ49" s="3"/>
      <c r="AK49" s="3"/>
      <c r="AL49" s="508"/>
      <c r="AM49" s="508"/>
      <c r="AN49" s="1088"/>
      <c r="AO49" s="1088"/>
      <c r="AP49" s="1088"/>
      <c r="AQ49" s="1088"/>
      <c r="AR49" s="1088"/>
      <c r="AS49" s="1088"/>
      <c r="AT49" s="1088"/>
      <c r="AU49" s="1088"/>
      <c r="AV49" s="1068"/>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81" t="s">
        <v>1094</v>
      </c>
      <c r="E51" s="1082"/>
      <c r="F51" s="1082"/>
      <c r="G51" s="1082"/>
      <c r="H51" s="1082"/>
      <c r="I51" s="1082"/>
      <c r="J51" s="1082"/>
      <c r="K51" s="1082"/>
      <c r="L51" s="1067" t="s">
        <v>854</v>
      </c>
      <c r="M51" s="3"/>
      <c r="N51" s="508"/>
      <c r="O51" s="667"/>
      <c r="P51" s="1081" t="s">
        <v>2835</v>
      </c>
      <c r="Q51" s="1082"/>
      <c r="R51" s="1082"/>
      <c r="S51" s="1082"/>
      <c r="T51" s="1082"/>
      <c r="U51" s="1082"/>
      <c r="V51" s="1082"/>
      <c r="W51" s="1082"/>
      <c r="X51" s="1067"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82"/>
      <c r="E52" s="1082"/>
      <c r="F52" s="1082"/>
      <c r="G52" s="1082"/>
      <c r="H52" s="1082"/>
      <c r="I52" s="1082"/>
      <c r="J52" s="1082"/>
      <c r="K52" s="1082"/>
      <c r="L52" s="1068"/>
      <c r="M52" s="3"/>
      <c r="N52" s="508"/>
      <c r="O52" s="667"/>
      <c r="P52" s="1082"/>
      <c r="Q52" s="1082"/>
      <c r="R52" s="1082"/>
      <c r="S52" s="1082"/>
      <c r="T52" s="1082"/>
      <c r="U52" s="1082"/>
      <c r="V52" s="1082"/>
      <c r="W52" s="1082"/>
      <c r="X52" s="1068"/>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82"/>
      <c r="E53" s="1082"/>
      <c r="F53" s="1082"/>
      <c r="G53" s="1082"/>
      <c r="H53" s="1082"/>
      <c r="I53" s="1082"/>
      <c r="J53" s="1082"/>
      <c r="K53" s="1082"/>
      <c r="L53" s="1068"/>
      <c r="M53" s="3"/>
      <c r="N53" s="508"/>
      <c r="O53" s="667"/>
      <c r="P53" s="1082"/>
      <c r="Q53" s="1082"/>
      <c r="R53" s="1082"/>
      <c r="S53" s="1082"/>
      <c r="T53" s="1082"/>
      <c r="U53" s="1082"/>
      <c r="V53" s="1082"/>
      <c r="W53" s="1082"/>
      <c r="X53" s="1068"/>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83"/>
      <c r="E54" s="1082"/>
      <c r="F54" s="1082"/>
      <c r="G54" s="1082"/>
      <c r="H54" s="1082"/>
      <c r="I54" s="1082"/>
      <c r="J54" s="1082"/>
      <c r="K54" s="1082"/>
      <c r="L54" s="1068"/>
      <c r="M54" s="3"/>
      <c r="N54" s="508"/>
      <c r="O54" s="691"/>
      <c r="P54" s="1083"/>
      <c r="Q54" s="1082"/>
      <c r="R54" s="1082"/>
      <c r="S54" s="1082"/>
      <c r="T54" s="1082"/>
      <c r="U54" s="1082"/>
      <c r="V54" s="1082"/>
      <c r="W54" s="1082"/>
      <c r="X54" s="1068"/>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84" t="s">
        <v>2799</v>
      </c>
      <c r="E55" s="1085"/>
      <c r="F55" s="1085"/>
      <c r="G55" s="1086" t="s">
        <v>2818</v>
      </c>
      <c r="H55" s="1082"/>
      <c r="I55" s="1082"/>
      <c r="J55" s="1082"/>
      <c r="K55" s="1082"/>
      <c r="L55" s="1068"/>
      <c r="M55" s="3"/>
      <c r="N55" s="508"/>
      <c r="O55" s="667"/>
      <c r="P55" s="1084" t="s">
        <v>2822</v>
      </c>
      <c r="Q55" s="1085"/>
      <c r="R55" s="1085"/>
      <c r="S55" s="1086" t="s">
        <v>2818</v>
      </c>
      <c r="T55" s="1082"/>
      <c r="U55" s="1082"/>
      <c r="V55" s="1082"/>
      <c r="W55" s="1082"/>
      <c r="X55" s="1068"/>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85"/>
      <c r="E56" s="1085"/>
      <c r="F56" s="1085"/>
      <c r="G56" s="1082"/>
      <c r="H56" s="1082"/>
      <c r="I56" s="1082"/>
      <c r="J56" s="1082"/>
      <c r="K56" s="1082"/>
      <c r="L56" s="1068"/>
      <c r="M56" s="3"/>
      <c r="N56" s="508"/>
      <c r="O56" s="667"/>
      <c r="P56" s="1085"/>
      <c r="Q56" s="1085"/>
      <c r="R56" s="1085"/>
      <c r="S56" s="1082"/>
      <c r="T56" s="1082"/>
      <c r="U56" s="1082"/>
      <c r="V56" s="1082"/>
      <c r="W56" s="1082"/>
      <c r="X56" s="1068"/>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87">
        <v>42635</v>
      </c>
      <c r="E57" s="1088"/>
      <c r="F57" s="1088"/>
      <c r="G57" s="1088"/>
      <c r="H57" s="1087">
        <v>42831</v>
      </c>
      <c r="I57" s="1088"/>
      <c r="J57" s="1088"/>
      <c r="K57" s="1088"/>
      <c r="L57" s="1068"/>
      <c r="M57" s="3"/>
      <c r="N57" s="508"/>
      <c r="O57" s="667"/>
      <c r="P57" s="1087">
        <v>42663</v>
      </c>
      <c r="Q57" s="1088"/>
      <c r="R57" s="1088"/>
      <c r="S57" s="1088"/>
      <c r="T57" s="1087">
        <v>42684</v>
      </c>
      <c r="U57" s="1088"/>
      <c r="V57" s="1088"/>
      <c r="W57" s="1088"/>
      <c r="X57" s="1068"/>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88"/>
      <c r="E58" s="1088"/>
      <c r="F58" s="1088"/>
      <c r="G58" s="1088"/>
      <c r="H58" s="1088"/>
      <c r="I58" s="1088"/>
      <c r="J58" s="1088"/>
      <c r="K58" s="1088"/>
      <c r="L58" s="1068"/>
      <c r="M58" s="3"/>
      <c r="N58" s="508"/>
      <c r="O58" s="667"/>
      <c r="P58" s="1088"/>
      <c r="Q58" s="1088"/>
      <c r="R58" s="1088"/>
      <c r="S58" s="1088"/>
      <c r="T58" s="1088"/>
      <c r="U58" s="1088"/>
      <c r="V58" s="1088"/>
      <c r="W58" s="1088"/>
      <c r="X58" s="1068"/>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81" t="s">
        <v>874</v>
      </c>
      <c r="E60" s="1082"/>
      <c r="F60" s="1082"/>
      <c r="G60" s="1082"/>
      <c r="H60" s="1082"/>
      <c r="I60" s="1082"/>
      <c r="J60" s="1082"/>
      <c r="K60" s="1082"/>
      <c r="L60" s="1067" t="s">
        <v>854</v>
      </c>
      <c r="M60" s="3"/>
      <c r="N60" s="508"/>
      <c r="O60" s="667"/>
      <c r="P60" s="1081" t="s">
        <v>2908</v>
      </c>
      <c r="Q60" s="1082"/>
      <c r="R60" s="1082"/>
      <c r="S60" s="1082"/>
      <c r="T60" s="1082"/>
      <c r="U60" s="1082"/>
      <c r="V60" s="1082"/>
      <c r="W60" s="1082"/>
      <c r="X60" s="1067"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82"/>
      <c r="E61" s="1082"/>
      <c r="F61" s="1082"/>
      <c r="G61" s="1082"/>
      <c r="H61" s="1082"/>
      <c r="I61" s="1082"/>
      <c r="J61" s="1082"/>
      <c r="K61" s="1082"/>
      <c r="L61" s="1068"/>
      <c r="M61" s="3"/>
      <c r="N61" s="508"/>
      <c r="O61" s="667"/>
      <c r="P61" s="1082"/>
      <c r="Q61" s="1082"/>
      <c r="R61" s="1082"/>
      <c r="S61" s="1082"/>
      <c r="T61" s="1082"/>
      <c r="U61" s="1082"/>
      <c r="V61" s="1082"/>
      <c r="W61" s="1082"/>
      <c r="X61" s="1068"/>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82"/>
      <c r="E62" s="1082"/>
      <c r="F62" s="1082"/>
      <c r="G62" s="1082"/>
      <c r="H62" s="1082"/>
      <c r="I62" s="1082"/>
      <c r="J62" s="1082"/>
      <c r="K62" s="1082"/>
      <c r="L62" s="1068"/>
      <c r="M62" s="3"/>
      <c r="N62" s="508"/>
      <c r="O62" s="667"/>
      <c r="P62" s="1082"/>
      <c r="Q62" s="1082"/>
      <c r="R62" s="1082"/>
      <c r="S62" s="1082"/>
      <c r="T62" s="1082"/>
      <c r="U62" s="1082"/>
      <c r="V62" s="1082"/>
      <c r="W62" s="1082"/>
      <c r="X62" s="1068"/>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83"/>
      <c r="E63" s="1082"/>
      <c r="F63" s="1082"/>
      <c r="G63" s="1082"/>
      <c r="H63" s="1082"/>
      <c r="I63" s="1082"/>
      <c r="J63" s="1082"/>
      <c r="K63" s="1082"/>
      <c r="L63" s="1068"/>
      <c r="M63" s="3"/>
      <c r="N63" s="508"/>
      <c r="O63" s="691"/>
      <c r="P63" s="1083"/>
      <c r="Q63" s="1082"/>
      <c r="R63" s="1082"/>
      <c r="S63" s="1082"/>
      <c r="T63" s="1082"/>
      <c r="U63" s="1082"/>
      <c r="V63" s="1082"/>
      <c r="W63" s="1082"/>
      <c r="X63" s="1068"/>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84" t="s">
        <v>2800</v>
      </c>
      <c r="E64" s="1085"/>
      <c r="F64" s="1085"/>
      <c r="G64" s="1086" t="s">
        <v>2818</v>
      </c>
      <c r="H64" s="1082"/>
      <c r="I64" s="1082"/>
      <c r="J64" s="1082"/>
      <c r="K64" s="1082"/>
      <c r="L64" s="1068"/>
      <c r="M64" s="3"/>
      <c r="N64" s="508"/>
      <c r="O64" s="667"/>
      <c r="P64" s="1084" t="s">
        <v>2823</v>
      </c>
      <c r="Q64" s="1085"/>
      <c r="R64" s="1085"/>
      <c r="S64" s="1086" t="s">
        <v>2818</v>
      </c>
      <c r="T64" s="1082"/>
      <c r="U64" s="1082"/>
      <c r="V64" s="1082"/>
      <c r="W64" s="1082"/>
      <c r="X64" s="1068"/>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85"/>
      <c r="E65" s="1085"/>
      <c r="F65" s="1085"/>
      <c r="G65" s="1082"/>
      <c r="H65" s="1082"/>
      <c r="I65" s="1082"/>
      <c r="J65" s="1082"/>
      <c r="K65" s="1082"/>
      <c r="L65" s="1068"/>
      <c r="M65" s="3"/>
      <c r="N65" s="508"/>
      <c r="O65" s="667"/>
      <c r="P65" s="1085"/>
      <c r="Q65" s="1085"/>
      <c r="R65" s="1085"/>
      <c r="S65" s="1082"/>
      <c r="T65" s="1082"/>
      <c r="U65" s="1082"/>
      <c r="V65" s="1082"/>
      <c r="W65" s="1082"/>
      <c r="X65" s="1068"/>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87">
        <v>42824</v>
      </c>
      <c r="E66" s="1088"/>
      <c r="F66" s="1088"/>
      <c r="G66" s="1088"/>
      <c r="H66" s="1087">
        <v>42831</v>
      </c>
      <c r="I66" s="1088"/>
      <c r="J66" s="1088"/>
      <c r="K66" s="1088"/>
      <c r="L66" s="1068"/>
      <c r="M66" s="3"/>
      <c r="N66" s="508"/>
      <c r="O66" s="667"/>
      <c r="P66" s="1087">
        <v>42711</v>
      </c>
      <c r="Q66" s="1088"/>
      <c r="R66" s="1088"/>
      <c r="S66" s="1088"/>
      <c r="T66" s="1087">
        <v>42726</v>
      </c>
      <c r="U66" s="1088"/>
      <c r="V66" s="1088"/>
      <c r="W66" s="1088"/>
      <c r="X66" s="1068"/>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88"/>
      <c r="E67" s="1088"/>
      <c r="F67" s="1088"/>
      <c r="G67" s="1088"/>
      <c r="H67" s="1088"/>
      <c r="I67" s="1088"/>
      <c r="J67" s="1088"/>
      <c r="K67" s="1088"/>
      <c r="L67" s="1068"/>
      <c r="M67" s="3"/>
      <c r="N67" s="508"/>
      <c r="O67" s="667"/>
      <c r="P67" s="1088"/>
      <c r="Q67" s="1088"/>
      <c r="R67" s="1088"/>
      <c r="S67" s="1088"/>
      <c r="T67" s="1088"/>
      <c r="U67" s="1088"/>
      <c r="V67" s="1088"/>
      <c r="W67" s="1088"/>
      <c r="X67" s="1068"/>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114" t="s">
        <v>2801</v>
      </c>
      <c r="E69" s="1116" t="s">
        <v>1041</v>
      </c>
      <c r="F69" s="1112"/>
      <c r="G69" s="1112"/>
      <c r="H69" s="1112"/>
      <c r="I69" s="1112"/>
      <c r="J69" s="1112"/>
      <c r="K69" s="1112"/>
      <c r="L69" s="1117" t="str">
        <f>nlc_Language(Language!$E$3,"to be done")</f>
        <v>offen</v>
      </c>
      <c r="M69" s="3"/>
      <c r="N69" s="508"/>
      <c r="O69" s="667"/>
      <c r="P69" s="1081" t="s">
        <v>2831</v>
      </c>
      <c r="Q69" s="1082"/>
      <c r="R69" s="1082"/>
      <c r="S69" s="1082"/>
      <c r="T69" s="1082"/>
      <c r="U69" s="1082"/>
      <c r="V69" s="1082"/>
      <c r="W69" s="1082"/>
      <c r="X69" s="1067"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114"/>
      <c r="E70" s="1112"/>
      <c r="F70" s="1112"/>
      <c r="G70" s="1112"/>
      <c r="H70" s="1112"/>
      <c r="I70" s="1112"/>
      <c r="J70" s="1112"/>
      <c r="K70" s="1112"/>
      <c r="L70" s="1117"/>
      <c r="M70" s="3"/>
      <c r="N70" s="508"/>
      <c r="O70" s="667"/>
      <c r="P70" s="1082"/>
      <c r="Q70" s="1082"/>
      <c r="R70" s="1082"/>
      <c r="S70" s="1082"/>
      <c r="T70" s="1082"/>
      <c r="U70" s="1082"/>
      <c r="V70" s="1082"/>
      <c r="W70" s="1082"/>
      <c r="X70" s="1068"/>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114"/>
      <c r="E71" s="1112"/>
      <c r="F71" s="1112"/>
      <c r="G71" s="1112"/>
      <c r="H71" s="1112"/>
      <c r="I71" s="1112"/>
      <c r="J71" s="1112"/>
      <c r="K71" s="1112"/>
      <c r="L71" s="1117"/>
      <c r="M71" s="3"/>
      <c r="N71" s="508"/>
      <c r="O71" s="667"/>
      <c r="P71" s="1082"/>
      <c r="Q71" s="1082"/>
      <c r="R71" s="1082"/>
      <c r="S71" s="1082"/>
      <c r="T71" s="1082"/>
      <c r="U71" s="1082"/>
      <c r="V71" s="1082"/>
      <c r="W71" s="1082"/>
      <c r="X71" s="1068"/>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115"/>
      <c r="E72" s="1112"/>
      <c r="F72" s="1112"/>
      <c r="G72" s="1112"/>
      <c r="H72" s="1112"/>
      <c r="I72" s="1112"/>
      <c r="J72" s="1112"/>
      <c r="K72" s="1112"/>
      <c r="L72" s="1117"/>
      <c r="M72" s="3"/>
      <c r="N72" s="508"/>
      <c r="O72" s="691"/>
      <c r="P72" s="1083"/>
      <c r="Q72" s="1082"/>
      <c r="R72" s="1082"/>
      <c r="S72" s="1082"/>
      <c r="T72" s="1082"/>
      <c r="U72" s="1082"/>
      <c r="V72" s="1082"/>
      <c r="W72" s="1082"/>
      <c r="X72" s="1068"/>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114"/>
      <c r="E73" s="1109">
        <v>42831</v>
      </c>
      <c r="F73" s="1110"/>
      <c r="G73" s="1110"/>
      <c r="H73" s="1110"/>
      <c r="I73" s="1110"/>
      <c r="J73" s="1110"/>
      <c r="K73" s="1110"/>
      <c r="L73" s="1117"/>
      <c r="M73" s="3"/>
      <c r="N73" s="508"/>
      <c r="O73" s="667"/>
      <c r="P73" s="1084" t="s">
        <v>2824</v>
      </c>
      <c r="Q73" s="1085"/>
      <c r="R73" s="1085"/>
      <c r="S73" s="1086" t="s">
        <v>2818</v>
      </c>
      <c r="T73" s="1082"/>
      <c r="U73" s="1082"/>
      <c r="V73" s="1082"/>
      <c r="W73" s="1082"/>
      <c r="X73" s="1068"/>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114"/>
      <c r="E74" s="1110"/>
      <c r="F74" s="1110"/>
      <c r="G74" s="1110"/>
      <c r="H74" s="1110"/>
      <c r="I74" s="1110"/>
      <c r="J74" s="1110"/>
      <c r="K74" s="1110"/>
      <c r="L74" s="1117"/>
      <c r="M74" s="3"/>
      <c r="N74" s="508"/>
      <c r="O74" s="667"/>
      <c r="P74" s="1085"/>
      <c r="Q74" s="1085"/>
      <c r="R74" s="1085"/>
      <c r="S74" s="1082"/>
      <c r="T74" s="1082"/>
      <c r="U74" s="1082"/>
      <c r="V74" s="1082"/>
      <c r="W74" s="1082"/>
      <c r="X74" s="1068"/>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114"/>
      <c r="E75" s="1111">
        <v>42831</v>
      </c>
      <c r="F75" s="1112"/>
      <c r="G75" s="1112"/>
      <c r="H75" s="1112"/>
      <c r="I75" s="1112"/>
      <c r="J75" s="1112"/>
      <c r="K75" s="1112"/>
      <c r="L75" s="1117"/>
      <c r="M75" s="3"/>
      <c r="N75" s="508"/>
      <c r="O75" s="667"/>
      <c r="P75" s="1087">
        <v>42725</v>
      </c>
      <c r="Q75" s="1088"/>
      <c r="R75" s="1088"/>
      <c r="S75" s="1088"/>
      <c r="T75" s="1087">
        <v>42761</v>
      </c>
      <c r="U75" s="1088"/>
      <c r="V75" s="1088"/>
      <c r="W75" s="1088"/>
      <c r="X75" s="1068"/>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114"/>
      <c r="E76" s="1112"/>
      <c r="F76" s="1112"/>
      <c r="G76" s="1112"/>
      <c r="H76" s="1112"/>
      <c r="I76" s="1112"/>
      <c r="J76" s="1112"/>
      <c r="K76" s="1112"/>
      <c r="L76" s="1117"/>
      <c r="M76" s="3"/>
      <c r="N76" s="508"/>
      <c r="O76" s="667"/>
      <c r="P76" s="1088"/>
      <c r="Q76" s="1088"/>
      <c r="R76" s="1088"/>
      <c r="S76" s="1088"/>
      <c r="T76" s="1088"/>
      <c r="U76" s="1088"/>
      <c r="V76" s="1088"/>
      <c r="W76" s="1088"/>
      <c r="X76" s="1068"/>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81" t="s">
        <v>2909</v>
      </c>
      <c r="Q78" s="1082"/>
      <c r="R78" s="1082"/>
      <c r="S78" s="1082"/>
      <c r="T78" s="1082"/>
      <c r="U78" s="1082"/>
      <c r="V78" s="1082"/>
      <c r="W78" s="1082"/>
      <c r="X78" s="1067"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82"/>
      <c r="Q79" s="1082"/>
      <c r="R79" s="1082"/>
      <c r="S79" s="1082"/>
      <c r="T79" s="1082"/>
      <c r="U79" s="1082"/>
      <c r="V79" s="1082"/>
      <c r="W79" s="1082"/>
      <c r="X79" s="1068"/>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82"/>
      <c r="Q80" s="1082"/>
      <c r="R80" s="1082"/>
      <c r="S80" s="1082"/>
      <c r="T80" s="1082"/>
      <c r="U80" s="1082"/>
      <c r="V80" s="1082"/>
      <c r="W80" s="1082"/>
      <c r="X80" s="1068"/>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83"/>
      <c r="Q81" s="1082"/>
      <c r="R81" s="1082"/>
      <c r="S81" s="1082"/>
      <c r="T81" s="1082"/>
      <c r="U81" s="1082"/>
      <c r="V81" s="1082"/>
      <c r="W81" s="1082"/>
      <c r="X81" s="1068"/>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84" t="s">
        <v>2825</v>
      </c>
      <c r="Q82" s="1085"/>
      <c r="R82" s="1085"/>
      <c r="S82" s="1086" t="s">
        <v>2818</v>
      </c>
      <c r="T82" s="1082"/>
      <c r="U82" s="1082"/>
      <c r="V82" s="1082"/>
      <c r="W82" s="1082"/>
      <c r="X82" s="1068"/>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85"/>
      <c r="Q83" s="1085"/>
      <c r="R83" s="1085"/>
      <c r="S83" s="1082"/>
      <c r="T83" s="1082"/>
      <c r="U83" s="1082"/>
      <c r="V83" s="1082"/>
      <c r="W83" s="1082"/>
      <c r="X83" s="1068"/>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87">
        <v>42761</v>
      </c>
      <c r="Q84" s="1088"/>
      <c r="R84" s="1088"/>
      <c r="S84" s="1088"/>
      <c r="T84" s="1087">
        <v>42774</v>
      </c>
      <c r="U84" s="1088"/>
      <c r="V84" s="1088"/>
      <c r="W84" s="1088"/>
      <c r="X84" s="1068"/>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88"/>
      <c r="Q85" s="1088"/>
      <c r="R85" s="1088"/>
      <c r="S85" s="1088"/>
      <c r="T85" s="1088"/>
      <c r="U85" s="1088"/>
      <c r="V85" s="1088"/>
      <c r="W85" s="1088"/>
      <c r="X85" s="1068"/>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81" t="s">
        <v>2840</v>
      </c>
      <c r="Q87" s="1082"/>
      <c r="R87" s="1082"/>
      <c r="S87" s="1082"/>
      <c r="T87" s="1082"/>
      <c r="U87" s="1082"/>
      <c r="V87" s="1082"/>
      <c r="W87" s="1082"/>
      <c r="X87" s="1067"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82"/>
      <c r="Q88" s="1082"/>
      <c r="R88" s="1082"/>
      <c r="S88" s="1082"/>
      <c r="T88" s="1082"/>
      <c r="U88" s="1082"/>
      <c r="V88" s="1082"/>
      <c r="W88" s="1082"/>
      <c r="X88" s="1068"/>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82"/>
      <c r="Q89" s="1082"/>
      <c r="R89" s="1082"/>
      <c r="S89" s="1082"/>
      <c r="T89" s="1082"/>
      <c r="U89" s="1082"/>
      <c r="V89" s="1082"/>
      <c r="W89" s="1082"/>
      <c r="X89" s="1068"/>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83"/>
      <c r="Q90" s="1082"/>
      <c r="R90" s="1082"/>
      <c r="S90" s="1082"/>
      <c r="T90" s="1082"/>
      <c r="U90" s="1082"/>
      <c r="V90" s="1082"/>
      <c r="W90" s="1082"/>
      <c r="X90" s="1068"/>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84" t="s">
        <v>2832</v>
      </c>
      <c r="Q91" s="1085"/>
      <c r="R91" s="1085"/>
      <c r="S91" s="1086" t="s">
        <v>2818</v>
      </c>
      <c r="T91" s="1082"/>
      <c r="U91" s="1082"/>
      <c r="V91" s="1082"/>
      <c r="W91" s="1082"/>
      <c r="X91" s="1068"/>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85"/>
      <c r="Q92" s="1085"/>
      <c r="R92" s="1085"/>
      <c r="S92" s="1082"/>
      <c r="T92" s="1082"/>
      <c r="U92" s="1082"/>
      <c r="V92" s="1082"/>
      <c r="W92" s="1082"/>
      <c r="X92" s="1068"/>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87">
        <v>42774</v>
      </c>
      <c r="Q93" s="1088"/>
      <c r="R93" s="1088"/>
      <c r="S93" s="1088"/>
      <c r="T93" s="1087">
        <v>42802</v>
      </c>
      <c r="U93" s="1088"/>
      <c r="V93" s="1088"/>
      <c r="W93" s="1088"/>
      <c r="X93" s="1068"/>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88"/>
      <c r="Q94" s="1088"/>
      <c r="R94" s="1088"/>
      <c r="S94" s="1088"/>
      <c r="T94" s="1088"/>
      <c r="U94" s="1088"/>
      <c r="V94" s="1088"/>
      <c r="W94" s="1088"/>
      <c r="X94" s="1068"/>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81" t="s">
        <v>2842</v>
      </c>
      <c r="Q96" s="1082"/>
      <c r="R96" s="1082"/>
      <c r="S96" s="1082"/>
      <c r="T96" s="1082"/>
      <c r="U96" s="1082"/>
      <c r="V96" s="1082"/>
      <c r="W96" s="1082"/>
      <c r="X96" s="1067"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82"/>
      <c r="Q97" s="1082"/>
      <c r="R97" s="1082"/>
      <c r="S97" s="1082"/>
      <c r="T97" s="1082"/>
      <c r="U97" s="1082"/>
      <c r="V97" s="1082"/>
      <c r="W97" s="1082"/>
      <c r="X97" s="1068"/>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82"/>
      <c r="Q98" s="1082"/>
      <c r="R98" s="1082"/>
      <c r="S98" s="1082"/>
      <c r="T98" s="1082"/>
      <c r="U98" s="1082"/>
      <c r="V98" s="1082"/>
      <c r="W98" s="1082"/>
      <c r="X98" s="1068"/>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83"/>
      <c r="Q99" s="1082"/>
      <c r="R99" s="1082"/>
      <c r="S99" s="1082"/>
      <c r="T99" s="1082"/>
      <c r="U99" s="1082"/>
      <c r="V99" s="1082"/>
      <c r="W99" s="1082"/>
      <c r="X99" s="1068"/>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84" t="s">
        <v>2833</v>
      </c>
      <c r="Q100" s="1085"/>
      <c r="R100" s="1085"/>
      <c r="S100" s="1086" t="s">
        <v>2818</v>
      </c>
      <c r="T100" s="1082"/>
      <c r="U100" s="1082"/>
      <c r="V100" s="1082"/>
      <c r="W100" s="1082"/>
      <c r="X100" s="1068"/>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85"/>
      <c r="Q101" s="1085"/>
      <c r="R101" s="1085"/>
      <c r="S101" s="1082"/>
      <c r="T101" s="1082"/>
      <c r="U101" s="1082"/>
      <c r="V101" s="1082"/>
      <c r="W101" s="1082"/>
      <c r="X101" s="1068"/>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87">
        <v>42795</v>
      </c>
      <c r="Q102" s="1088"/>
      <c r="R102" s="1088"/>
      <c r="S102" s="1088"/>
      <c r="T102" s="1087">
        <v>42810</v>
      </c>
      <c r="U102" s="1088"/>
      <c r="V102" s="1088"/>
      <c r="W102" s="1088"/>
      <c r="X102" s="1068"/>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88"/>
      <c r="Q103" s="1088"/>
      <c r="R103" s="1088"/>
      <c r="S103" s="1088"/>
      <c r="T103" s="1088"/>
      <c r="U103" s="1088"/>
      <c r="V103" s="1088"/>
      <c r="W103" s="1088"/>
      <c r="X103" s="1068"/>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81" t="s">
        <v>2910</v>
      </c>
      <c r="Q105" s="1082"/>
      <c r="R105" s="1082"/>
      <c r="S105" s="1082"/>
      <c r="T105" s="1082"/>
      <c r="U105" s="1082"/>
      <c r="V105" s="1082"/>
      <c r="W105" s="1082"/>
      <c r="X105" s="1067"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82"/>
      <c r="Q106" s="1082"/>
      <c r="R106" s="1082"/>
      <c r="S106" s="1082"/>
      <c r="T106" s="1082"/>
      <c r="U106" s="1082"/>
      <c r="V106" s="1082"/>
      <c r="W106" s="1082"/>
      <c r="X106" s="1068"/>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82"/>
      <c r="Q107" s="1082"/>
      <c r="R107" s="1082"/>
      <c r="S107" s="1082"/>
      <c r="T107" s="1082"/>
      <c r="U107" s="1082"/>
      <c r="V107" s="1082"/>
      <c r="W107" s="1082"/>
      <c r="X107" s="1068"/>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83"/>
      <c r="Q108" s="1082"/>
      <c r="R108" s="1082"/>
      <c r="S108" s="1082"/>
      <c r="T108" s="1082"/>
      <c r="U108" s="1082"/>
      <c r="V108" s="1082"/>
      <c r="W108" s="1082"/>
      <c r="X108" s="1068"/>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84" t="s">
        <v>2837</v>
      </c>
      <c r="Q109" s="1085"/>
      <c r="R109" s="1085"/>
      <c r="S109" s="1086" t="s">
        <v>2819</v>
      </c>
      <c r="T109" s="1082"/>
      <c r="U109" s="1082"/>
      <c r="V109" s="1082"/>
      <c r="W109" s="1082"/>
      <c r="X109" s="1068"/>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85"/>
      <c r="Q110" s="1085"/>
      <c r="R110" s="1085"/>
      <c r="S110" s="1082"/>
      <c r="T110" s="1082"/>
      <c r="U110" s="1082"/>
      <c r="V110" s="1082"/>
      <c r="W110" s="1082"/>
      <c r="X110" s="1068"/>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87">
        <v>42704</v>
      </c>
      <c r="Q111" s="1088"/>
      <c r="R111" s="1088"/>
      <c r="S111" s="1088"/>
      <c r="T111" s="1087">
        <v>42810</v>
      </c>
      <c r="U111" s="1088"/>
      <c r="V111" s="1088"/>
      <c r="W111" s="1088"/>
      <c r="X111" s="1068"/>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88"/>
      <c r="Q112" s="1088"/>
      <c r="R112" s="1088"/>
      <c r="S112" s="1088"/>
      <c r="T112" s="1088"/>
      <c r="U112" s="1088"/>
      <c r="V112" s="1088"/>
      <c r="W112" s="1088"/>
      <c r="X112" s="1068"/>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81" t="s">
        <v>2911</v>
      </c>
      <c r="Q114" s="1082"/>
      <c r="R114" s="1082"/>
      <c r="S114" s="1082"/>
      <c r="T114" s="1082"/>
      <c r="U114" s="1082"/>
      <c r="V114" s="1082"/>
      <c r="W114" s="1082"/>
      <c r="X114" s="1067"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82"/>
      <c r="Q115" s="1082"/>
      <c r="R115" s="1082"/>
      <c r="S115" s="1082"/>
      <c r="T115" s="1082"/>
      <c r="U115" s="1082"/>
      <c r="V115" s="1082"/>
      <c r="W115" s="1082"/>
      <c r="X115" s="1068"/>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82"/>
      <c r="Q116" s="1082"/>
      <c r="R116" s="1082"/>
      <c r="S116" s="1082"/>
      <c r="T116" s="1082"/>
      <c r="U116" s="1082"/>
      <c r="V116" s="1082"/>
      <c r="W116" s="1082"/>
      <c r="X116" s="1068"/>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83"/>
      <c r="Q117" s="1082"/>
      <c r="R117" s="1082"/>
      <c r="S117" s="1082"/>
      <c r="T117" s="1082"/>
      <c r="U117" s="1082"/>
      <c r="V117" s="1082"/>
      <c r="W117" s="1082"/>
      <c r="X117" s="1068"/>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84" t="s">
        <v>2838</v>
      </c>
      <c r="Q118" s="1085"/>
      <c r="R118" s="1085"/>
      <c r="S118" s="1086" t="s">
        <v>2819</v>
      </c>
      <c r="T118" s="1082"/>
      <c r="U118" s="1082"/>
      <c r="V118" s="1082"/>
      <c r="W118" s="1082"/>
      <c r="X118" s="1068"/>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85"/>
      <c r="Q119" s="1085"/>
      <c r="R119" s="1085"/>
      <c r="S119" s="1082"/>
      <c r="T119" s="1082"/>
      <c r="U119" s="1082"/>
      <c r="V119" s="1082"/>
      <c r="W119" s="1082"/>
      <c r="X119" s="1068"/>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87">
        <v>42718</v>
      </c>
      <c r="Q120" s="1088"/>
      <c r="R120" s="1088"/>
      <c r="S120" s="1088"/>
      <c r="T120" s="1087">
        <v>42810</v>
      </c>
      <c r="U120" s="1088"/>
      <c r="V120" s="1088"/>
      <c r="W120" s="1088"/>
      <c r="X120" s="1068"/>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88"/>
      <c r="Q121" s="1088"/>
      <c r="R121" s="1088"/>
      <c r="S121" s="1088"/>
      <c r="T121" s="1088"/>
      <c r="U121" s="1088"/>
      <c r="V121" s="1088"/>
      <c r="W121" s="1088"/>
      <c r="X121" s="1068"/>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81" t="s">
        <v>2916</v>
      </c>
      <c r="Q123" s="1082"/>
      <c r="R123" s="1082"/>
      <c r="S123" s="1082"/>
      <c r="T123" s="1082"/>
      <c r="U123" s="1082"/>
      <c r="V123" s="1082"/>
      <c r="W123" s="1082"/>
      <c r="X123" s="1067"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82"/>
      <c r="Q124" s="1082"/>
      <c r="R124" s="1082"/>
      <c r="S124" s="1082"/>
      <c r="T124" s="1082"/>
      <c r="U124" s="1082"/>
      <c r="V124" s="1082"/>
      <c r="W124" s="1082"/>
      <c r="X124" s="1068"/>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82"/>
      <c r="Q125" s="1082"/>
      <c r="R125" s="1082"/>
      <c r="S125" s="1082"/>
      <c r="T125" s="1082"/>
      <c r="U125" s="1082"/>
      <c r="V125" s="1082"/>
      <c r="W125" s="1082"/>
      <c r="X125" s="1068"/>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83"/>
      <c r="Q126" s="1082"/>
      <c r="R126" s="1082"/>
      <c r="S126" s="1082"/>
      <c r="T126" s="1082"/>
      <c r="U126" s="1082"/>
      <c r="V126" s="1082"/>
      <c r="W126" s="1082"/>
      <c r="X126" s="1068"/>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84" t="s">
        <v>2839</v>
      </c>
      <c r="Q127" s="1085"/>
      <c r="R127" s="1085"/>
      <c r="S127" s="1086" t="s">
        <v>2819</v>
      </c>
      <c r="T127" s="1082"/>
      <c r="U127" s="1082"/>
      <c r="V127" s="1082"/>
      <c r="W127" s="1082"/>
      <c r="X127" s="1068"/>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85"/>
      <c r="Q128" s="1085"/>
      <c r="R128" s="1085"/>
      <c r="S128" s="1082"/>
      <c r="T128" s="1082"/>
      <c r="U128" s="1082"/>
      <c r="V128" s="1082"/>
      <c r="W128" s="1082"/>
      <c r="X128" s="1068"/>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87">
        <v>42696</v>
      </c>
      <c r="Q129" s="1088"/>
      <c r="R129" s="1088"/>
      <c r="S129" s="1088"/>
      <c r="T129" s="1087">
        <v>42810</v>
      </c>
      <c r="U129" s="1088"/>
      <c r="V129" s="1088"/>
      <c r="W129" s="1088"/>
      <c r="X129" s="1068"/>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88"/>
      <c r="Q130" s="1088"/>
      <c r="R130" s="1088"/>
      <c r="S130" s="1088"/>
      <c r="T130" s="1088"/>
      <c r="U130" s="1088"/>
      <c r="V130" s="1088"/>
      <c r="W130" s="1088"/>
      <c r="X130" s="1068"/>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81" t="s">
        <v>2912</v>
      </c>
      <c r="Q132" s="1082"/>
      <c r="R132" s="1082"/>
      <c r="S132" s="1082"/>
      <c r="T132" s="1082"/>
      <c r="U132" s="1082"/>
      <c r="V132" s="1082"/>
      <c r="W132" s="1082"/>
      <c r="X132" s="1067"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82"/>
      <c r="Q133" s="1082"/>
      <c r="R133" s="1082"/>
      <c r="S133" s="1082"/>
      <c r="T133" s="1082"/>
      <c r="U133" s="1082"/>
      <c r="V133" s="1082"/>
      <c r="W133" s="1082"/>
      <c r="X133" s="1068"/>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82"/>
      <c r="Q134" s="1082"/>
      <c r="R134" s="1082"/>
      <c r="S134" s="1082"/>
      <c r="T134" s="1082"/>
      <c r="U134" s="1082"/>
      <c r="V134" s="1082"/>
      <c r="W134" s="1082"/>
      <c r="X134" s="1068"/>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83"/>
      <c r="Q135" s="1082"/>
      <c r="R135" s="1082"/>
      <c r="S135" s="1082"/>
      <c r="T135" s="1082"/>
      <c r="U135" s="1082"/>
      <c r="V135" s="1082"/>
      <c r="W135" s="1082"/>
      <c r="X135" s="1068"/>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84" t="s">
        <v>2841</v>
      </c>
      <c r="Q136" s="1085"/>
      <c r="R136" s="1085"/>
      <c r="S136" s="1086" t="s">
        <v>2820</v>
      </c>
      <c r="T136" s="1082"/>
      <c r="U136" s="1082"/>
      <c r="V136" s="1082"/>
      <c r="W136" s="1082"/>
      <c r="X136" s="1068"/>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85"/>
      <c r="Q137" s="1085"/>
      <c r="R137" s="1085"/>
      <c r="S137" s="1082"/>
      <c r="T137" s="1082"/>
      <c r="U137" s="1082"/>
      <c r="V137" s="1082"/>
      <c r="W137" s="1082"/>
      <c r="X137" s="1068"/>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87">
        <v>42711</v>
      </c>
      <c r="Q138" s="1088"/>
      <c r="R138" s="1088"/>
      <c r="S138" s="1088"/>
      <c r="T138" s="1087">
        <v>42786</v>
      </c>
      <c r="U138" s="1088"/>
      <c r="V138" s="1088"/>
      <c r="W138" s="1088"/>
      <c r="X138" s="1068"/>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88"/>
      <c r="Q139" s="1088"/>
      <c r="R139" s="1088"/>
      <c r="S139" s="1088"/>
      <c r="T139" s="1088"/>
      <c r="U139" s="1088"/>
      <c r="V139" s="1088"/>
      <c r="W139" s="1088"/>
      <c r="X139" s="1068"/>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81" t="s">
        <v>2913</v>
      </c>
      <c r="Q141" s="1082"/>
      <c r="R141" s="1082"/>
      <c r="S141" s="1082"/>
      <c r="T141" s="1082"/>
      <c r="U141" s="1082"/>
      <c r="V141" s="1082"/>
      <c r="W141" s="1082"/>
      <c r="X141" s="1067"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82"/>
      <c r="Q142" s="1082"/>
      <c r="R142" s="1082"/>
      <c r="S142" s="1082"/>
      <c r="T142" s="1082"/>
      <c r="U142" s="1082"/>
      <c r="V142" s="1082"/>
      <c r="W142" s="1082"/>
      <c r="X142" s="1068"/>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82"/>
      <c r="Q143" s="1082"/>
      <c r="R143" s="1082"/>
      <c r="S143" s="1082"/>
      <c r="T143" s="1082"/>
      <c r="U143" s="1082"/>
      <c r="V143" s="1082"/>
      <c r="W143" s="1082"/>
      <c r="X143" s="1068"/>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83"/>
      <c r="Q144" s="1082"/>
      <c r="R144" s="1082"/>
      <c r="S144" s="1082"/>
      <c r="T144" s="1082"/>
      <c r="U144" s="1082"/>
      <c r="V144" s="1082"/>
      <c r="W144" s="1082"/>
      <c r="X144" s="1068"/>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84" t="s">
        <v>2846</v>
      </c>
      <c r="Q145" s="1085"/>
      <c r="R145" s="1085"/>
      <c r="S145" s="1086" t="s">
        <v>2820</v>
      </c>
      <c r="T145" s="1082"/>
      <c r="U145" s="1082"/>
      <c r="V145" s="1082"/>
      <c r="W145" s="1082"/>
      <c r="X145" s="1068"/>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85"/>
      <c r="Q146" s="1085"/>
      <c r="R146" s="1085"/>
      <c r="S146" s="1082"/>
      <c r="T146" s="1082"/>
      <c r="U146" s="1082"/>
      <c r="V146" s="1082"/>
      <c r="W146" s="1082"/>
      <c r="X146" s="1068"/>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87">
        <v>42718</v>
      </c>
      <c r="Q147" s="1088"/>
      <c r="R147" s="1088"/>
      <c r="S147" s="1088"/>
      <c r="T147" s="1087">
        <v>42786</v>
      </c>
      <c r="U147" s="1088"/>
      <c r="V147" s="1088"/>
      <c r="W147" s="1088"/>
      <c r="X147" s="1068"/>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88"/>
      <c r="Q148" s="1088"/>
      <c r="R148" s="1088"/>
      <c r="S148" s="1088"/>
      <c r="T148" s="1088"/>
      <c r="U148" s="1088"/>
      <c r="V148" s="1088"/>
      <c r="W148" s="1088"/>
      <c r="X148" s="1068"/>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81" t="s">
        <v>2909</v>
      </c>
      <c r="Q150" s="1082"/>
      <c r="R150" s="1082"/>
      <c r="S150" s="1082"/>
      <c r="T150" s="1082"/>
      <c r="U150" s="1082"/>
      <c r="V150" s="1082"/>
      <c r="W150" s="1082"/>
      <c r="X150" s="1067"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82"/>
      <c r="Q151" s="1082"/>
      <c r="R151" s="1082"/>
      <c r="S151" s="1082"/>
      <c r="T151" s="1082"/>
      <c r="U151" s="1082"/>
      <c r="V151" s="1082"/>
      <c r="W151" s="1082"/>
      <c r="X151" s="1068"/>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82"/>
      <c r="Q152" s="1082"/>
      <c r="R152" s="1082"/>
      <c r="S152" s="1082"/>
      <c r="T152" s="1082"/>
      <c r="U152" s="1082"/>
      <c r="V152" s="1082"/>
      <c r="W152" s="1082"/>
      <c r="X152" s="1068"/>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83"/>
      <c r="Q153" s="1082"/>
      <c r="R153" s="1082"/>
      <c r="S153" s="1082"/>
      <c r="T153" s="1082"/>
      <c r="U153" s="1082"/>
      <c r="V153" s="1082"/>
      <c r="W153" s="1082"/>
      <c r="X153" s="1068"/>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84" t="s">
        <v>2850</v>
      </c>
      <c r="Q154" s="1085"/>
      <c r="R154" s="1085"/>
      <c r="S154" s="1086" t="s">
        <v>2820</v>
      </c>
      <c r="T154" s="1082"/>
      <c r="U154" s="1082"/>
      <c r="V154" s="1082"/>
      <c r="W154" s="1082"/>
      <c r="X154" s="1068"/>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85"/>
      <c r="Q155" s="1085"/>
      <c r="R155" s="1085"/>
      <c r="S155" s="1082"/>
      <c r="T155" s="1082"/>
      <c r="U155" s="1082"/>
      <c r="V155" s="1082"/>
      <c r="W155" s="1082"/>
      <c r="X155" s="1068"/>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87">
        <v>42719</v>
      </c>
      <c r="Q156" s="1088"/>
      <c r="R156" s="1088"/>
      <c r="S156" s="1088"/>
      <c r="T156" s="1087">
        <v>42786</v>
      </c>
      <c r="U156" s="1088"/>
      <c r="V156" s="1088"/>
      <c r="W156" s="1088"/>
      <c r="X156" s="1068"/>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88"/>
      <c r="Q157" s="1088"/>
      <c r="R157" s="1088"/>
      <c r="S157" s="1088"/>
      <c r="T157" s="1088"/>
      <c r="U157" s="1088"/>
      <c r="V157" s="1088"/>
      <c r="W157" s="1088"/>
      <c r="X157" s="1068"/>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81" t="s">
        <v>2914</v>
      </c>
      <c r="Q159" s="1082"/>
      <c r="R159" s="1082"/>
      <c r="S159" s="1082"/>
      <c r="T159" s="1082"/>
      <c r="U159" s="1082"/>
      <c r="V159" s="1082"/>
      <c r="W159" s="1082"/>
      <c r="X159" s="1067"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82"/>
      <c r="Q160" s="1082"/>
      <c r="R160" s="1082"/>
      <c r="S160" s="1082"/>
      <c r="T160" s="1082"/>
      <c r="U160" s="1082"/>
      <c r="V160" s="1082"/>
      <c r="W160" s="1082"/>
      <c r="X160" s="1068"/>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82"/>
      <c r="Q161" s="1082"/>
      <c r="R161" s="1082"/>
      <c r="S161" s="1082"/>
      <c r="T161" s="1082"/>
      <c r="U161" s="1082"/>
      <c r="V161" s="1082"/>
      <c r="W161" s="1082"/>
      <c r="X161" s="1068"/>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83"/>
      <c r="Q162" s="1082"/>
      <c r="R162" s="1082"/>
      <c r="S162" s="1082"/>
      <c r="T162" s="1082"/>
      <c r="U162" s="1082"/>
      <c r="V162" s="1082"/>
      <c r="W162" s="1082"/>
      <c r="X162" s="1068"/>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84" t="s">
        <v>2852</v>
      </c>
      <c r="Q163" s="1085"/>
      <c r="R163" s="1085"/>
      <c r="S163" s="1086" t="s">
        <v>2820</v>
      </c>
      <c r="T163" s="1082"/>
      <c r="U163" s="1082"/>
      <c r="V163" s="1082"/>
      <c r="W163" s="1082"/>
      <c r="X163" s="1068"/>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85"/>
      <c r="Q164" s="1085"/>
      <c r="R164" s="1085"/>
      <c r="S164" s="1082"/>
      <c r="T164" s="1082"/>
      <c r="U164" s="1082"/>
      <c r="V164" s="1082"/>
      <c r="W164" s="1082"/>
      <c r="X164" s="1068"/>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87">
        <v>42719</v>
      </c>
      <c r="Q165" s="1088"/>
      <c r="R165" s="1088"/>
      <c r="S165" s="1088"/>
      <c r="T165" s="1087">
        <v>42786</v>
      </c>
      <c r="U165" s="1088"/>
      <c r="V165" s="1088"/>
      <c r="W165" s="1088"/>
      <c r="X165" s="1068"/>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88"/>
      <c r="Q166" s="1088"/>
      <c r="R166" s="1088"/>
      <c r="S166" s="1088"/>
      <c r="T166" s="1088"/>
      <c r="U166" s="1088"/>
      <c r="V166" s="1088"/>
      <c r="W166" s="1088"/>
      <c r="X166" s="1068"/>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81" t="s">
        <v>2915</v>
      </c>
      <c r="Q168" s="1082"/>
      <c r="R168" s="1082"/>
      <c r="S168" s="1082"/>
      <c r="T168" s="1082"/>
      <c r="U168" s="1082"/>
      <c r="V168" s="1082"/>
      <c r="W168" s="1082"/>
      <c r="X168" s="1067"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82"/>
      <c r="Q169" s="1082"/>
      <c r="R169" s="1082"/>
      <c r="S169" s="1082"/>
      <c r="T169" s="1082"/>
      <c r="U169" s="1082"/>
      <c r="V169" s="1082"/>
      <c r="W169" s="1082"/>
      <c r="X169" s="1068"/>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82"/>
      <c r="Q170" s="1082"/>
      <c r="R170" s="1082"/>
      <c r="S170" s="1082"/>
      <c r="T170" s="1082"/>
      <c r="U170" s="1082"/>
      <c r="V170" s="1082"/>
      <c r="W170" s="1082"/>
      <c r="X170" s="1068"/>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83"/>
      <c r="Q171" s="1082"/>
      <c r="R171" s="1082"/>
      <c r="S171" s="1082"/>
      <c r="T171" s="1082"/>
      <c r="U171" s="1082"/>
      <c r="V171" s="1082"/>
      <c r="W171" s="1082"/>
      <c r="X171" s="1068"/>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84" t="s">
        <v>2907</v>
      </c>
      <c r="Q172" s="1085"/>
      <c r="R172" s="1085"/>
      <c r="S172" s="1086" t="s">
        <v>2820</v>
      </c>
      <c r="T172" s="1082"/>
      <c r="U172" s="1082"/>
      <c r="V172" s="1082"/>
      <c r="W172" s="1082"/>
      <c r="X172" s="1068"/>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85"/>
      <c r="Q173" s="1085"/>
      <c r="R173" s="1085"/>
      <c r="S173" s="1082"/>
      <c r="T173" s="1082"/>
      <c r="U173" s="1082"/>
      <c r="V173" s="1082"/>
      <c r="W173" s="1082"/>
      <c r="X173" s="1068"/>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87">
        <v>42725</v>
      </c>
      <c r="Q174" s="1088"/>
      <c r="R174" s="1088"/>
      <c r="S174" s="1088"/>
      <c r="T174" s="1087">
        <v>42795</v>
      </c>
      <c r="U174" s="1088"/>
      <c r="V174" s="1088"/>
      <c r="W174" s="1088"/>
      <c r="X174" s="1068"/>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88"/>
      <c r="Q175" s="1088"/>
      <c r="R175" s="1088"/>
      <c r="S175" s="1088"/>
      <c r="T175" s="1088"/>
      <c r="U175" s="1088"/>
      <c r="V175" s="1088"/>
      <c r="W175" s="1088"/>
      <c r="X175" s="1068"/>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075"/>
      <c r="C179" s="508"/>
      <c r="D179" s="1060" t="str">
        <f>VLOOKUP("wp_to_be_done",sprachtabelle,4,FALSE)</f>
        <v>Arbeitspaket - offen</v>
      </c>
      <c r="E179" s="1060"/>
      <c r="F179" s="1060"/>
      <c r="G179" s="1060"/>
      <c r="H179" s="1060"/>
      <c r="I179" s="1060"/>
      <c r="J179" s="1060"/>
      <c r="K179" s="1060"/>
      <c r="L179" s="1060"/>
      <c r="M179" s="1061"/>
      <c r="N179" s="508"/>
      <c r="O179" s="1077"/>
      <c r="P179" s="508"/>
      <c r="Q179" s="1060" t="str">
        <f>VLOOKUP("wp_finished",sprachtabelle,4,FALSE)</f>
        <v>Arbeitspaket - abgeschlossen</v>
      </c>
      <c r="R179" s="1060"/>
      <c r="S179" s="1060"/>
      <c r="T179" s="1060"/>
      <c r="U179" s="1060"/>
      <c r="V179" s="1060"/>
      <c r="W179" s="1060"/>
      <c r="X179" s="1060"/>
      <c r="Y179" s="1060"/>
      <c r="Z179" s="1061"/>
      <c r="AA179" s="508"/>
      <c r="AB179" s="1079"/>
      <c r="AC179" s="508"/>
      <c r="AD179" s="1060" t="str">
        <f>VLOOKUP("milestone",sprachtabelle,4,FALSE)</f>
        <v>Meilenstein</v>
      </c>
      <c r="AE179" s="1060"/>
      <c r="AF179" s="1060"/>
      <c r="AG179" s="1060"/>
      <c r="AH179" s="1060"/>
      <c r="AI179" s="1060"/>
      <c r="AJ179" s="1060"/>
      <c r="AK179" s="1060"/>
      <c r="AL179" s="1060"/>
      <c r="AM179" s="106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076"/>
      <c r="C180" s="508"/>
      <c r="D180" s="1060"/>
      <c r="E180" s="1060"/>
      <c r="F180" s="1060"/>
      <c r="G180" s="1060"/>
      <c r="H180" s="1060"/>
      <c r="I180" s="1060"/>
      <c r="J180" s="1060"/>
      <c r="K180" s="1060"/>
      <c r="L180" s="1060"/>
      <c r="M180" s="1061"/>
      <c r="N180" s="508"/>
      <c r="O180" s="1078"/>
      <c r="P180" s="508"/>
      <c r="Q180" s="1060"/>
      <c r="R180" s="1060"/>
      <c r="S180" s="1060"/>
      <c r="T180" s="1060"/>
      <c r="U180" s="1060"/>
      <c r="V180" s="1060"/>
      <c r="W180" s="1060"/>
      <c r="X180" s="1060"/>
      <c r="Y180" s="1060"/>
      <c r="Z180" s="1061"/>
      <c r="AA180" s="508"/>
      <c r="AB180" s="1080"/>
      <c r="AC180" s="508"/>
      <c r="AD180" s="1060"/>
      <c r="AE180" s="1060"/>
      <c r="AF180" s="1060"/>
      <c r="AG180" s="1060"/>
      <c r="AH180" s="1060"/>
      <c r="AI180" s="1060"/>
      <c r="AJ180" s="1060"/>
      <c r="AK180" s="1060"/>
      <c r="AL180" s="1060"/>
      <c r="AM180" s="106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058"/>
      <c r="C182" s="508"/>
      <c r="D182" s="1060" t="str">
        <f>VLOOKUP("wp_in_progress",sprachtabelle,4,FALSE)</f>
        <v>Arbeitspaket - in Arbeit</v>
      </c>
      <c r="E182" s="1060"/>
      <c r="F182" s="1060"/>
      <c r="G182" s="1060"/>
      <c r="H182" s="1060"/>
      <c r="I182" s="1060"/>
      <c r="J182" s="1060"/>
      <c r="K182" s="1060"/>
      <c r="L182" s="1060"/>
      <c r="M182" s="1061"/>
      <c r="N182" s="508"/>
      <c r="O182" s="1062"/>
      <c r="P182" s="508"/>
      <c r="Q182" s="1060" t="str">
        <f>VLOOKUP("summary_task",sprachtabelle,4,FALSE)</f>
        <v>Sammelvorgang</v>
      </c>
      <c r="R182" s="1060"/>
      <c r="S182" s="1060"/>
      <c r="T182" s="1060"/>
      <c r="U182" s="1060"/>
      <c r="V182" s="1060"/>
      <c r="W182" s="1060"/>
      <c r="X182" s="1060"/>
      <c r="Y182" s="1060"/>
      <c r="Z182" s="106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059"/>
      <c r="C183" s="508"/>
      <c r="D183" s="1060"/>
      <c r="E183" s="1060"/>
      <c r="F183" s="1060"/>
      <c r="G183" s="1060"/>
      <c r="H183" s="1060"/>
      <c r="I183" s="1060"/>
      <c r="J183" s="1060"/>
      <c r="K183" s="1060"/>
      <c r="L183" s="1060"/>
      <c r="M183" s="1061"/>
      <c r="N183" s="508"/>
      <c r="O183" s="1063"/>
      <c r="P183" s="508"/>
      <c r="Q183" s="1060"/>
      <c r="R183" s="1060"/>
      <c r="S183" s="1060"/>
      <c r="T183" s="1060"/>
      <c r="U183" s="1060"/>
      <c r="V183" s="1060"/>
      <c r="W183" s="1060"/>
      <c r="X183" s="1060"/>
      <c r="Y183" s="1060"/>
      <c r="Z183" s="106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05:W108"/>
    <mergeCell ref="X105:X112"/>
    <mergeCell ref="P109:R110"/>
    <mergeCell ref="S109:W110"/>
    <mergeCell ref="P111:S112"/>
    <mergeCell ref="T111:W112"/>
    <mergeCell ref="P96:W99"/>
    <mergeCell ref="X96:X103"/>
    <mergeCell ref="P100:R101"/>
    <mergeCell ref="S100:W101"/>
    <mergeCell ref="P102:S103"/>
    <mergeCell ref="T102:W103"/>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BH15:BH22"/>
    <mergeCell ref="AX19:BB20"/>
    <mergeCell ref="BC19:BG20"/>
    <mergeCell ref="AX21:BB22"/>
    <mergeCell ref="BC21:BG22"/>
    <mergeCell ref="AL15:AU18"/>
    <mergeCell ref="AV15:AV22"/>
    <mergeCell ref="AL19:AP20"/>
    <mergeCell ref="AQ19:AU20"/>
    <mergeCell ref="AL21:AP22"/>
    <mergeCell ref="AQ21:AU22"/>
    <mergeCell ref="D57:G58"/>
    <mergeCell ref="H57:K58"/>
    <mergeCell ref="L51:L58"/>
    <mergeCell ref="D55:F56"/>
    <mergeCell ref="G55:K56"/>
    <mergeCell ref="D51:K54"/>
    <mergeCell ref="D42:K45"/>
    <mergeCell ref="L42:L49"/>
    <mergeCell ref="D46:F47"/>
    <mergeCell ref="G46:K47"/>
    <mergeCell ref="D48:G49"/>
    <mergeCell ref="H48:K49"/>
    <mergeCell ref="D60:K63"/>
    <mergeCell ref="D69:D76"/>
    <mergeCell ref="E69:K72"/>
    <mergeCell ref="L69:L76"/>
    <mergeCell ref="E73:K74"/>
    <mergeCell ref="E75:K76"/>
    <mergeCell ref="L60:L67"/>
    <mergeCell ref="D64:F65"/>
    <mergeCell ref="G64:K65"/>
    <mergeCell ref="D66:G67"/>
    <mergeCell ref="H66:K67"/>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AB24:AI27"/>
    <mergeCell ref="AB28:AD29"/>
    <mergeCell ref="AE28:AI29"/>
    <mergeCell ref="AB30:AE31"/>
    <mergeCell ref="AF30:AI31"/>
    <mergeCell ref="AN42:AU45"/>
    <mergeCell ref="AN46:AP47"/>
    <mergeCell ref="AQ46:AU47"/>
    <mergeCell ref="AN48:AQ49"/>
    <mergeCell ref="AR48:AU49"/>
    <mergeCell ref="AN33:AU36"/>
    <mergeCell ref="BL24:BS27"/>
    <mergeCell ref="BT24:BT31"/>
    <mergeCell ref="BL28:BN29"/>
    <mergeCell ref="BO28:BS29"/>
    <mergeCell ref="BL30:BO31"/>
    <mergeCell ref="BP30:BS31"/>
    <mergeCell ref="BX24:CE27"/>
    <mergeCell ref="CF24:CF31"/>
    <mergeCell ref="BX28:BZ29"/>
    <mergeCell ref="CA28:CE29"/>
    <mergeCell ref="BX30:CA31"/>
    <mergeCell ref="CB30:CE31"/>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22" t="s">
        <v>2582</v>
      </c>
      <c r="C5" s="1122"/>
      <c r="D5" s="1122"/>
      <c r="E5" s="1122"/>
      <c r="F5" s="1122"/>
      <c r="G5" s="1122"/>
      <c r="H5" s="1122"/>
      <c r="I5" s="1138">
        <v>5</v>
      </c>
      <c r="J5" s="1138"/>
      <c r="K5" s="1138"/>
      <c r="N5" s="679" t="s">
        <v>2583</v>
      </c>
      <c r="AO5" s="680"/>
      <c r="AP5" s="681"/>
      <c r="AQ5" s="680"/>
      <c r="AR5" s="682" t="s">
        <v>2584</v>
      </c>
      <c r="AS5" s="680"/>
      <c r="AT5" s="680"/>
      <c r="AU5" s="680"/>
      <c r="AV5" s="680"/>
      <c r="AW5" s="680"/>
      <c r="AX5" s="680"/>
      <c r="AY5" s="680"/>
      <c r="AZ5" s="680"/>
      <c r="BA5" s="680"/>
      <c r="BB5" s="680"/>
      <c r="BC5" s="680"/>
      <c r="BD5" s="680"/>
      <c r="BE5" s="680"/>
      <c r="BF5" s="680"/>
      <c r="BG5" s="1122" t="s">
        <v>793</v>
      </c>
      <c r="BH5" s="1122"/>
      <c r="BI5" s="1122"/>
      <c r="BJ5" s="1122"/>
      <c r="BK5" s="1122"/>
      <c r="BL5" s="1122"/>
      <c r="BM5" s="1122"/>
      <c r="BN5" s="1234" t="s">
        <v>1079</v>
      </c>
      <c r="BO5" s="1234"/>
      <c r="BP5" s="1234"/>
      <c r="BQ5" s="680"/>
      <c r="BR5" s="680" t="str">
        <f>F23</f>
        <v>Standard</v>
      </c>
      <c r="BS5" s="680"/>
      <c r="BT5" s="680"/>
      <c r="BU5" s="1122" t="str">
        <f>Daten!J37</f>
        <v>PSP-Code</v>
      </c>
      <c r="BV5" s="1122"/>
      <c r="BW5" s="1122"/>
      <c r="BX5" s="1122"/>
      <c r="BY5" s="1122"/>
      <c r="BZ5" s="1122"/>
      <c r="CA5" s="1122"/>
      <c r="CB5" s="1120">
        <f>COLUMN(Daten!J36)</f>
        <v>10</v>
      </c>
      <c r="CC5" s="1120"/>
      <c r="CD5" s="1120"/>
      <c r="CG5" s="674"/>
      <c r="CH5" s="674"/>
      <c r="CI5" s="674"/>
      <c r="CJ5" s="674"/>
      <c r="CK5" s="674"/>
      <c r="CL5" s="674"/>
    </row>
    <row r="6" spans="2:90" s="679" customFormat="1" x14ac:dyDescent="0.2">
      <c r="B6" s="1122" t="s">
        <v>794</v>
      </c>
      <c r="C6" s="1122"/>
      <c r="D6" s="1122"/>
      <c r="E6" s="1122"/>
      <c r="F6" s="1122"/>
      <c r="G6" s="1122"/>
      <c r="H6" s="1122"/>
      <c r="I6" s="1138">
        <v>2</v>
      </c>
      <c r="J6" s="1138"/>
      <c r="K6" s="1138"/>
      <c r="AO6" s="680"/>
      <c r="AP6" s="681"/>
      <c r="AR6" s="682" t="s">
        <v>795</v>
      </c>
      <c r="BG6" s="1122" t="s">
        <v>1887</v>
      </c>
      <c r="BH6" s="1122"/>
      <c r="BI6" s="1122"/>
      <c r="BJ6" s="1122"/>
      <c r="BK6" s="1122"/>
      <c r="BL6" s="1122"/>
      <c r="BM6" s="1122"/>
      <c r="BN6" s="1124" t="b">
        <v>1</v>
      </c>
      <c r="BO6" s="1124"/>
      <c r="BP6" s="1124"/>
      <c r="BQ6" s="681"/>
      <c r="BR6" s="680" t="e">
        <f>#REF!</f>
        <v>#REF!</v>
      </c>
      <c r="BS6" s="681"/>
      <c r="BT6" s="681"/>
      <c r="BU6" s="1122" t="str">
        <f>Daten!K37</f>
        <v>Bezeichnung</v>
      </c>
      <c r="BV6" s="1122"/>
      <c r="BW6" s="1122"/>
      <c r="BX6" s="1122"/>
      <c r="BY6" s="1122"/>
      <c r="BZ6" s="1122"/>
      <c r="CA6" s="1122"/>
      <c r="CB6" s="1120">
        <f>COLUMN(Daten!K36)</f>
        <v>11</v>
      </c>
      <c r="CC6" s="1120"/>
      <c r="CD6" s="1120"/>
      <c r="CG6" s="674"/>
      <c r="CH6" s="674"/>
      <c r="CI6" s="674"/>
      <c r="CJ6" s="674"/>
      <c r="CK6" s="674"/>
      <c r="CL6" s="674"/>
    </row>
    <row r="7" spans="2:90" s="679" customFormat="1" x14ac:dyDescent="0.2">
      <c r="B7" s="1122" t="s">
        <v>796</v>
      </c>
      <c r="C7" s="1122"/>
      <c r="D7" s="1122"/>
      <c r="E7" s="1122"/>
      <c r="F7" s="1122"/>
      <c r="G7" s="1122"/>
      <c r="H7" s="1122"/>
      <c r="I7" s="1138">
        <v>1</v>
      </c>
      <c r="J7" s="1138"/>
      <c r="K7" s="1138"/>
      <c r="N7" s="1137" t="s">
        <v>797</v>
      </c>
      <c r="O7" s="1137"/>
      <c r="P7" s="1137" t="s">
        <v>798</v>
      </c>
      <c r="Q7" s="1137"/>
      <c r="R7" s="1134" t="s">
        <v>799</v>
      </c>
      <c r="S7" s="1134"/>
      <c r="T7" s="1134"/>
      <c r="U7" s="1134"/>
      <c r="V7" s="1134"/>
      <c r="W7" s="1134"/>
      <c r="X7" s="1134"/>
      <c r="Y7" s="1134"/>
      <c r="Z7" s="1137" t="s">
        <v>800</v>
      </c>
      <c r="AA7" s="1137"/>
      <c r="AB7" s="1137" t="s">
        <v>797</v>
      </c>
      <c r="AC7" s="1137"/>
      <c r="AD7" s="1137" t="s">
        <v>798</v>
      </c>
      <c r="AE7" s="1137"/>
      <c r="AF7" s="1134" t="s">
        <v>801</v>
      </c>
      <c r="AG7" s="1122"/>
      <c r="AH7" s="1122"/>
      <c r="AI7" s="1122"/>
      <c r="AJ7" s="1122"/>
      <c r="AK7" s="1122"/>
      <c r="AL7" s="1122"/>
      <c r="AM7" s="1122"/>
      <c r="AO7" s="680"/>
      <c r="AP7" s="681"/>
      <c r="AR7" s="682" t="s">
        <v>802</v>
      </c>
      <c r="BG7" s="1122" t="s">
        <v>803</v>
      </c>
      <c r="BH7" s="1122"/>
      <c r="BI7" s="1122"/>
      <c r="BJ7" s="1122"/>
      <c r="BK7" s="1122"/>
      <c r="BL7" s="1122"/>
      <c r="BM7" s="1122"/>
      <c r="BN7" s="1234" t="s">
        <v>804</v>
      </c>
      <c r="BO7" s="1234"/>
      <c r="BP7" s="1234"/>
      <c r="BQ7" s="680"/>
      <c r="BS7" s="680"/>
      <c r="BT7" s="680"/>
      <c r="BU7" s="1122" t="str">
        <f>Daten!L37</f>
        <v>Fortschr.</v>
      </c>
      <c r="BV7" s="1122"/>
      <c r="BW7" s="1122"/>
      <c r="BX7" s="1122"/>
      <c r="BY7" s="1122"/>
      <c r="BZ7" s="1122"/>
      <c r="CA7" s="1122"/>
      <c r="CB7" s="1120">
        <f>COLUMN(Daten!L36)</f>
        <v>12</v>
      </c>
      <c r="CC7" s="1120"/>
      <c r="CD7" s="1120"/>
      <c r="CG7" s="674"/>
      <c r="CH7" s="674"/>
      <c r="CI7" s="674"/>
      <c r="CJ7" s="674"/>
      <c r="CK7" s="674"/>
      <c r="CL7" s="674"/>
    </row>
    <row r="8" spans="2:90" s="679" customFormat="1" x14ac:dyDescent="0.2">
      <c r="B8" s="1122" t="s">
        <v>805</v>
      </c>
      <c r="C8" s="1122"/>
      <c r="D8" s="1122"/>
      <c r="E8" s="1122"/>
      <c r="F8" s="1122"/>
      <c r="G8" s="1122"/>
      <c r="H8" s="1122"/>
      <c r="I8" s="1138">
        <v>206</v>
      </c>
      <c r="J8" s="1138"/>
      <c r="K8" s="1138"/>
      <c r="N8" s="1135" t="s">
        <v>2425</v>
      </c>
      <c r="O8" s="1135"/>
      <c r="P8" s="1134" t="s">
        <v>2551</v>
      </c>
      <c r="Q8" s="1134"/>
      <c r="R8" s="1134"/>
      <c r="S8" s="1134"/>
      <c r="T8" s="1134"/>
      <c r="U8" s="1134"/>
      <c r="V8" s="1134"/>
      <c r="W8" s="1134"/>
      <c r="X8" s="1134"/>
      <c r="Y8" s="1134"/>
      <c r="Z8" s="1135" t="s">
        <v>1141</v>
      </c>
      <c r="AA8" s="1135"/>
      <c r="AO8" s="680"/>
      <c r="AP8" s="681"/>
      <c r="AR8" s="682" t="s">
        <v>740</v>
      </c>
      <c r="BG8" s="1122" t="s">
        <v>741</v>
      </c>
      <c r="BH8" s="1122"/>
      <c r="BI8" s="1122"/>
      <c r="BJ8" s="1122"/>
      <c r="BK8" s="1122"/>
      <c r="BL8" s="1122"/>
      <c r="BM8" s="1122"/>
      <c r="BN8" s="1234" t="s">
        <v>742</v>
      </c>
      <c r="BO8" s="1234"/>
      <c r="BP8" s="1234"/>
      <c r="BQ8" s="680"/>
      <c r="BR8" s="680"/>
      <c r="BS8" s="683"/>
      <c r="BT8" s="683"/>
      <c r="BU8" s="1122" t="str">
        <f>Daten!M37</f>
        <v>Status</v>
      </c>
      <c r="BV8" s="1122"/>
      <c r="BW8" s="1122"/>
      <c r="BX8" s="1122"/>
      <c r="BY8" s="1122"/>
      <c r="BZ8" s="1122"/>
      <c r="CA8" s="1122"/>
      <c r="CB8" s="1120">
        <f>COLUMN(Daten!M$36)</f>
        <v>13</v>
      </c>
      <c r="CC8" s="1120"/>
      <c r="CD8" s="1120"/>
      <c r="CG8" s="674"/>
      <c r="CH8" s="674"/>
      <c r="CI8" s="674"/>
      <c r="CJ8" s="674"/>
      <c r="CK8" s="674"/>
      <c r="CL8" s="674"/>
    </row>
    <row r="9" spans="2:90" s="679" customFormat="1" x14ac:dyDescent="0.2">
      <c r="B9" s="1122" t="s">
        <v>2766</v>
      </c>
      <c r="C9" s="1122"/>
      <c r="D9" s="1122"/>
      <c r="E9" s="1122"/>
      <c r="F9" s="1122"/>
      <c r="G9" s="1122"/>
      <c r="H9" s="1122"/>
      <c r="I9" s="1138">
        <f>IF(nlc_master!$C$14="Demo",3,IF(BN10&lt;&gt;"",BN10,5))</f>
        <v>3</v>
      </c>
      <c r="J9" s="1138"/>
      <c r="K9" s="1138"/>
      <c r="N9" s="1232">
        <v>2</v>
      </c>
      <c r="O9" s="1232"/>
      <c r="P9" s="1134" t="s">
        <v>2767</v>
      </c>
      <c r="Q9" s="1134"/>
      <c r="R9" s="1134"/>
      <c r="S9" s="1134"/>
      <c r="T9" s="1134"/>
      <c r="U9" s="1134"/>
      <c r="V9" s="1134"/>
      <c r="W9" s="1134"/>
      <c r="X9" s="1134"/>
      <c r="Y9" s="1134"/>
      <c r="AO9" s="680"/>
      <c r="AP9" s="681"/>
      <c r="AR9" s="682" t="s">
        <v>2768</v>
      </c>
      <c r="BG9" s="1122" t="s">
        <v>2769</v>
      </c>
      <c r="BH9" s="1122"/>
      <c r="BI9" s="1122"/>
      <c r="BJ9" s="1122"/>
      <c r="BK9" s="1122"/>
      <c r="BL9" s="1122"/>
      <c r="BM9" s="1122"/>
      <c r="BN9" s="1235"/>
      <c r="BO9" s="1235"/>
      <c r="BP9" s="1235"/>
      <c r="BQ9" s="680"/>
      <c r="BR9" s="680"/>
      <c r="BS9" s="683"/>
      <c r="BT9" s="683"/>
      <c r="BU9" s="1122" t="str">
        <f>Daten!N37</f>
        <v>Verantwortlichkeit</v>
      </c>
      <c r="BV9" s="1122"/>
      <c r="BW9" s="1122"/>
      <c r="BX9" s="1122"/>
      <c r="BY9" s="1122"/>
      <c r="BZ9" s="1122"/>
      <c r="CA9" s="1122"/>
      <c r="CB9" s="1120">
        <f>COLUMN(Daten!N$36)</f>
        <v>14</v>
      </c>
      <c r="CC9" s="1120"/>
      <c r="CD9" s="1120"/>
      <c r="CG9" s="674"/>
      <c r="CH9" s="674"/>
      <c r="CI9" s="674"/>
      <c r="CJ9" s="674"/>
      <c r="CK9" s="674"/>
      <c r="CL9" s="674"/>
    </row>
    <row r="10" spans="2:90" s="679" customFormat="1" x14ac:dyDescent="0.2">
      <c r="B10" s="1122" t="s">
        <v>2770</v>
      </c>
      <c r="C10" s="1122"/>
      <c r="D10" s="1122"/>
      <c r="E10" s="1122"/>
      <c r="F10" s="1122"/>
      <c r="G10" s="1122"/>
      <c r="H10" s="1122"/>
      <c r="I10" s="1138">
        <v>3</v>
      </c>
      <c r="J10" s="1138"/>
      <c r="K10" s="1138"/>
      <c r="N10" s="1136" t="s">
        <v>2771</v>
      </c>
      <c r="O10" s="1136"/>
      <c r="P10" s="1136"/>
      <c r="Q10" s="1136" t="s">
        <v>2772</v>
      </c>
      <c r="R10" s="1136"/>
      <c r="S10" s="1136"/>
      <c r="T10" s="1136" t="s">
        <v>574</v>
      </c>
      <c r="U10" s="1136"/>
      <c r="V10" s="1136"/>
      <c r="W10" s="1136" t="s">
        <v>575</v>
      </c>
      <c r="X10" s="1136"/>
      <c r="Y10" s="1136"/>
      <c r="AA10" s="684" t="s">
        <v>576</v>
      </c>
      <c r="AB10" s="684" t="s">
        <v>577</v>
      </c>
      <c r="AC10" s="684" t="s">
        <v>578</v>
      </c>
      <c r="AO10" s="680"/>
      <c r="AP10" s="681"/>
      <c r="AR10" s="682" t="s">
        <v>1795</v>
      </c>
      <c r="BG10" s="1122" t="s">
        <v>685</v>
      </c>
      <c r="BH10" s="1122"/>
      <c r="BI10" s="1122"/>
      <c r="BJ10" s="1122"/>
      <c r="BK10" s="1122"/>
      <c r="BL10" s="1122"/>
      <c r="BM10" s="1122"/>
      <c r="BN10" s="1236">
        <v>3</v>
      </c>
      <c r="BO10" s="1236"/>
      <c r="BP10" s="1236"/>
      <c r="BQ10" s="680"/>
      <c r="BR10" s="680"/>
      <c r="BS10" s="680"/>
      <c r="BT10" s="680"/>
      <c r="BU10" s="1122" t="str">
        <f>"Basis " &amp; Daten!O39</f>
        <v>Basis Start</v>
      </c>
      <c r="BV10" s="1122"/>
      <c r="BW10" s="1122"/>
      <c r="BX10" s="1122"/>
      <c r="BY10" s="1122"/>
      <c r="BZ10" s="1122"/>
      <c r="CA10" s="1122"/>
      <c r="CB10" s="1120">
        <f>COLUMN(Daten!O$36)</f>
        <v>15</v>
      </c>
      <c r="CC10" s="1120"/>
      <c r="CD10" s="1120"/>
      <c r="CG10" s="674"/>
      <c r="CH10" s="674"/>
      <c r="CI10" s="674"/>
      <c r="CJ10" s="674"/>
      <c r="CK10" s="674"/>
      <c r="CL10" s="674"/>
    </row>
    <row r="11" spans="2:90" s="679" customFormat="1" x14ac:dyDescent="0.2">
      <c r="B11" s="1122" t="s">
        <v>1796</v>
      </c>
      <c r="C11" s="1122"/>
      <c r="D11" s="1122"/>
      <c r="E11" s="1122"/>
      <c r="F11" s="1122"/>
      <c r="G11" s="1122"/>
      <c r="H11" s="1122"/>
      <c r="I11" s="1138">
        <v>10</v>
      </c>
      <c r="J11" s="1138"/>
      <c r="K11" s="1138"/>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22"/>
      <c r="BH11" s="1122"/>
      <c r="BI11" s="1122"/>
      <c r="BJ11" s="1122"/>
      <c r="BK11" s="1122"/>
      <c r="BL11" s="1122"/>
      <c r="BM11" s="1122"/>
      <c r="BN11" s="1236"/>
      <c r="BO11" s="1236"/>
      <c r="BP11" s="1236"/>
      <c r="BQ11" s="680"/>
      <c r="BR11" s="683"/>
      <c r="BS11" s="683"/>
      <c r="BT11" s="683"/>
      <c r="BU11" s="1122" t="str">
        <f>"Basis " &amp; Daten!P39</f>
        <v>Basis Ende</v>
      </c>
      <c r="BV11" s="1122"/>
      <c r="BW11" s="1122"/>
      <c r="BX11" s="1122"/>
      <c r="BY11" s="1122"/>
      <c r="BZ11" s="1122"/>
      <c r="CA11" s="1122"/>
      <c r="CB11" s="1120">
        <f>COLUMN(Daten!P$36)</f>
        <v>16</v>
      </c>
      <c r="CC11" s="1120"/>
      <c r="CD11" s="1120"/>
      <c r="CG11" s="674"/>
      <c r="CH11" s="674"/>
      <c r="CI11" s="674"/>
      <c r="CJ11" s="674"/>
      <c r="CK11" s="674"/>
      <c r="CL11" s="674"/>
    </row>
    <row r="12" spans="2:90" s="679" customFormat="1" x14ac:dyDescent="0.2">
      <c r="B12" s="1122" t="s">
        <v>1797</v>
      </c>
      <c r="C12" s="1122"/>
      <c r="D12" s="1122"/>
      <c r="E12" s="1122"/>
      <c r="F12" s="1122"/>
      <c r="G12" s="1122"/>
      <c r="H12" s="1122"/>
      <c r="I12" s="1138">
        <v>50</v>
      </c>
      <c r="J12" s="1138"/>
      <c r="K12" s="1138"/>
      <c r="N12" s="685">
        <v>1</v>
      </c>
      <c r="Z12" s="678">
        <v>1</v>
      </c>
      <c r="AA12" s="678">
        <v>2</v>
      </c>
      <c r="AB12" s="678">
        <v>2</v>
      </c>
      <c r="AC12" s="678" t="s">
        <v>2623</v>
      </c>
      <c r="AD12" s="678"/>
      <c r="AE12" s="678"/>
      <c r="AF12" s="678"/>
      <c r="AO12" s="680"/>
      <c r="AP12" s="681"/>
      <c r="AR12" s="682"/>
      <c r="BG12" s="1122"/>
      <c r="BH12" s="1122"/>
      <c r="BI12" s="1122"/>
      <c r="BJ12" s="1122"/>
      <c r="BK12" s="1122"/>
      <c r="BL12" s="1122"/>
      <c r="BM12" s="1122"/>
      <c r="BN12" s="1236"/>
      <c r="BO12" s="1236"/>
      <c r="BP12" s="1236"/>
      <c r="BQ12" s="680"/>
      <c r="BR12" s="683"/>
      <c r="BS12" s="683"/>
      <c r="BT12" s="683"/>
      <c r="BU12" s="1122" t="str">
        <f>"Aktuell " &amp; Daten!Q39</f>
        <v>Aktuell Start</v>
      </c>
      <c r="BV12" s="1122"/>
      <c r="BW12" s="1122"/>
      <c r="BX12" s="1122"/>
      <c r="BY12" s="1122"/>
      <c r="BZ12" s="1122"/>
      <c r="CA12" s="1122"/>
      <c r="CB12" s="1120">
        <f>COLUMN(Daten!Q$36)</f>
        <v>17</v>
      </c>
      <c r="CC12" s="1120"/>
      <c r="CD12" s="1120"/>
      <c r="CG12" s="674"/>
      <c r="CH12" s="674"/>
      <c r="CI12" s="674"/>
      <c r="CJ12" s="674"/>
      <c r="CK12" s="674"/>
      <c r="CL12" s="674"/>
    </row>
    <row r="13" spans="2:90" s="679" customFormat="1" x14ac:dyDescent="0.2">
      <c r="B13" s="1122" t="s">
        <v>1798</v>
      </c>
      <c r="C13" s="1122"/>
      <c r="D13" s="1122"/>
      <c r="E13" s="1122"/>
      <c r="F13" s="1122"/>
      <c r="G13" s="1122"/>
      <c r="H13" s="1122"/>
      <c r="I13" s="1138">
        <v>50</v>
      </c>
      <c r="J13" s="1138"/>
      <c r="K13" s="1138"/>
      <c r="N13" s="685">
        <v>2</v>
      </c>
      <c r="P13" s="1134" t="s">
        <v>2623</v>
      </c>
      <c r="Q13" s="1134"/>
      <c r="R13" s="1134"/>
      <c r="S13" s="1134"/>
      <c r="T13" s="1134"/>
      <c r="U13" s="1134"/>
      <c r="V13" s="1134"/>
      <c r="W13" s="1134"/>
      <c r="Z13" s="678">
        <v>2</v>
      </c>
      <c r="AA13" s="678">
        <v>2</v>
      </c>
      <c r="AB13" s="678">
        <v>4</v>
      </c>
      <c r="AC13" s="678" t="s">
        <v>1799</v>
      </c>
      <c r="AD13" s="678"/>
      <c r="AE13" s="678"/>
      <c r="AF13" s="678"/>
      <c r="AO13" s="680"/>
      <c r="AP13" s="681"/>
      <c r="AR13" s="682"/>
      <c r="BG13" s="1122"/>
      <c r="BH13" s="1122"/>
      <c r="BI13" s="1122"/>
      <c r="BJ13" s="1122"/>
      <c r="BK13" s="1122"/>
      <c r="BL13" s="1122"/>
      <c r="BM13" s="1122"/>
      <c r="BN13" s="1236"/>
      <c r="BO13" s="1236"/>
      <c r="BP13" s="1236"/>
      <c r="BQ13" s="680"/>
      <c r="BR13" s="680"/>
      <c r="BS13" s="680"/>
      <c r="BT13" s="680"/>
      <c r="BU13" s="1122" t="str">
        <f>"Aktuell "&amp; Daten!R39</f>
        <v>Aktuell Ende</v>
      </c>
      <c r="BV13" s="1122"/>
      <c r="BW13" s="1122"/>
      <c r="BX13" s="1122"/>
      <c r="BY13" s="1122"/>
      <c r="BZ13" s="1122"/>
      <c r="CA13" s="1122"/>
      <c r="CB13" s="1120">
        <f>COLUMN(Daten!R$36)</f>
        <v>18</v>
      </c>
      <c r="CC13" s="1120"/>
      <c r="CD13" s="1120"/>
      <c r="CG13" s="674"/>
      <c r="CH13" s="674"/>
      <c r="CI13" s="674"/>
      <c r="CJ13" s="674"/>
      <c r="CK13" s="674"/>
      <c r="CL13" s="674"/>
    </row>
    <row r="14" spans="2:90" s="679" customFormat="1" x14ac:dyDescent="0.2">
      <c r="B14" s="1122" t="s">
        <v>631</v>
      </c>
      <c r="C14" s="1122"/>
      <c r="D14" s="1122"/>
      <c r="E14" s="1122"/>
      <c r="F14" s="1122"/>
      <c r="G14" s="1122"/>
      <c r="H14" s="1122"/>
      <c r="I14" s="1138">
        <v>50</v>
      </c>
      <c r="J14" s="1138"/>
      <c r="K14" s="1138"/>
      <c r="N14" s="685">
        <v>3</v>
      </c>
      <c r="P14" s="1134"/>
      <c r="Q14" s="1134"/>
      <c r="R14" s="1134"/>
      <c r="S14" s="1134"/>
      <c r="T14" s="1134"/>
      <c r="U14" s="1134"/>
      <c r="V14" s="1134"/>
      <c r="W14" s="1134"/>
      <c r="Z14" s="678">
        <v>5</v>
      </c>
      <c r="AA14" s="678">
        <v>2</v>
      </c>
      <c r="AB14" s="678">
        <v>5</v>
      </c>
      <c r="AC14" s="678" t="s">
        <v>632</v>
      </c>
      <c r="AD14" s="678"/>
      <c r="AE14" s="678"/>
      <c r="AF14" s="678"/>
      <c r="AO14" s="680"/>
      <c r="AP14" s="681"/>
      <c r="AR14" s="682"/>
      <c r="BG14" s="1122"/>
      <c r="BH14" s="1122"/>
      <c r="BI14" s="1122"/>
      <c r="BJ14" s="1122"/>
      <c r="BK14" s="1122"/>
      <c r="BL14" s="1122"/>
      <c r="BM14" s="1122"/>
      <c r="BN14" s="1236"/>
      <c r="BO14" s="1236"/>
      <c r="BP14" s="1236"/>
      <c r="BQ14" s="680"/>
      <c r="BR14" s="680"/>
      <c r="BS14" s="680"/>
      <c r="BT14" s="680"/>
      <c r="BU14" s="1122" t="str">
        <f>"Personal Summe " &amp; Daten!V39</f>
        <v>Personal Summe Basis</v>
      </c>
      <c r="BV14" s="1122"/>
      <c r="BW14" s="1122"/>
      <c r="BX14" s="1122"/>
      <c r="BY14" s="1122"/>
      <c r="BZ14" s="1122"/>
      <c r="CA14" s="1122"/>
      <c r="CB14" s="1120">
        <f>COLUMN(Daten!V36)</f>
        <v>22</v>
      </c>
      <c r="CC14" s="1120"/>
      <c r="CD14" s="1120"/>
      <c r="CG14" s="674"/>
      <c r="CH14" s="674"/>
      <c r="CI14" s="674"/>
      <c r="CJ14" s="674"/>
      <c r="CK14" s="674"/>
      <c r="CL14" s="674"/>
    </row>
    <row r="15" spans="2:90" s="679" customFormat="1" x14ac:dyDescent="0.2">
      <c r="B15" s="1122" t="s">
        <v>633</v>
      </c>
      <c r="C15" s="1122"/>
      <c r="D15" s="1122"/>
      <c r="E15" s="1122"/>
      <c r="F15" s="1122"/>
      <c r="G15" s="1122"/>
      <c r="H15" s="1122"/>
      <c r="I15" s="1138">
        <v>50</v>
      </c>
      <c r="J15" s="1138"/>
      <c r="K15" s="1138"/>
      <c r="N15" s="685">
        <v>4</v>
      </c>
      <c r="P15" s="1134" t="s">
        <v>634</v>
      </c>
      <c r="Q15" s="1134"/>
      <c r="R15" s="1134"/>
      <c r="S15" s="1134"/>
      <c r="T15" s="1134"/>
      <c r="U15" s="1134"/>
      <c r="V15" s="1134"/>
      <c r="W15" s="1134"/>
      <c r="Z15" s="678">
        <v>6</v>
      </c>
      <c r="AA15" s="678">
        <v>6</v>
      </c>
      <c r="AB15" s="678">
        <v>5</v>
      </c>
      <c r="AC15" s="678" t="s">
        <v>635</v>
      </c>
      <c r="AD15" s="678"/>
      <c r="AE15" s="678"/>
      <c r="AF15" s="678"/>
      <c r="AO15" s="680"/>
      <c r="AP15" s="681"/>
      <c r="AR15" s="682"/>
      <c r="BG15" s="1122" t="s">
        <v>2769</v>
      </c>
      <c r="BH15" s="1122"/>
      <c r="BI15" s="1122"/>
      <c r="BJ15" s="1122"/>
      <c r="BK15" s="1122"/>
      <c r="BL15" s="1122"/>
      <c r="BM15" s="1122"/>
      <c r="BN15" s="1235"/>
      <c r="BO15" s="1235"/>
      <c r="BP15" s="1235"/>
      <c r="BQ15" s="680"/>
      <c r="BR15" s="680"/>
      <c r="BS15" s="680"/>
      <c r="BT15" s="680"/>
      <c r="BU15" s="1122" t="str">
        <f>"Personal Summe " &amp; Daten!W39</f>
        <v>Personal Summe Ist</v>
      </c>
      <c r="BV15" s="1122"/>
      <c r="BW15" s="1122"/>
      <c r="BX15" s="1122"/>
      <c r="BY15" s="1122"/>
      <c r="BZ15" s="1122"/>
      <c r="CA15" s="1122"/>
      <c r="CB15" s="1120">
        <f>COLUMN(Daten!W36)</f>
        <v>23</v>
      </c>
      <c r="CC15" s="1120"/>
      <c r="CD15" s="1120"/>
      <c r="CG15" s="674"/>
      <c r="CH15" s="674"/>
      <c r="CI15" s="674"/>
      <c r="CJ15" s="674"/>
      <c r="CK15" s="674"/>
      <c r="CL15" s="674"/>
    </row>
    <row r="16" spans="2:90" s="679" customFormat="1" x14ac:dyDescent="0.2">
      <c r="B16" s="1122" t="s">
        <v>371</v>
      </c>
      <c r="C16" s="1122"/>
      <c r="D16" s="1122"/>
      <c r="E16" s="1122"/>
      <c r="F16" s="1122"/>
      <c r="G16" s="1122"/>
      <c r="H16" s="1122"/>
      <c r="I16" s="1138">
        <f>IF(BN5=F23,D23,IF(BN5=#REF!,#REF!,0))</f>
        <v>11</v>
      </c>
      <c r="J16" s="1138"/>
      <c r="K16" s="1138"/>
      <c r="N16" s="685">
        <v>5</v>
      </c>
      <c r="P16" s="1233" t="s">
        <v>632</v>
      </c>
      <c r="Q16" s="1233"/>
      <c r="R16" s="1233"/>
      <c r="S16" s="1233"/>
      <c r="T16" s="1233" t="s">
        <v>635</v>
      </c>
      <c r="U16" s="1233"/>
      <c r="V16" s="1233"/>
      <c r="W16" s="1233"/>
      <c r="Z16" s="678" t="s">
        <v>636</v>
      </c>
      <c r="AA16" s="678" t="s">
        <v>637</v>
      </c>
      <c r="AB16" s="678" t="s">
        <v>638</v>
      </c>
      <c r="AC16" s="678"/>
      <c r="AD16" s="678"/>
      <c r="AE16" s="678"/>
      <c r="AF16" s="678"/>
      <c r="AO16" s="680"/>
      <c r="AP16" s="681"/>
      <c r="AR16" s="682"/>
      <c r="BG16" s="1122" t="s">
        <v>639</v>
      </c>
      <c r="BH16" s="1122"/>
      <c r="BI16" s="1122"/>
      <c r="BJ16" s="1122"/>
      <c r="BK16" s="1122"/>
      <c r="BL16" s="1122"/>
      <c r="BM16" s="1122"/>
      <c r="BN16" s="1124" t="b">
        <v>0</v>
      </c>
      <c r="BO16" s="1124"/>
      <c r="BP16" s="1124"/>
      <c r="BQ16" s="680"/>
      <c r="BR16" s="680"/>
      <c r="BS16" s="680"/>
      <c r="BT16" s="680"/>
      <c r="BU16" s="1122" t="str">
        <f>"Personal Summe " &amp; Daten!Y39</f>
        <v>Personal Summe Aktuell</v>
      </c>
      <c r="BV16" s="1122"/>
      <c r="BW16" s="1122"/>
      <c r="BX16" s="1122"/>
      <c r="BY16" s="1122"/>
      <c r="BZ16" s="1122"/>
      <c r="CA16" s="1122"/>
      <c r="CB16" s="1120">
        <f>COLUMN(Daten!Y36)</f>
        <v>25</v>
      </c>
      <c r="CC16" s="1120"/>
      <c r="CD16" s="1120"/>
      <c r="CG16" s="674"/>
      <c r="CH16" s="674"/>
      <c r="CI16" s="674"/>
      <c r="CJ16" s="674"/>
      <c r="CK16" s="674"/>
      <c r="CL16" s="674"/>
    </row>
    <row r="17" spans="1:90" s="679" customFormat="1" x14ac:dyDescent="0.2">
      <c r="B17" s="1122"/>
      <c r="C17" s="1122"/>
      <c r="D17" s="1122"/>
      <c r="E17" s="1122"/>
      <c r="F17" s="1122"/>
      <c r="G17" s="1122"/>
      <c r="H17" s="1122"/>
      <c r="I17" s="1138"/>
      <c r="J17" s="1138"/>
      <c r="K17" s="1138"/>
      <c r="N17" s="685">
        <v>6</v>
      </c>
      <c r="Z17" s="678" t="s">
        <v>2667</v>
      </c>
      <c r="AA17" s="678"/>
      <c r="AB17" s="678"/>
      <c r="AC17" s="678"/>
      <c r="AD17" s="678"/>
      <c r="AE17" s="678"/>
      <c r="AF17" s="678"/>
      <c r="AO17" s="680"/>
      <c r="AP17" s="681"/>
      <c r="AR17" s="682"/>
      <c r="BG17" s="1122" t="s">
        <v>793</v>
      </c>
      <c r="BH17" s="1122"/>
      <c r="BI17" s="1122"/>
      <c r="BJ17" s="1122"/>
      <c r="BK17" s="1122"/>
      <c r="BL17" s="1122"/>
      <c r="BM17" s="1122"/>
      <c r="BN17" s="1124" t="b">
        <v>1</v>
      </c>
      <c r="BO17" s="1124"/>
      <c r="BP17" s="1124"/>
      <c r="BQ17" s="680"/>
      <c r="BR17" s="680"/>
      <c r="BS17" s="680"/>
      <c r="BT17" s="680"/>
      <c r="BU17" s="1122" t="str">
        <f>"Personal Summe " &amp; Daten!X39</f>
        <v>Personal Summe Rest</v>
      </c>
      <c r="BV17" s="1122"/>
      <c r="BW17" s="1122"/>
      <c r="BX17" s="1122"/>
      <c r="BY17" s="1122"/>
      <c r="BZ17" s="1122"/>
      <c r="CA17" s="1122"/>
      <c r="CB17" s="1120">
        <f>COLUMN(Daten!X36)</f>
        <v>24</v>
      </c>
      <c r="CC17" s="1120"/>
      <c r="CD17" s="1120"/>
      <c r="CG17" s="674"/>
      <c r="CH17" s="674"/>
      <c r="CI17" s="674"/>
      <c r="CJ17" s="674"/>
      <c r="CK17" s="674"/>
      <c r="CL17" s="674"/>
    </row>
    <row r="18" spans="1:90" s="679" customFormat="1" x14ac:dyDescent="0.2">
      <c r="B18" s="1122"/>
      <c r="C18" s="1122"/>
      <c r="D18" s="1122"/>
      <c r="E18" s="1122"/>
      <c r="F18" s="1122"/>
      <c r="G18" s="1122"/>
      <c r="H18" s="1122"/>
      <c r="I18" s="1138"/>
      <c r="J18" s="1138"/>
      <c r="K18" s="1138"/>
      <c r="N18" s="685">
        <v>7</v>
      </c>
      <c r="Z18" s="678" t="s">
        <v>2668</v>
      </c>
      <c r="AA18" s="678"/>
      <c r="AB18" s="678"/>
      <c r="AC18" s="678"/>
      <c r="AD18" s="678"/>
      <c r="AE18" s="678"/>
      <c r="AF18" s="678"/>
      <c r="AO18" s="680"/>
      <c r="AP18" s="681"/>
      <c r="AR18" s="682" t="s">
        <v>2669</v>
      </c>
      <c r="BG18" s="1122" t="s">
        <v>2670</v>
      </c>
      <c r="BH18" s="1122"/>
      <c r="BI18" s="1122"/>
      <c r="BJ18" s="1122"/>
      <c r="BK18" s="1122"/>
      <c r="BL18" s="1122"/>
      <c r="BM18" s="1122"/>
      <c r="BN18" s="1124" t="b">
        <v>1</v>
      </c>
      <c r="BO18" s="1124"/>
      <c r="BP18" s="1124"/>
      <c r="BQ18" s="680"/>
      <c r="BR18" s="680"/>
      <c r="BS18" s="680"/>
      <c r="BT18" s="680"/>
      <c r="BU18" s="1122" t="str">
        <f>"Personal Summe " &amp; Daten!Z39</f>
        <v>Personal Summe Abw.</v>
      </c>
      <c r="BV18" s="1122"/>
      <c r="BW18" s="1122"/>
      <c r="BX18" s="1122"/>
      <c r="BY18" s="1122"/>
      <c r="BZ18" s="1122"/>
      <c r="CA18" s="1122"/>
      <c r="CB18" s="1120">
        <f>COLUMN(Daten!Z36)</f>
        <v>26</v>
      </c>
      <c r="CC18" s="1120"/>
      <c r="CD18" s="1120"/>
      <c r="CG18" s="674"/>
      <c r="CH18" s="674"/>
      <c r="CI18" s="674"/>
      <c r="CJ18" s="674"/>
      <c r="CK18" s="674"/>
      <c r="CL18" s="674"/>
    </row>
    <row r="19" spans="1:90" s="679" customFormat="1" x14ac:dyDescent="0.2">
      <c r="B19" s="1122"/>
      <c r="C19" s="1122"/>
      <c r="D19" s="1122"/>
      <c r="E19" s="1122"/>
      <c r="F19" s="1122"/>
      <c r="G19" s="1122"/>
      <c r="H19" s="1122"/>
      <c r="I19" s="1139"/>
      <c r="J19" s="1139"/>
      <c r="K19" s="1139"/>
      <c r="N19" s="685"/>
      <c r="Z19" s="678" t="s">
        <v>2671</v>
      </c>
      <c r="AA19" s="678"/>
      <c r="AB19" s="678"/>
      <c r="AC19" s="678"/>
      <c r="AD19" s="678"/>
      <c r="AE19" s="678"/>
      <c r="AF19" s="678"/>
      <c r="AO19" s="680"/>
      <c r="AP19" s="681"/>
      <c r="AR19" s="682" t="s">
        <v>1527</v>
      </c>
      <c r="BG19" s="1122" t="s">
        <v>1528</v>
      </c>
      <c r="BH19" s="1122"/>
      <c r="BI19" s="1122"/>
      <c r="BJ19" s="1122"/>
      <c r="BK19" s="1122"/>
      <c r="BL19" s="1122"/>
      <c r="BM19" s="1122"/>
      <c r="BN19" s="1124" t="b">
        <v>1</v>
      </c>
      <c r="BO19" s="1124"/>
      <c r="BP19" s="1124"/>
      <c r="BQ19" s="680"/>
      <c r="BR19" s="680"/>
      <c r="BS19" s="680"/>
      <c r="BT19" s="680"/>
      <c r="BU19" s="1122" t="str">
        <f>"Rohst. Summe " &amp; Daten!AG39</f>
        <v>Rohst. Summe Basis</v>
      </c>
      <c r="BV19" s="1122"/>
      <c r="BW19" s="1122"/>
      <c r="BX19" s="1122"/>
      <c r="BY19" s="1122"/>
      <c r="BZ19" s="1122"/>
      <c r="CA19" s="1122"/>
      <c r="CB19" s="1120">
        <f>COLUMN(Daten!AG36)</f>
        <v>33</v>
      </c>
      <c r="CC19" s="1120"/>
      <c r="CD19" s="1120"/>
      <c r="CG19" s="674"/>
      <c r="CH19" s="674"/>
      <c r="CI19" s="674"/>
      <c r="CJ19" s="674"/>
      <c r="CK19" s="674"/>
      <c r="CL19" s="674"/>
    </row>
    <row r="20" spans="1:90" s="679" customFormat="1" x14ac:dyDescent="0.2">
      <c r="B20" s="1122"/>
      <c r="C20" s="1122"/>
      <c r="D20" s="1122"/>
      <c r="E20" s="1122"/>
      <c r="F20" s="1122"/>
      <c r="G20" s="1122"/>
      <c r="H20" s="1122"/>
      <c r="I20" s="1139"/>
      <c r="J20" s="1139"/>
      <c r="K20" s="1139"/>
      <c r="O20" s="685"/>
      <c r="AO20" s="680"/>
      <c r="AP20" s="681"/>
      <c r="AR20" s="682" t="s">
        <v>1529</v>
      </c>
      <c r="BG20" s="1122" t="s">
        <v>1530</v>
      </c>
      <c r="BH20" s="1122"/>
      <c r="BI20" s="1122"/>
      <c r="BJ20" s="1122"/>
      <c r="BK20" s="1122"/>
      <c r="BL20" s="1122"/>
      <c r="BM20" s="1122"/>
      <c r="BN20" s="1124" t="b">
        <v>1</v>
      </c>
      <c r="BO20" s="1124"/>
      <c r="BP20" s="1124"/>
      <c r="BQ20" s="680"/>
      <c r="BR20" s="680"/>
      <c r="BS20" s="680"/>
      <c r="BT20" s="680"/>
      <c r="BU20" s="1122" t="str">
        <f>"Rohst. Summe " &amp; Daten!AH39</f>
        <v>Rohst. Summe Ist</v>
      </c>
      <c r="BV20" s="1122"/>
      <c r="BW20" s="1122"/>
      <c r="BX20" s="1122"/>
      <c r="BY20" s="1122"/>
      <c r="BZ20" s="1122"/>
      <c r="CA20" s="1122"/>
      <c r="CB20" s="1120">
        <f>COLUMN(Daten!AH36)</f>
        <v>34</v>
      </c>
      <c r="CC20" s="1120"/>
      <c r="CD20" s="1120"/>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22" t="s">
        <v>941</v>
      </c>
      <c r="BH21" s="1122"/>
      <c r="BI21" s="1122"/>
      <c r="BJ21" s="1122"/>
      <c r="BK21" s="1122"/>
      <c r="BL21" s="1122"/>
      <c r="BM21" s="1122"/>
      <c r="BN21" s="1124" t="b">
        <v>1</v>
      </c>
      <c r="BO21" s="1124"/>
      <c r="BP21" s="1124"/>
      <c r="BQ21" s="680"/>
      <c r="BR21" s="680"/>
      <c r="BS21" s="680"/>
      <c r="BT21" s="680"/>
      <c r="BU21" s="1122" t="str">
        <f>"Rohst. Summe " &amp; Daten!AJ39</f>
        <v>Rohst. Summe Aktuell</v>
      </c>
      <c r="BV21" s="1122"/>
      <c r="BW21" s="1122"/>
      <c r="BX21" s="1122"/>
      <c r="BY21" s="1122"/>
      <c r="BZ21" s="1122"/>
      <c r="CA21" s="1122"/>
      <c r="CB21" s="1120">
        <f>COLUMN(Daten!AJ36)</f>
        <v>36</v>
      </c>
      <c r="CC21" s="1120"/>
      <c r="CD21" s="1120"/>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22" t="s">
        <v>2319</v>
      </c>
      <c r="BH22" s="1122"/>
      <c r="BI22" s="1122"/>
      <c r="BJ22" s="1122"/>
      <c r="BK22" s="1122"/>
      <c r="BL22" s="1122"/>
      <c r="BM22" s="1122"/>
      <c r="BN22" s="1124" t="b">
        <v>0</v>
      </c>
      <c r="BO22" s="1124"/>
      <c r="BP22" s="1124"/>
      <c r="BQ22" s="686"/>
      <c r="BR22" s="686"/>
      <c r="BS22" s="686"/>
      <c r="BT22" s="686"/>
      <c r="BU22" s="1122" t="str">
        <f>"Rohst. Summe " &amp; Daten!AI39</f>
        <v>Rohst. Summe Rest</v>
      </c>
      <c r="BV22" s="1122"/>
      <c r="BW22" s="1122"/>
      <c r="BX22" s="1122"/>
      <c r="BY22" s="1122"/>
      <c r="BZ22" s="1122"/>
      <c r="CA22" s="1122"/>
      <c r="CB22" s="1120">
        <f>COLUMN(Daten!AI36)</f>
        <v>35</v>
      </c>
      <c r="CC22" s="1120"/>
      <c r="CD22" s="1120"/>
    </row>
    <row r="23" spans="1:90" x14ac:dyDescent="0.2">
      <c r="A23" s="508"/>
      <c r="B23" s="1229">
        <v>8</v>
      </c>
      <c r="C23" s="1229"/>
      <c r="D23" s="1229">
        <v>11</v>
      </c>
      <c r="E23" s="1229"/>
      <c r="F23" s="1230" t="s">
        <v>1079</v>
      </c>
      <c r="G23" s="1231"/>
      <c r="H23" s="1231"/>
      <c r="I23" s="1231"/>
      <c r="J23" s="1231"/>
      <c r="K23" s="1231"/>
      <c r="L23" s="1231"/>
      <c r="M23" s="1231"/>
      <c r="N23" s="1229">
        <v>5</v>
      </c>
      <c r="O23" s="1229"/>
      <c r="P23" s="1226">
        <v>7</v>
      </c>
      <c r="Q23" s="1226"/>
      <c r="R23" s="1226">
        <v>40</v>
      </c>
      <c r="S23" s="1226"/>
      <c r="T23" s="1227" t="s">
        <v>801</v>
      </c>
      <c r="U23" s="1228"/>
      <c r="V23" s="1228"/>
      <c r="W23" s="1228"/>
      <c r="X23" s="1228"/>
      <c r="Y23" s="1228"/>
      <c r="Z23" s="1228"/>
      <c r="AA23" s="122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123" t="str">
        <f>"Rohst. Summe " &amp; Daten!AK39</f>
        <v>Rohst. Summe Abw.</v>
      </c>
      <c r="BV23" s="1123"/>
      <c r="BW23" s="1123"/>
      <c r="BX23" s="1123"/>
      <c r="BY23" s="1123"/>
      <c r="BZ23" s="1123"/>
      <c r="CA23" s="1123"/>
      <c r="CB23" s="1121">
        <f>COLUMN(Daten!AK36)</f>
        <v>37</v>
      </c>
      <c r="CC23" s="1121"/>
      <c r="CD23" s="1121"/>
    </row>
    <row r="24" spans="1:90" x14ac:dyDescent="0.2">
      <c r="A24" s="508"/>
      <c r="B24" s="1165" t="s">
        <v>2425</v>
      </c>
      <c r="C24" s="1165"/>
      <c r="D24" s="1172" t="s">
        <v>2551</v>
      </c>
      <c r="E24" s="1173"/>
      <c r="F24" s="1173"/>
      <c r="G24" s="1173"/>
      <c r="H24" s="1173"/>
      <c r="I24" s="1173"/>
      <c r="J24" s="1173"/>
      <c r="K24" s="1173"/>
      <c r="L24" s="1173"/>
      <c r="M24" s="1173"/>
      <c r="N24" s="1165">
        <v>3</v>
      </c>
      <c r="O24" s="1165"/>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171">
        <v>2</v>
      </c>
      <c r="C25" s="1171"/>
      <c r="D25" s="1168" t="s">
        <v>2767</v>
      </c>
      <c r="E25" s="1169"/>
      <c r="F25" s="1169"/>
      <c r="G25" s="1169"/>
      <c r="H25" s="1169"/>
      <c r="I25" s="1169"/>
      <c r="J25" s="1169"/>
      <c r="K25" s="1169"/>
      <c r="L25" s="1169"/>
      <c r="M25" s="1169"/>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170">
        <f>CB7</f>
        <v>12</v>
      </c>
      <c r="C26" s="1170"/>
      <c r="D26" s="1170"/>
      <c r="E26" s="1170" t="s">
        <v>576</v>
      </c>
      <c r="F26" s="1170"/>
      <c r="G26" s="1170"/>
      <c r="H26" s="1170">
        <v>0</v>
      </c>
      <c r="I26" s="1170"/>
      <c r="J26" s="1170"/>
      <c r="K26" s="1170">
        <v>6</v>
      </c>
      <c r="L26" s="1170"/>
      <c r="M26" s="1170"/>
      <c r="N26" s="508"/>
      <c r="O26" s="508"/>
      <c r="P26" s="508"/>
      <c r="Q26" s="508"/>
      <c r="R26" s="508"/>
      <c r="S26" s="508"/>
      <c r="T26" s="508"/>
      <c r="U26" s="508"/>
      <c r="V26" s="508"/>
      <c r="W26" s="508"/>
      <c r="X26" s="508"/>
      <c r="Y26" s="508"/>
      <c r="Z26" s="508"/>
      <c r="AA26" s="1125">
        <f>CB7</f>
        <v>12</v>
      </c>
      <c r="AB26" s="1126"/>
      <c r="AC26" s="1127"/>
      <c r="AD26" s="1125" t="s">
        <v>576</v>
      </c>
      <c r="AE26" s="1126"/>
      <c r="AF26" s="1127"/>
      <c r="AG26" s="1125">
        <v>1</v>
      </c>
      <c r="AH26" s="1126"/>
      <c r="AI26" s="1127"/>
      <c r="AJ26" s="1125">
        <v>6</v>
      </c>
      <c r="AK26" s="1126"/>
      <c r="AL26" s="1127"/>
      <c r="AM26" s="508"/>
      <c r="AN26" s="508"/>
      <c r="AO26" s="508"/>
      <c r="AP26" s="508"/>
      <c r="AQ26" s="508"/>
      <c r="AR26" s="508"/>
      <c r="AS26" s="508"/>
      <c r="AT26" s="508"/>
      <c r="AU26" s="508"/>
      <c r="AV26" s="508"/>
      <c r="AW26" s="508"/>
      <c r="AX26" s="508"/>
      <c r="AY26" s="508"/>
      <c r="AZ26" s="1125"/>
      <c r="BA26" s="1126"/>
      <c r="BB26" s="1127"/>
      <c r="BC26" s="1125"/>
      <c r="BD26" s="1126"/>
      <c r="BE26" s="1127"/>
      <c r="BF26" s="1125"/>
      <c r="BG26" s="1126"/>
      <c r="BH26" s="1127"/>
      <c r="BI26" s="1125">
        <v>6</v>
      </c>
      <c r="BJ26" s="1126"/>
      <c r="BK26" s="1127"/>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81" t="s">
        <v>2623</v>
      </c>
      <c r="D28" s="1082"/>
      <c r="E28" s="1082"/>
      <c r="F28" s="1082"/>
      <c r="G28" s="1082"/>
      <c r="H28" s="1082"/>
      <c r="I28" s="1082"/>
      <c r="J28" s="1082"/>
      <c r="K28" s="1082"/>
      <c r="L28" s="1082"/>
      <c r="M28" s="1067" t="s">
        <v>854</v>
      </c>
      <c r="N28" s="506"/>
      <c r="O28" s="506"/>
      <c r="P28" s="508"/>
      <c r="Q28" s="504">
        <f>$CB$6</f>
        <v>11</v>
      </c>
      <c r="R28" s="502">
        <v>1</v>
      </c>
      <c r="S28" s="502">
        <v>1</v>
      </c>
      <c r="T28" s="503" t="s">
        <v>2623</v>
      </c>
      <c r="U28" s="508"/>
      <c r="V28" s="508"/>
      <c r="W28" s="508"/>
      <c r="X28" s="508"/>
      <c r="Y28" s="508"/>
      <c r="Z28" s="508"/>
      <c r="AA28" s="501">
        <v>1</v>
      </c>
      <c r="AB28" s="1064" t="s">
        <v>2623</v>
      </c>
      <c r="AC28" s="1065"/>
      <c r="AD28" s="1065"/>
      <c r="AE28" s="1065"/>
      <c r="AF28" s="1065"/>
      <c r="AG28" s="1065"/>
      <c r="AH28" s="1065"/>
      <c r="AI28" s="1065"/>
      <c r="AJ28" s="1065"/>
      <c r="AK28" s="1065"/>
      <c r="AL28" s="1067" t="s">
        <v>854</v>
      </c>
      <c r="AM28" s="506"/>
      <c r="AN28" s="506"/>
      <c r="AO28" s="508"/>
      <c r="AP28" s="504">
        <f>$CB$6</f>
        <v>11</v>
      </c>
      <c r="AQ28" s="502">
        <v>1</v>
      </c>
      <c r="AR28" s="502">
        <v>1</v>
      </c>
      <c r="AS28" s="503" t="s">
        <v>2623</v>
      </c>
      <c r="AT28" s="508"/>
      <c r="AU28" s="508"/>
      <c r="AV28" s="508"/>
      <c r="AW28" s="511"/>
      <c r="AX28" s="511"/>
      <c r="AY28" s="511"/>
      <c r="AZ28" s="512">
        <v>1</v>
      </c>
      <c r="BA28" s="1187" t="s">
        <v>2623</v>
      </c>
      <c r="BB28" s="1188"/>
      <c r="BC28" s="1188"/>
      <c r="BD28" s="1188"/>
      <c r="BE28" s="1188"/>
      <c r="BF28" s="1188"/>
      <c r="BG28" s="1188"/>
      <c r="BH28" s="1188"/>
      <c r="BI28" s="1188"/>
      <c r="BJ28" s="1188"/>
      <c r="BK28" s="1067"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82"/>
      <c r="D29" s="1082"/>
      <c r="E29" s="1082"/>
      <c r="F29" s="1082"/>
      <c r="G29" s="1082"/>
      <c r="H29" s="1082"/>
      <c r="I29" s="1082"/>
      <c r="J29" s="1082"/>
      <c r="K29" s="1082"/>
      <c r="L29" s="1082"/>
      <c r="M29" s="1068"/>
      <c r="N29" s="506"/>
      <c r="O29" s="506"/>
      <c r="P29" s="508"/>
      <c r="Q29" s="504">
        <f>$CB$5</f>
        <v>10</v>
      </c>
      <c r="R29" s="506">
        <v>1</v>
      </c>
      <c r="S29" s="506">
        <v>5</v>
      </c>
      <c r="T29" s="503" t="s">
        <v>2622</v>
      </c>
      <c r="U29" s="508"/>
      <c r="V29" s="508"/>
      <c r="W29" s="508"/>
      <c r="X29" s="508"/>
      <c r="Y29" s="508"/>
      <c r="Z29" s="508"/>
      <c r="AA29" s="501">
        <v>2</v>
      </c>
      <c r="AB29" s="1065"/>
      <c r="AC29" s="1065"/>
      <c r="AD29" s="1065"/>
      <c r="AE29" s="1065"/>
      <c r="AF29" s="1065"/>
      <c r="AG29" s="1065"/>
      <c r="AH29" s="1065"/>
      <c r="AI29" s="1065"/>
      <c r="AJ29" s="1065"/>
      <c r="AK29" s="1065"/>
      <c r="AL29" s="1068"/>
      <c r="AM29" s="506"/>
      <c r="AN29" s="506"/>
      <c r="AO29" s="508"/>
      <c r="AP29" s="504">
        <f>$CB$5</f>
        <v>10</v>
      </c>
      <c r="AQ29" s="506">
        <v>1</v>
      </c>
      <c r="AR29" s="506">
        <v>5</v>
      </c>
      <c r="AS29" s="503" t="s">
        <v>2622</v>
      </c>
      <c r="AT29" s="508"/>
      <c r="AU29" s="508"/>
      <c r="AV29" s="508"/>
      <c r="AW29" s="511"/>
      <c r="AX29" s="511"/>
      <c r="AY29" s="511"/>
      <c r="AZ29" s="512">
        <v>2</v>
      </c>
      <c r="BA29" s="1188"/>
      <c r="BB29" s="1188"/>
      <c r="BC29" s="1188"/>
      <c r="BD29" s="1188"/>
      <c r="BE29" s="1188"/>
      <c r="BF29" s="1188"/>
      <c r="BG29" s="1188"/>
      <c r="BH29" s="1188"/>
      <c r="BI29" s="1188"/>
      <c r="BJ29" s="1188"/>
      <c r="BK29" s="1068"/>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82"/>
      <c r="D30" s="1082"/>
      <c r="E30" s="1082"/>
      <c r="F30" s="1082"/>
      <c r="G30" s="1082"/>
      <c r="H30" s="1082"/>
      <c r="I30" s="1082"/>
      <c r="J30" s="1082"/>
      <c r="K30" s="1082"/>
      <c r="L30" s="1082"/>
      <c r="M30" s="1068"/>
      <c r="N30" s="506"/>
      <c r="O30" s="506"/>
      <c r="P30" s="508"/>
      <c r="Q30" s="504">
        <f>$CB$9</f>
        <v>14</v>
      </c>
      <c r="R30" s="506">
        <v>4</v>
      </c>
      <c r="S30" s="506">
        <v>5</v>
      </c>
      <c r="T30" s="503" t="s">
        <v>634</v>
      </c>
      <c r="U30" s="508"/>
      <c r="V30" s="508"/>
      <c r="W30" s="508"/>
      <c r="X30" s="508"/>
      <c r="Y30" s="508"/>
      <c r="Z30" s="508"/>
      <c r="AA30" s="501">
        <v>3</v>
      </c>
      <c r="AB30" s="1065"/>
      <c r="AC30" s="1065"/>
      <c r="AD30" s="1065"/>
      <c r="AE30" s="1065"/>
      <c r="AF30" s="1065"/>
      <c r="AG30" s="1065"/>
      <c r="AH30" s="1065"/>
      <c r="AI30" s="1065"/>
      <c r="AJ30" s="1065"/>
      <c r="AK30" s="1065"/>
      <c r="AL30" s="1068"/>
      <c r="AM30" s="506"/>
      <c r="AN30" s="506"/>
      <c r="AO30" s="508"/>
      <c r="AP30" s="504">
        <f>$CB$9</f>
        <v>14</v>
      </c>
      <c r="AQ30" s="506">
        <v>4</v>
      </c>
      <c r="AR30" s="506">
        <v>5</v>
      </c>
      <c r="AS30" s="503" t="s">
        <v>634</v>
      </c>
      <c r="AT30" s="508"/>
      <c r="AU30" s="508"/>
      <c r="AV30" s="508"/>
      <c r="AW30" s="511"/>
      <c r="AX30" s="511"/>
      <c r="AY30" s="511"/>
      <c r="AZ30" s="512">
        <v>3</v>
      </c>
      <c r="BA30" s="1188"/>
      <c r="BB30" s="1188"/>
      <c r="BC30" s="1188"/>
      <c r="BD30" s="1188"/>
      <c r="BE30" s="1188"/>
      <c r="BF30" s="1188"/>
      <c r="BG30" s="1188"/>
      <c r="BH30" s="1188"/>
      <c r="BI30" s="1188"/>
      <c r="BJ30" s="1188"/>
      <c r="BK30" s="1068"/>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82"/>
      <c r="D31" s="1082"/>
      <c r="E31" s="1082"/>
      <c r="F31" s="1082"/>
      <c r="G31" s="1082"/>
      <c r="H31" s="1082"/>
      <c r="I31" s="1082"/>
      <c r="J31" s="1082"/>
      <c r="K31" s="1082"/>
      <c r="L31" s="1082"/>
      <c r="M31" s="1068"/>
      <c r="N31" s="506"/>
      <c r="O31" s="506"/>
      <c r="P31" s="508"/>
      <c r="Q31" s="505">
        <f>$CB$12</f>
        <v>17</v>
      </c>
      <c r="R31" s="506">
        <v>1</v>
      </c>
      <c r="S31" s="506">
        <v>7</v>
      </c>
      <c r="T31" s="503" t="s">
        <v>632</v>
      </c>
      <c r="U31" s="508"/>
      <c r="V31" s="508"/>
      <c r="W31" s="508"/>
      <c r="X31" s="508"/>
      <c r="Y31" s="508"/>
      <c r="Z31" s="508"/>
      <c r="AA31" s="501">
        <v>4</v>
      </c>
      <c r="AB31" s="1065"/>
      <c r="AC31" s="1065"/>
      <c r="AD31" s="1065"/>
      <c r="AE31" s="1065"/>
      <c r="AF31" s="1065"/>
      <c r="AG31" s="1065"/>
      <c r="AH31" s="1065"/>
      <c r="AI31" s="1065"/>
      <c r="AJ31" s="1065"/>
      <c r="AK31" s="1065"/>
      <c r="AL31" s="1068"/>
      <c r="AM31" s="506"/>
      <c r="AN31" s="506"/>
      <c r="AO31" s="508"/>
      <c r="AP31" s="505">
        <f>$CB$12</f>
        <v>17</v>
      </c>
      <c r="AQ31" s="506">
        <v>1</v>
      </c>
      <c r="AR31" s="506">
        <v>7</v>
      </c>
      <c r="AS31" s="503" t="s">
        <v>632</v>
      </c>
      <c r="AT31" s="508"/>
      <c r="AU31" s="508"/>
      <c r="AV31" s="508"/>
      <c r="AW31" s="511"/>
      <c r="AX31" s="511"/>
      <c r="AY31" s="511"/>
      <c r="AZ31" s="512">
        <v>4</v>
      </c>
      <c r="BA31" s="1188"/>
      <c r="BB31" s="1188"/>
      <c r="BC31" s="1188"/>
      <c r="BD31" s="1188"/>
      <c r="BE31" s="1188"/>
      <c r="BF31" s="1188"/>
      <c r="BG31" s="1188"/>
      <c r="BH31" s="1188"/>
      <c r="BI31" s="1188"/>
      <c r="BJ31" s="1188"/>
      <c r="BK31" s="1068"/>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84" t="s">
        <v>2622</v>
      </c>
      <c r="D32" s="1084"/>
      <c r="E32" s="1084"/>
      <c r="F32" s="1086" t="s">
        <v>2624</v>
      </c>
      <c r="G32" s="1082"/>
      <c r="H32" s="1082"/>
      <c r="I32" s="1082"/>
      <c r="J32" s="1082"/>
      <c r="K32" s="1082"/>
      <c r="L32" s="1082"/>
      <c r="M32" s="1068"/>
      <c r="N32" s="506"/>
      <c r="O32" s="506"/>
      <c r="P32" s="508"/>
      <c r="Q32" s="505">
        <f>$CB$13</f>
        <v>18</v>
      </c>
      <c r="R32" s="506">
        <v>6</v>
      </c>
      <c r="S32" s="506">
        <v>7</v>
      </c>
      <c r="T32" s="503" t="s">
        <v>635</v>
      </c>
      <c r="U32" s="508"/>
      <c r="V32" s="508"/>
      <c r="W32" s="508"/>
      <c r="X32" s="508"/>
      <c r="Y32" s="508"/>
      <c r="Z32" s="508"/>
      <c r="AA32" s="501">
        <v>5</v>
      </c>
      <c r="AB32" s="1069" t="s">
        <v>2622</v>
      </c>
      <c r="AC32" s="1069"/>
      <c r="AD32" s="1069"/>
      <c r="AE32" s="1071" t="s">
        <v>2624</v>
      </c>
      <c r="AF32" s="1072"/>
      <c r="AG32" s="1072"/>
      <c r="AH32" s="1072"/>
      <c r="AI32" s="1072"/>
      <c r="AJ32" s="1072"/>
      <c r="AK32" s="1072"/>
      <c r="AL32" s="1068"/>
      <c r="AM32" s="506"/>
      <c r="AN32" s="506"/>
      <c r="AO32" s="508"/>
      <c r="AP32" s="505">
        <f>$CB$13</f>
        <v>18</v>
      </c>
      <c r="AQ32" s="506">
        <v>6</v>
      </c>
      <c r="AR32" s="506">
        <v>7</v>
      </c>
      <c r="AS32" s="503" t="s">
        <v>635</v>
      </c>
      <c r="AT32" s="508"/>
      <c r="AU32" s="508"/>
      <c r="AV32" s="508"/>
      <c r="AW32" s="511"/>
      <c r="AX32" s="511"/>
      <c r="AY32" s="511"/>
      <c r="AZ32" s="512">
        <v>5</v>
      </c>
      <c r="BA32" s="1196" t="s">
        <v>2622</v>
      </c>
      <c r="BB32" s="1196"/>
      <c r="BC32" s="1196"/>
      <c r="BD32" s="1198" t="s">
        <v>2624</v>
      </c>
      <c r="BE32" s="1199"/>
      <c r="BF32" s="1199"/>
      <c r="BG32" s="1199"/>
      <c r="BH32" s="1199"/>
      <c r="BI32" s="1199"/>
      <c r="BJ32" s="1199"/>
      <c r="BK32" s="1068"/>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84"/>
      <c r="D33" s="1084"/>
      <c r="E33" s="1084"/>
      <c r="F33" s="1082"/>
      <c r="G33" s="1082"/>
      <c r="H33" s="1082"/>
      <c r="I33" s="1082"/>
      <c r="J33" s="1082"/>
      <c r="K33" s="1082"/>
      <c r="L33" s="1082"/>
      <c r="M33" s="1068"/>
      <c r="N33" s="506"/>
      <c r="O33" s="506"/>
      <c r="P33" s="508"/>
      <c r="Q33" s="504">
        <f>$CB$8</f>
        <v>13</v>
      </c>
      <c r="R33" s="506">
        <v>11</v>
      </c>
      <c r="S33" s="506">
        <v>1</v>
      </c>
      <c r="T33" s="503" t="s">
        <v>2575</v>
      </c>
      <c r="U33" s="508"/>
      <c r="V33" s="508"/>
      <c r="W33" s="508"/>
      <c r="X33" s="508"/>
      <c r="Y33" s="508"/>
      <c r="Z33" s="508"/>
      <c r="AA33" s="501">
        <v>6</v>
      </c>
      <c r="AB33" s="1069"/>
      <c r="AC33" s="1069"/>
      <c r="AD33" s="1069"/>
      <c r="AE33" s="1072"/>
      <c r="AF33" s="1072"/>
      <c r="AG33" s="1072"/>
      <c r="AH33" s="1072"/>
      <c r="AI33" s="1072"/>
      <c r="AJ33" s="1072"/>
      <c r="AK33" s="1072"/>
      <c r="AL33" s="1068"/>
      <c r="AM33" s="506"/>
      <c r="AN33" s="506"/>
      <c r="AO33" s="508"/>
      <c r="AP33" s="504">
        <f>$CB$8</f>
        <v>13</v>
      </c>
      <c r="AQ33" s="506">
        <v>11</v>
      </c>
      <c r="AR33" s="506">
        <v>1</v>
      </c>
      <c r="AS33" s="503" t="s">
        <v>2575</v>
      </c>
      <c r="AT33" s="508"/>
      <c r="AU33" s="508"/>
      <c r="AV33" s="508"/>
      <c r="AW33" s="511"/>
      <c r="AX33" s="511"/>
      <c r="AY33" s="511"/>
      <c r="AZ33" s="512">
        <v>6</v>
      </c>
      <c r="BA33" s="1196"/>
      <c r="BB33" s="1196"/>
      <c r="BC33" s="1196"/>
      <c r="BD33" s="1199"/>
      <c r="BE33" s="1199"/>
      <c r="BF33" s="1199"/>
      <c r="BG33" s="1199"/>
      <c r="BH33" s="1199"/>
      <c r="BI33" s="1199"/>
      <c r="BJ33" s="1199"/>
      <c r="BK33" s="1068"/>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166" t="s">
        <v>632</v>
      </c>
      <c r="D34" s="1167"/>
      <c r="E34" s="1167"/>
      <c r="F34" s="1167"/>
      <c r="G34" s="1167"/>
      <c r="H34" s="1166" t="s">
        <v>635</v>
      </c>
      <c r="I34" s="1167"/>
      <c r="J34" s="1167"/>
      <c r="K34" s="1167"/>
      <c r="L34" s="1167"/>
      <c r="M34" s="1068"/>
      <c r="N34" s="506"/>
      <c r="O34" s="506"/>
      <c r="P34" s="508"/>
      <c r="Q34" s="506"/>
      <c r="R34" s="506"/>
      <c r="S34" s="506"/>
      <c r="T34" s="503"/>
      <c r="U34" s="508"/>
      <c r="V34" s="508"/>
      <c r="W34" s="508"/>
      <c r="X34" s="508"/>
      <c r="Y34" s="508"/>
      <c r="Z34" s="508"/>
      <c r="AA34" s="501">
        <v>7</v>
      </c>
      <c r="AB34" s="1238" t="s">
        <v>632</v>
      </c>
      <c r="AC34" s="1239"/>
      <c r="AD34" s="1239"/>
      <c r="AE34" s="1239"/>
      <c r="AF34" s="1239"/>
      <c r="AG34" s="1238" t="s">
        <v>635</v>
      </c>
      <c r="AH34" s="1239"/>
      <c r="AI34" s="1239"/>
      <c r="AJ34" s="1239"/>
      <c r="AK34" s="1239"/>
      <c r="AL34" s="1068"/>
      <c r="AM34" s="506"/>
      <c r="AN34" s="506"/>
      <c r="AO34" s="508"/>
      <c r="AP34" s="506"/>
      <c r="AQ34" s="506"/>
      <c r="AR34" s="506"/>
      <c r="AS34" s="503"/>
      <c r="AT34" s="508"/>
      <c r="AU34" s="508"/>
      <c r="AV34" s="508"/>
      <c r="AW34" s="511"/>
      <c r="AX34" s="511"/>
      <c r="AY34" s="511"/>
      <c r="AZ34" s="512">
        <v>7</v>
      </c>
      <c r="BA34" s="1224" t="s">
        <v>632</v>
      </c>
      <c r="BB34" s="1225"/>
      <c r="BC34" s="1225"/>
      <c r="BD34" s="1225"/>
      <c r="BE34" s="1225"/>
      <c r="BF34" s="1224" t="s">
        <v>635</v>
      </c>
      <c r="BG34" s="1225"/>
      <c r="BH34" s="1225"/>
      <c r="BI34" s="1225"/>
      <c r="BJ34" s="1225"/>
      <c r="BK34" s="1068"/>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167"/>
      <c r="D35" s="1167"/>
      <c r="E35" s="1167"/>
      <c r="F35" s="1167"/>
      <c r="G35" s="1167"/>
      <c r="H35" s="1167"/>
      <c r="I35" s="1167"/>
      <c r="J35" s="1167"/>
      <c r="K35" s="1167"/>
      <c r="L35" s="1167"/>
      <c r="M35" s="1068"/>
      <c r="N35" s="506"/>
      <c r="O35" s="506"/>
      <c r="P35" s="508"/>
      <c r="Q35" s="506"/>
      <c r="R35" s="506"/>
      <c r="S35" s="513"/>
      <c r="T35" s="508"/>
      <c r="U35" s="508"/>
      <c r="V35" s="508"/>
      <c r="W35" s="508"/>
      <c r="X35" s="508"/>
      <c r="Y35" s="508"/>
      <c r="Z35" s="508"/>
      <c r="AA35" s="501">
        <v>8</v>
      </c>
      <c r="AB35" s="1239"/>
      <c r="AC35" s="1239"/>
      <c r="AD35" s="1239"/>
      <c r="AE35" s="1239"/>
      <c r="AF35" s="1239"/>
      <c r="AG35" s="1239"/>
      <c r="AH35" s="1239"/>
      <c r="AI35" s="1239"/>
      <c r="AJ35" s="1239"/>
      <c r="AK35" s="1239"/>
      <c r="AL35" s="1068"/>
      <c r="AM35" s="506"/>
      <c r="AN35" s="506"/>
      <c r="AO35" s="508"/>
      <c r="AP35" s="506"/>
      <c r="AQ35" s="506"/>
      <c r="AR35" s="513"/>
      <c r="AS35" s="508"/>
      <c r="AT35" s="508"/>
      <c r="AU35" s="508"/>
      <c r="AV35" s="508"/>
      <c r="AW35" s="511"/>
      <c r="AX35" s="511"/>
      <c r="AY35" s="511"/>
      <c r="AZ35" s="512">
        <v>8</v>
      </c>
      <c r="BA35" s="1225"/>
      <c r="BB35" s="1225"/>
      <c r="BC35" s="1225"/>
      <c r="BD35" s="1225"/>
      <c r="BE35" s="1225"/>
      <c r="BF35" s="1225"/>
      <c r="BG35" s="1225"/>
      <c r="BH35" s="1225"/>
      <c r="BI35" s="1225"/>
      <c r="BJ35" s="1225"/>
      <c r="BK35" s="1068"/>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44">
        <v>3</v>
      </c>
      <c r="C39" s="1144"/>
      <c r="D39" s="1145" t="s">
        <v>1025</v>
      </c>
      <c r="E39" s="1146"/>
      <c r="F39" s="1146"/>
      <c r="G39" s="1146"/>
      <c r="H39" s="1146"/>
      <c r="I39" s="1146"/>
      <c r="J39" s="1146"/>
      <c r="K39" s="1146"/>
      <c r="L39" s="1146"/>
      <c r="M39" s="1146"/>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41">
        <f>CB7</f>
        <v>12</v>
      </c>
      <c r="C40" s="1141"/>
      <c r="D40" s="1141"/>
      <c r="E40" s="1141" t="s">
        <v>576</v>
      </c>
      <c r="F40" s="1141"/>
      <c r="G40" s="1141"/>
      <c r="H40" s="1141">
        <v>0</v>
      </c>
      <c r="I40" s="1141"/>
      <c r="J40" s="1141"/>
      <c r="K40" s="1141">
        <v>6</v>
      </c>
      <c r="L40" s="1141"/>
      <c r="M40" s="1141"/>
      <c r="N40" s="508"/>
      <c r="O40" s="508"/>
      <c r="P40" s="508"/>
      <c r="Q40" s="508"/>
      <c r="R40" s="508"/>
      <c r="S40" s="508"/>
      <c r="T40" s="508"/>
      <c r="U40" s="508"/>
      <c r="V40" s="508"/>
      <c r="W40" s="508"/>
      <c r="X40" s="508"/>
      <c r="Y40" s="508"/>
      <c r="Z40" s="508"/>
      <c r="AA40" s="1125">
        <f>CB7</f>
        <v>12</v>
      </c>
      <c r="AB40" s="1126"/>
      <c r="AC40" s="1127"/>
      <c r="AD40" s="1125" t="s">
        <v>576</v>
      </c>
      <c r="AE40" s="1126"/>
      <c r="AF40" s="1127"/>
      <c r="AG40" s="1125">
        <v>1</v>
      </c>
      <c r="AH40" s="1126"/>
      <c r="AI40" s="1127"/>
      <c r="AJ40" s="1125">
        <v>6</v>
      </c>
      <c r="AK40" s="1126"/>
      <c r="AL40" s="1127"/>
      <c r="AM40" s="508"/>
      <c r="AN40" s="508"/>
      <c r="AO40" s="508"/>
      <c r="AP40" s="508"/>
      <c r="AQ40" s="508"/>
      <c r="AR40" s="508"/>
      <c r="AS40" s="508"/>
      <c r="AT40" s="508"/>
      <c r="AU40" s="508"/>
      <c r="AV40" s="508"/>
      <c r="AW40" s="508"/>
      <c r="AX40" s="508"/>
      <c r="AY40" s="508"/>
      <c r="AZ40" s="1125"/>
      <c r="BA40" s="1126"/>
      <c r="BB40" s="1127"/>
      <c r="BC40" s="1125"/>
      <c r="BD40" s="1126"/>
      <c r="BE40" s="1127"/>
      <c r="BF40" s="1125"/>
      <c r="BG40" s="1126"/>
      <c r="BH40" s="1127"/>
      <c r="BI40" s="1125">
        <v>6</v>
      </c>
      <c r="BJ40" s="1126"/>
      <c r="BK40" s="1127"/>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81" t="s">
        <v>2623</v>
      </c>
      <c r="F42" s="1082"/>
      <c r="G42" s="1082"/>
      <c r="H42" s="1082"/>
      <c r="I42" s="1082"/>
      <c r="J42" s="1082"/>
      <c r="K42" s="1082"/>
      <c r="L42" s="1082"/>
      <c r="M42" s="1067" t="s">
        <v>854</v>
      </c>
      <c r="N42" s="506"/>
      <c r="O42" s="506"/>
      <c r="P42" s="508"/>
      <c r="Q42" s="504">
        <f>$CB$6</f>
        <v>11</v>
      </c>
      <c r="R42" s="502">
        <v>3</v>
      </c>
      <c r="S42" s="502">
        <v>1</v>
      </c>
      <c r="T42" s="503" t="s">
        <v>2623</v>
      </c>
      <c r="U42" s="514"/>
      <c r="V42" s="514"/>
      <c r="W42" s="514"/>
      <c r="X42" s="514"/>
      <c r="Y42" s="514"/>
      <c r="Z42" s="514"/>
      <c r="AA42" s="501">
        <v>1</v>
      </c>
      <c r="AB42" s="508"/>
      <c r="AC42" s="508"/>
      <c r="AD42" s="1064" t="s">
        <v>2623</v>
      </c>
      <c r="AE42" s="1065"/>
      <c r="AF42" s="1065"/>
      <c r="AG42" s="1065"/>
      <c r="AH42" s="1065"/>
      <c r="AI42" s="1065"/>
      <c r="AJ42" s="1065"/>
      <c r="AK42" s="1065"/>
      <c r="AL42" s="1067" t="s">
        <v>854</v>
      </c>
      <c r="AM42" s="506"/>
      <c r="AN42" s="506"/>
      <c r="AO42" s="508"/>
      <c r="AP42" s="504">
        <f>$CB$6</f>
        <v>11</v>
      </c>
      <c r="AQ42" s="502">
        <v>3</v>
      </c>
      <c r="AR42" s="502">
        <v>1</v>
      </c>
      <c r="AS42" s="503" t="s">
        <v>2623</v>
      </c>
      <c r="AT42" s="514"/>
      <c r="AU42" s="514"/>
      <c r="AV42" s="514"/>
      <c r="AW42" s="514"/>
      <c r="AX42" s="514"/>
      <c r="AY42" s="514"/>
      <c r="AZ42" s="501">
        <v>1</v>
      </c>
      <c r="BA42" s="508"/>
      <c r="BB42" s="508"/>
      <c r="BC42" s="1187" t="s">
        <v>2623</v>
      </c>
      <c r="BD42" s="1188"/>
      <c r="BE42" s="1188"/>
      <c r="BF42" s="1188"/>
      <c r="BG42" s="1188"/>
      <c r="BH42" s="1188"/>
      <c r="BI42" s="1188"/>
      <c r="BJ42" s="1188"/>
      <c r="BK42" s="1067"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82"/>
      <c r="F43" s="1082"/>
      <c r="G43" s="1082"/>
      <c r="H43" s="1082"/>
      <c r="I43" s="1082"/>
      <c r="J43" s="1082"/>
      <c r="K43" s="1082"/>
      <c r="L43" s="1082"/>
      <c r="M43" s="1068"/>
      <c r="N43" s="506"/>
      <c r="O43" s="506"/>
      <c r="P43" s="508"/>
      <c r="Q43" s="504">
        <f>$CB$5</f>
        <v>10</v>
      </c>
      <c r="R43" s="506">
        <v>3</v>
      </c>
      <c r="S43" s="506">
        <v>5</v>
      </c>
      <c r="T43" s="503" t="s">
        <v>2622</v>
      </c>
      <c r="U43" s="514"/>
      <c r="V43" s="514"/>
      <c r="W43" s="514"/>
      <c r="X43" s="514"/>
      <c r="Y43" s="514"/>
      <c r="Z43" s="514"/>
      <c r="AA43" s="501">
        <v>2</v>
      </c>
      <c r="AB43" s="508"/>
      <c r="AC43" s="508"/>
      <c r="AD43" s="1065"/>
      <c r="AE43" s="1065"/>
      <c r="AF43" s="1065"/>
      <c r="AG43" s="1065"/>
      <c r="AH43" s="1065"/>
      <c r="AI43" s="1065"/>
      <c r="AJ43" s="1065"/>
      <c r="AK43" s="1065"/>
      <c r="AL43" s="1068"/>
      <c r="AM43" s="506"/>
      <c r="AN43" s="506"/>
      <c r="AO43" s="508"/>
      <c r="AP43" s="504">
        <f>$CB$5</f>
        <v>10</v>
      </c>
      <c r="AQ43" s="506">
        <v>3</v>
      </c>
      <c r="AR43" s="506">
        <v>5</v>
      </c>
      <c r="AS43" s="503" t="s">
        <v>2622</v>
      </c>
      <c r="AT43" s="514"/>
      <c r="AU43" s="514"/>
      <c r="AV43" s="514"/>
      <c r="AW43" s="514"/>
      <c r="AX43" s="514"/>
      <c r="AY43" s="514"/>
      <c r="AZ43" s="501">
        <v>2</v>
      </c>
      <c r="BA43" s="508"/>
      <c r="BB43" s="508"/>
      <c r="BC43" s="1188"/>
      <c r="BD43" s="1188"/>
      <c r="BE43" s="1188"/>
      <c r="BF43" s="1188"/>
      <c r="BG43" s="1188"/>
      <c r="BH43" s="1188"/>
      <c r="BI43" s="1188"/>
      <c r="BJ43" s="1188"/>
      <c r="BK43" s="1068"/>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82"/>
      <c r="F44" s="1082"/>
      <c r="G44" s="1082"/>
      <c r="H44" s="1082"/>
      <c r="I44" s="1082"/>
      <c r="J44" s="1082"/>
      <c r="K44" s="1082"/>
      <c r="L44" s="1082"/>
      <c r="M44" s="1068"/>
      <c r="N44" s="506"/>
      <c r="O44" s="506"/>
      <c r="P44" s="508"/>
      <c r="Q44" s="504">
        <f>$CB$9</f>
        <v>14</v>
      </c>
      <c r="R44" s="506">
        <v>6</v>
      </c>
      <c r="S44" s="506">
        <v>5</v>
      </c>
      <c r="T44" s="503" t="s">
        <v>634</v>
      </c>
      <c r="U44" s="514"/>
      <c r="V44" s="514"/>
      <c r="W44" s="514"/>
      <c r="X44" s="514"/>
      <c r="Y44" s="514"/>
      <c r="Z44" s="514"/>
      <c r="AA44" s="501">
        <v>3</v>
      </c>
      <c r="AB44" s="508"/>
      <c r="AC44" s="508"/>
      <c r="AD44" s="1065"/>
      <c r="AE44" s="1065"/>
      <c r="AF44" s="1065"/>
      <c r="AG44" s="1065"/>
      <c r="AH44" s="1065"/>
      <c r="AI44" s="1065"/>
      <c r="AJ44" s="1065"/>
      <c r="AK44" s="1065"/>
      <c r="AL44" s="1068"/>
      <c r="AM44" s="506"/>
      <c r="AN44" s="506"/>
      <c r="AO44" s="508"/>
      <c r="AP44" s="504">
        <f>$CB$9</f>
        <v>14</v>
      </c>
      <c r="AQ44" s="506">
        <v>6</v>
      </c>
      <c r="AR44" s="506">
        <v>5</v>
      </c>
      <c r="AS44" s="503" t="s">
        <v>634</v>
      </c>
      <c r="AT44" s="514"/>
      <c r="AU44" s="514"/>
      <c r="AV44" s="514"/>
      <c r="AW44" s="514"/>
      <c r="AX44" s="514"/>
      <c r="AY44" s="514"/>
      <c r="AZ44" s="501">
        <v>3</v>
      </c>
      <c r="BA44" s="508"/>
      <c r="BB44" s="508"/>
      <c r="BC44" s="1188"/>
      <c r="BD44" s="1188"/>
      <c r="BE44" s="1188"/>
      <c r="BF44" s="1188"/>
      <c r="BG44" s="1188"/>
      <c r="BH44" s="1188"/>
      <c r="BI44" s="1188"/>
      <c r="BJ44" s="1188"/>
      <c r="BK44" s="1068"/>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82"/>
      <c r="F45" s="1082"/>
      <c r="G45" s="1082"/>
      <c r="H45" s="1082"/>
      <c r="I45" s="1082"/>
      <c r="J45" s="1082"/>
      <c r="K45" s="1082"/>
      <c r="L45" s="1082"/>
      <c r="M45" s="1068"/>
      <c r="N45" s="506"/>
      <c r="O45" s="506"/>
      <c r="P45" s="508"/>
      <c r="Q45" s="505">
        <f>$CB$12</f>
        <v>17</v>
      </c>
      <c r="R45" s="506">
        <v>3</v>
      </c>
      <c r="S45" s="506">
        <v>7</v>
      </c>
      <c r="T45" s="503" t="s">
        <v>632</v>
      </c>
      <c r="U45" s="514"/>
      <c r="V45" s="514"/>
      <c r="W45" s="514"/>
      <c r="X45" s="514"/>
      <c r="Y45" s="514"/>
      <c r="Z45" s="514"/>
      <c r="AA45" s="501">
        <v>4</v>
      </c>
      <c r="AB45" s="508"/>
      <c r="AC45" s="508"/>
      <c r="AD45" s="1065"/>
      <c r="AE45" s="1065"/>
      <c r="AF45" s="1065"/>
      <c r="AG45" s="1065"/>
      <c r="AH45" s="1065"/>
      <c r="AI45" s="1065"/>
      <c r="AJ45" s="1065"/>
      <c r="AK45" s="1065"/>
      <c r="AL45" s="1068"/>
      <c r="AM45" s="506"/>
      <c r="AN45" s="506"/>
      <c r="AO45" s="508"/>
      <c r="AP45" s="505">
        <f>$CB$12</f>
        <v>17</v>
      </c>
      <c r="AQ45" s="506">
        <v>3</v>
      </c>
      <c r="AR45" s="506">
        <v>7</v>
      </c>
      <c r="AS45" s="503" t="s">
        <v>632</v>
      </c>
      <c r="AT45" s="514"/>
      <c r="AU45" s="514"/>
      <c r="AV45" s="514"/>
      <c r="AW45" s="514"/>
      <c r="AX45" s="514"/>
      <c r="AY45" s="514"/>
      <c r="AZ45" s="501">
        <v>4</v>
      </c>
      <c r="BA45" s="508"/>
      <c r="BB45" s="508"/>
      <c r="BC45" s="1188"/>
      <c r="BD45" s="1188"/>
      <c r="BE45" s="1188"/>
      <c r="BF45" s="1188"/>
      <c r="BG45" s="1188"/>
      <c r="BH45" s="1188"/>
      <c r="BI45" s="1188"/>
      <c r="BJ45" s="1188"/>
      <c r="BK45" s="1068"/>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84" t="s">
        <v>2622</v>
      </c>
      <c r="F46" s="1085"/>
      <c r="G46" s="1085"/>
      <c r="H46" s="1086" t="s">
        <v>2624</v>
      </c>
      <c r="I46" s="1082"/>
      <c r="J46" s="1082"/>
      <c r="K46" s="1082"/>
      <c r="L46" s="1082"/>
      <c r="M46" s="1068"/>
      <c r="N46" s="506"/>
      <c r="O46" s="506"/>
      <c r="P46" s="508"/>
      <c r="Q46" s="505">
        <f>$CB$13</f>
        <v>18</v>
      </c>
      <c r="R46" s="506">
        <v>7</v>
      </c>
      <c r="S46" s="506">
        <v>7</v>
      </c>
      <c r="T46" s="503" t="s">
        <v>635</v>
      </c>
      <c r="U46" s="514"/>
      <c r="V46" s="514"/>
      <c r="W46" s="514"/>
      <c r="X46" s="514"/>
      <c r="Y46" s="514"/>
      <c r="Z46" s="514"/>
      <c r="AA46" s="501">
        <v>5</v>
      </c>
      <c r="AB46" s="508"/>
      <c r="AC46" s="508"/>
      <c r="AD46" s="1069" t="s">
        <v>2622</v>
      </c>
      <c r="AE46" s="1070"/>
      <c r="AF46" s="1070"/>
      <c r="AG46" s="1071" t="s">
        <v>2624</v>
      </c>
      <c r="AH46" s="1072"/>
      <c r="AI46" s="1072"/>
      <c r="AJ46" s="1072"/>
      <c r="AK46" s="1072"/>
      <c r="AL46" s="1068"/>
      <c r="AM46" s="506"/>
      <c r="AN46" s="506"/>
      <c r="AO46" s="508"/>
      <c r="AP46" s="505">
        <f>$CB$13</f>
        <v>18</v>
      </c>
      <c r="AQ46" s="506">
        <v>7</v>
      </c>
      <c r="AR46" s="506">
        <v>7</v>
      </c>
      <c r="AS46" s="503" t="s">
        <v>635</v>
      </c>
      <c r="AT46" s="514"/>
      <c r="AU46" s="514"/>
      <c r="AV46" s="514"/>
      <c r="AW46" s="514"/>
      <c r="AX46" s="514"/>
      <c r="AY46" s="514"/>
      <c r="AZ46" s="501">
        <v>5</v>
      </c>
      <c r="BA46" s="508"/>
      <c r="BB46" s="508"/>
      <c r="BC46" s="1196" t="s">
        <v>2622</v>
      </c>
      <c r="BD46" s="1197"/>
      <c r="BE46" s="1197"/>
      <c r="BF46" s="1198" t="s">
        <v>2624</v>
      </c>
      <c r="BG46" s="1199"/>
      <c r="BH46" s="1199"/>
      <c r="BI46" s="1199"/>
      <c r="BJ46" s="1199"/>
      <c r="BK46" s="1068"/>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85"/>
      <c r="F47" s="1085"/>
      <c r="G47" s="1085"/>
      <c r="H47" s="1082"/>
      <c r="I47" s="1082"/>
      <c r="J47" s="1082"/>
      <c r="K47" s="1082"/>
      <c r="L47" s="1082"/>
      <c r="M47" s="1068"/>
      <c r="N47" s="506"/>
      <c r="O47" s="506"/>
      <c r="P47" s="508"/>
      <c r="Q47" s="504">
        <f>$CB$8</f>
        <v>13</v>
      </c>
      <c r="R47" s="506">
        <v>11</v>
      </c>
      <c r="S47" s="506">
        <v>1</v>
      </c>
      <c r="T47" s="503" t="s">
        <v>2575</v>
      </c>
      <c r="U47" s="514"/>
      <c r="V47" s="514"/>
      <c r="W47" s="514"/>
      <c r="X47" s="514"/>
      <c r="Y47" s="514"/>
      <c r="Z47" s="514"/>
      <c r="AA47" s="501">
        <v>6</v>
      </c>
      <c r="AB47" s="508"/>
      <c r="AC47" s="508"/>
      <c r="AD47" s="1070"/>
      <c r="AE47" s="1070"/>
      <c r="AF47" s="1070"/>
      <c r="AG47" s="1072"/>
      <c r="AH47" s="1072"/>
      <c r="AI47" s="1072"/>
      <c r="AJ47" s="1072"/>
      <c r="AK47" s="1072"/>
      <c r="AL47" s="1068"/>
      <c r="AM47" s="506"/>
      <c r="AN47" s="506"/>
      <c r="AO47" s="508"/>
      <c r="AP47" s="504">
        <f>$CB$8</f>
        <v>13</v>
      </c>
      <c r="AQ47" s="506">
        <v>11</v>
      </c>
      <c r="AR47" s="506">
        <v>1</v>
      </c>
      <c r="AS47" s="503" t="s">
        <v>2575</v>
      </c>
      <c r="AT47" s="514"/>
      <c r="AU47" s="514"/>
      <c r="AV47" s="514"/>
      <c r="AW47" s="514"/>
      <c r="AX47" s="514"/>
      <c r="AY47" s="514"/>
      <c r="AZ47" s="501">
        <v>6</v>
      </c>
      <c r="BA47" s="508"/>
      <c r="BB47" s="508"/>
      <c r="BC47" s="1197"/>
      <c r="BD47" s="1197"/>
      <c r="BE47" s="1197"/>
      <c r="BF47" s="1199"/>
      <c r="BG47" s="1199"/>
      <c r="BH47" s="1199"/>
      <c r="BI47" s="1199"/>
      <c r="BJ47" s="1199"/>
      <c r="BK47" s="1068"/>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87" t="s">
        <v>632</v>
      </c>
      <c r="F48" s="1088"/>
      <c r="G48" s="1088"/>
      <c r="H48" s="1088"/>
      <c r="I48" s="1087" t="s">
        <v>635</v>
      </c>
      <c r="J48" s="1088"/>
      <c r="K48" s="1088"/>
      <c r="L48" s="1088"/>
      <c r="M48" s="1068"/>
      <c r="N48" s="506"/>
      <c r="O48" s="506"/>
      <c r="P48" s="508"/>
      <c r="Q48" s="506"/>
      <c r="R48" s="506"/>
      <c r="S48" s="506"/>
      <c r="T48" s="503"/>
      <c r="U48" s="514"/>
      <c r="V48" s="514"/>
      <c r="W48" s="514"/>
      <c r="X48" s="514"/>
      <c r="Y48" s="514"/>
      <c r="Z48" s="514"/>
      <c r="AA48" s="501">
        <v>7</v>
      </c>
      <c r="AB48" s="508"/>
      <c r="AC48" s="508"/>
      <c r="AD48" s="1073" t="s">
        <v>632</v>
      </c>
      <c r="AE48" s="1074"/>
      <c r="AF48" s="1074"/>
      <c r="AG48" s="1074"/>
      <c r="AH48" s="1073" t="s">
        <v>635</v>
      </c>
      <c r="AI48" s="1074"/>
      <c r="AJ48" s="1074"/>
      <c r="AK48" s="1074"/>
      <c r="AL48" s="1068"/>
      <c r="AM48" s="506"/>
      <c r="AN48" s="506"/>
      <c r="AO48" s="508"/>
      <c r="AP48" s="506"/>
      <c r="AQ48" s="506"/>
      <c r="AR48" s="506"/>
      <c r="AS48" s="503"/>
      <c r="AT48" s="514"/>
      <c r="AU48" s="514"/>
      <c r="AV48" s="514"/>
      <c r="AW48" s="514"/>
      <c r="AX48" s="514"/>
      <c r="AY48" s="514"/>
      <c r="AZ48" s="501">
        <v>7</v>
      </c>
      <c r="BA48" s="508"/>
      <c r="BB48" s="508"/>
      <c r="BC48" s="1185" t="s">
        <v>632</v>
      </c>
      <c r="BD48" s="1186"/>
      <c r="BE48" s="1186"/>
      <c r="BF48" s="1186"/>
      <c r="BG48" s="1185" t="s">
        <v>635</v>
      </c>
      <c r="BH48" s="1186"/>
      <c r="BI48" s="1186"/>
      <c r="BJ48" s="1186"/>
      <c r="BK48" s="1068"/>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88"/>
      <c r="F49" s="1088"/>
      <c r="G49" s="1088"/>
      <c r="H49" s="1088"/>
      <c r="I49" s="1088"/>
      <c r="J49" s="1088"/>
      <c r="K49" s="1088"/>
      <c r="L49" s="1088"/>
      <c r="M49" s="1068"/>
      <c r="N49" s="506"/>
      <c r="O49" s="506"/>
      <c r="P49" s="508"/>
      <c r="Q49" s="506"/>
      <c r="R49" s="506"/>
      <c r="S49" s="513"/>
      <c r="T49" s="508"/>
      <c r="U49" s="514"/>
      <c r="V49" s="514"/>
      <c r="W49" s="514"/>
      <c r="X49" s="514"/>
      <c r="Y49" s="514"/>
      <c r="Z49" s="514"/>
      <c r="AA49" s="501">
        <v>8</v>
      </c>
      <c r="AB49" s="508"/>
      <c r="AC49" s="508"/>
      <c r="AD49" s="1074"/>
      <c r="AE49" s="1074"/>
      <c r="AF49" s="1074"/>
      <c r="AG49" s="1074"/>
      <c r="AH49" s="1074"/>
      <c r="AI49" s="1074"/>
      <c r="AJ49" s="1074"/>
      <c r="AK49" s="1074"/>
      <c r="AL49" s="1068"/>
      <c r="AM49" s="506"/>
      <c r="AN49" s="506"/>
      <c r="AO49" s="508"/>
      <c r="AP49" s="506"/>
      <c r="AQ49" s="506"/>
      <c r="AR49" s="513"/>
      <c r="AS49" s="508"/>
      <c r="AT49" s="514"/>
      <c r="AU49" s="514"/>
      <c r="AV49" s="514"/>
      <c r="AW49" s="514"/>
      <c r="AX49" s="514"/>
      <c r="AY49" s="514"/>
      <c r="AZ49" s="501">
        <v>8</v>
      </c>
      <c r="BA49" s="508"/>
      <c r="BB49" s="508"/>
      <c r="BC49" s="1186"/>
      <c r="BD49" s="1186"/>
      <c r="BE49" s="1186"/>
      <c r="BF49" s="1186"/>
      <c r="BG49" s="1186"/>
      <c r="BH49" s="1186"/>
      <c r="BI49" s="1186"/>
      <c r="BJ49" s="1186"/>
      <c r="BK49" s="1068"/>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44">
        <v>4</v>
      </c>
      <c r="C53" s="1144"/>
      <c r="D53" s="1145" t="s">
        <v>1026</v>
      </c>
      <c r="E53" s="1146"/>
      <c r="F53" s="1146"/>
      <c r="G53" s="1146"/>
      <c r="H53" s="1146"/>
      <c r="I53" s="1146"/>
      <c r="J53" s="1146"/>
      <c r="K53" s="1146"/>
      <c r="L53" s="1146"/>
      <c r="M53" s="1146"/>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41">
        <f>CB7</f>
        <v>12</v>
      </c>
      <c r="C54" s="1141"/>
      <c r="D54" s="1141"/>
      <c r="E54" s="1141" t="s">
        <v>576</v>
      </c>
      <c r="F54" s="1141"/>
      <c r="G54" s="1141"/>
      <c r="H54" s="1141">
        <v>0</v>
      </c>
      <c r="I54" s="1141"/>
      <c r="J54" s="1141"/>
      <c r="K54" s="1141">
        <v>6</v>
      </c>
      <c r="L54" s="1141"/>
      <c r="M54" s="1141"/>
      <c r="N54" s="508"/>
      <c r="O54" s="508"/>
      <c r="P54" s="508"/>
      <c r="Q54" s="508"/>
      <c r="R54" s="508"/>
      <c r="S54" s="508"/>
      <c r="T54" s="508"/>
      <c r="U54" s="508"/>
      <c r="V54" s="508"/>
      <c r="W54" s="508"/>
      <c r="X54" s="508"/>
      <c r="Y54" s="508"/>
      <c r="Z54" s="508"/>
      <c r="AA54" s="1125">
        <f>CB7</f>
        <v>12</v>
      </c>
      <c r="AB54" s="1126"/>
      <c r="AC54" s="1127"/>
      <c r="AD54" s="1125" t="s">
        <v>576</v>
      </c>
      <c r="AE54" s="1126"/>
      <c r="AF54" s="1127"/>
      <c r="AG54" s="1125">
        <v>1</v>
      </c>
      <c r="AH54" s="1126"/>
      <c r="AI54" s="1127"/>
      <c r="AJ54" s="1125">
        <v>6</v>
      </c>
      <c r="AK54" s="1126"/>
      <c r="AL54" s="1127"/>
      <c r="AM54" s="508"/>
      <c r="AN54" s="508"/>
      <c r="AO54" s="508"/>
      <c r="AP54" s="508"/>
      <c r="AQ54" s="508"/>
      <c r="AR54" s="508"/>
      <c r="AS54" s="508"/>
      <c r="AT54" s="508"/>
      <c r="AU54" s="508"/>
      <c r="AV54" s="508"/>
      <c r="AW54" s="508"/>
      <c r="AX54" s="508"/>
      <c r="AY54" s="508"/>
      <c r="AZ54" s="1125"/>
      <c r="BA54" s="1126"/>
      <c r="BB54" s="1127"/>
      <c r="BC54" s="1125"/>
      <c r="BD54" s="1126"/>
      <c r="BE54" s="1127"/>
      <c r="BF54" s="1125"/>
      <c r="BG54" s="1126"/>
      <c r="BH54" s="1127"/>
      <c r="BI54" s="1125">
        <v>6</v>
      </c>
      <c r="BJ54" s="1126"/>
      <c r="BK54" s="1127"/>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205" t="s">
        <v>2622</v>
      </c>
      <c r="H56" s="1206"/>
      <c r="I56" s="1206"/>
      <c r="J56" s="1206"/>
      <c r="K56" s="1206"/>
      <c r="L56" s="1206"/>
      <c r="M56" s="1067"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240" t="s">
        <v>2622</v>
      </c>
      <c r="AG56" s="1241"/>
      <c r="AH56" s="1241"/>
      <c r="AI56" s="1241"/>
      <c r="AJ56" s="1241"/>
      <c r="AK56" s="1241"/>
      <c r="AL56" s="1067"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189" t="s">
        <v>2622</v>
      </c>
      <c r="BF56" s="1190"/>
      <c r="BG56" s="1190"/>
      <c r="BH56" s="1190"/>
      <c r="BI56" s="1190"/>
      <c r="BJ56" s="1190"/>
      <c r="BK56" s="1067"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213" t="s">
        <v>2623</v>
      </c>
      <c r="H57" s="1214"/>
      <c r="I57" s="1214"/>
      <c r="J57" s="1214"/>
      <c r="K57" s="1214"/>
      <c r="L57" s="1214"/>
      <c r="M57" s="1068"/>
      <c r="N57" s="506"/>
      <c r="O57" s="506"/>
      <c r="P57" s="514"/>
      <c r="Q57" s="504">
        <f>$CB$5</f>
        <v>10</v>
      </c>
      <c r="R57" s="506">
        <v>5</v>
      </c>
      <c r="S57" s="506">
        <v>1</v>
      </c>
      <c r="T57" s="503" t="s">
        <v>2622</v>
      </c>
      <c r="U57" s="514"/>
      <c r="V57" s="514"/>
      <c r="W57" s="514"/>
      <c r="X57" s="514"/>
      <c r="Y57" s="514"/>
      <c r="Z57" s="514"/>
      <c r="AA57" s="501">
        <v>2</v>
      </c>
      <c r="AB57" s="508"/>
      <c r="AC57" s="508"/>
      <c r="AD57" s="508"/>
      <c r="AE57" s="508"/>
      <c r="AF57" s="1237" t="s">
        <v>2623</v>
      </c>
      <c r="AG57" s="1237"/>
      <c r="AH57" s="1237"/>
      <c r="AI57" s="1237"/>
      <c r="AJ57" s="1237"/>
      <c r="AK57" s="1237"/>
      <c r="AL57" s="1068"/>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192" t="s">
        <v>2623</v>
      </c>
      <c r="BF57" s="1192"/>
      <c r="BG57" s="1192"/>
      <c r="BH57" s="1192"/>
      <c r="BI57" s="1192"/>
      <c r="BJ57" s="1192"/>
      <c r="BK57" s="1068"/>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214"/>
      <c r="H58" s="1214"/>
      <c r="I58" s="1214"/>
      <c r="J58" s="1214"/>
      <c r="K58" s="1214"/>
      <c r="L58" s="1214"/>
      <c r="M58" s="1068"/>
      <c r="N58" s="506"/>
      <c r="O58" s="506"/>
      <c r="P58" s="514"/>
      <c r="Q58" s="504">
        <f>$CB$9</f>
        <v>14</v>
      </c>
      <c r="R58" s="506">
        <v>5</v>
      </c>
      <c r="S58" s="506">
        <v>5</v>
      </c>
      <c r="T58" s="503" t="s">
        <v>634</v>
      </c>
      <c r="U58" s="514"/>
      <c r="V58" s="514"/>
      <c r="W58" s="514"/>
      <c r="X58" s="514"/>
      <c r="Y58" s="514"/>
      <c r="Z58" s="514"/>
      <c r="AA58" s="501">
        <v>3</v>
      </c>
      <c r="AB58" s="508"/>
      <c r="AC58" s="508"/>
      <c r="AD58" s="508"/>
      <c r="AE58" s="508"/>
      <c r="AF58" s="1237"/>
      <c r="AG58" s="1237"/>
      <c r="AH58" s="1237"/>
      <c r="AI58" s="1237"/>
      <c r="AJ58" s="1237"/>
      <c r="AK58" s="1237"/>
      <c r="AL58" s="1068"/>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192"/>
      <c r="BF58" s="1192"/>
      <c r="BG58" s="1192"/>
      <c r="BH58" s="1192"/>
      <c r="BI58" s="1192"/>
      <c r="BJ58" s="1192"/>
      <c r="BK58" s="1068"/>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214"/>
      <c r="H59" s="1214"/>
      <c r="I59" s="1214"/>
      <c r="J59" s="1214"/>
      <c r="K59" s="1214"/>
      <c r="L59" s="1214"/>
      <c r="M59" s="1068"/>
      <c r="N59" s="506"/>
      <c r="O59" s="506"/>
      <c r="P59" s="514"/>
      <c r="Q59" s="505">
        <f>$CB$12</f>
        <v>17</v>
      </c>
      <c r="R59" s="506">
        <v>5</v>
      </c>
      <c r="S59" s="506">
        <v>7</v>
      </c>
      <c r="T59" s="503" t="s">
        <v>632</v>
      </c>
      <c r="U59" s="514"/>
      <c r="V59" s="514"/>
      <c r="W59" s="514"/>
      <c r="X59" s="514"/>
      <c r="Y59" s="514"/>
      <c r="Z59" s="514"/>
      <c r="AA59" s="501">
        <v>4</v>
      </c>
      <c r="AB59" s="508"/>
      <c r="AC59" s="508"/>
      <c r="AD59" s="508"/>
      <c r="AE59" s="508"/>
      <c r="AF59" s="1237"/>
      <c r="AG59" s="1237"/>
      <c r="AH59" s="1237"/>
      <c r="AI59" s="1237"/>
      <c r="AJ59" s="1237"/>
      <c r="AK59" s="1237"/>
      <c r="AL59" s="1068"/>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192"/>
      <c r="BF59" s="1192"/>
      <c r="BG59" s="1192"/>
      <c r="BH59" s="1192"/>
      <c r="BI59" s="1192"/>
      <c r="BJ59" s="1192"/>
      <c r="BK59" s="1068"/>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158" t="s">
        <v>2624</v>
      </c>
      <c r="H60" s="1159"/>
      <c r="I60" s="1159"/>
      <c r="J60" s="1159"/>
      <c r="K60" s="1159"/>
      <c r="L60" s="1159"/>
      <c r="M60" s="1068"/>
      <c r="N60" s="506"/>
      <c r="O60" s="506"/>
      <c r="P60" s="514"/>
      <c r="Q60" s="505">
        <f>$CB$13</f>
        <v>18</v>
      </c>
      <c r="R60" s="506">
        <v>8</v>
      </c>
      <c r="S60" s="506">
        <v>7</v>
      </c>
      <c r="T60" s="503" t="s">
        <v>635</v>
      </c>
      <c r="U60" s="514"/>
      <c r="V60" s="514"/>
      <c r="W60" s="514"/>
      <c r="X60" s="514"/>
      <c r="Y60" s="514"/>
      <c r="Z60" s="514"/>
      <c r="AA60" s="501">
        <v>5</v>
      </c>
      <c r="AB60" s="508"/>
      <c r="AC60" s="508"/>
      <c r="AD60" s="508"/>
      <c r="AE60" s="508"/>
      <c r="AF60" s="1155" t="s">
        <v>2624</v>
      </c>
      <c r="AG60" s="1155"/>
      <c r="AH60" s="1155"/>
      <c r="AI60" s="1155"/>
      <c r="AJ60" s="1155"/>
      <c r="AK60" s="1155"/>
      <c r="AL60" s="1068"/>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193" t="s">
        <v>2624</v>
      </c>
      <c r="BF60" s="1193"/>
      <c r="BG60" s="1193"/>
      <c r="BH60" s="1193"/>
      <c r="BI60" s="1193"/>
      <c r="BJ60" s="1193"/>
      <c r="BK60" s="1068"/>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159"/>
      <c r="H61" s="1159"/>
      <c r="I61" s="1159"/>
      <c r="J61" s="1159"/>
      <c r="K61" s="1159"/>
      <c r="L61" s="1159"/>
      <c r="M61" s="1068"/>
      <c r="N61" s="506"/>
      <c r="O61" s="506"/>
      <c r="P61" s="514"/>
      <c r="Q61" s="504">
        <f>$CB$8</f>
        <v>13</v>
      </c>
      <c r="R61" s="506">
        <v>11</v>
      </c>
      <c r="S61" s="506">
        <v>1</v>
      </c>
      <c r="T61" s="503" t="s">
        <v>2575</v>
      </c>
      <c r="U61" s="514"/>
      <c r="V61" s="514"/>
      <c r="W61" s="514"/>
      <c r="X61" s="514"/>
      <c r="Y61" s="514"/>
      <c r="Z61" s="514"/>
      <c r="AA61" s="501">
        <v>6</v>
      </c>
      <c r="AB61" s="508"/>
      <c r="AC61" s="508"/>
      <c r="AD61" s="508"/>
      <c r="AE61" s="508"/>
      <c r="AF61" s="1155"/>
      <c r="AG61" s="1155"/>
      <c r="AH61" s="1155"/>
      <c r="AI61" s="1155"/>
      <c r="AJ61" s="1155"/>
      <c r="AK61" s="1155"/>
      <c r="AL61" s="1068"/>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193"/>
      <c r="BF61" s="1193"/>
      <c r="BG61" s="1193"/>
      <c r="BH61" s="1193"/>
      <c r="BI61" s="1193"/>
      <c r="BJ61" s="1193"/>
      <c r="BK61" s="1068"/>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215" t="s">
        <v>632</v>
      </c>
      <c r="H62" s="1216"/>
      <c r="I62" s="1216"/>
      <c r="J62" s="1215" t="s">
        <v>635</v>
      </c>
      <c r="K62" s="1216"/>
      <c r="L62" s="1216"/>
      <c r="M62" s="1068"/>
      <c r="N62" s="506"/>
      <c r="O62" s="506"/>
      <c r="P62" s="514"/>
      <c r="Q62" s="506"/>
      <c r="R62" s="506"/>
      <c r="S62" s="506"/>
      <c r="T62" s="503"/>
      <c r="U62" s="514"/>
      <c r="V62" s="514"/>
      <c r="W62" s="514"/>
      <c r="X62" s="514"/>
      <c r="Y62" s="514"/>
      <c r="Z62" s="514"/>
      <c r="AA62" s="501">
        <v>7</v>
      </c>
      <c r="AB62" s="508"/>
      <c r="AC62" s="508"/>
      <c r="AD62" s="508"/>
      <c r="AE62" s="508"/>
      <c r="AF62" s="1191" t="s">
        <v>632</v>
      </c>
      <c r="AG62" s="1191"/>
      <c r="AH62" s="1191"/>
      <c r="AI62" s="1191" t="s">
        <v>635</v>
      </c>
      <c r="AJ62" s="1191"/>
      <c r="AK62" s="1191"/>
      <c r="AL62" s="1068"/>
      <c r="AM62" s="506"/>
      <c r="AN62" s="506"/>
      <c r="AO62" s="514"/>
      <c r="AP62" s="506"/>
      <c r="AQ62" s="506"/>
      <c r="AR62" s="506"/>
      <c r="AS62" s="503"/>
      <c r="AT62" s="514"/>
      <c r="AU62" s="514"/>
      <c r="AV62" s="514"/>
      <c r="AW62" s="514"/>
      <c r="AX62" s="514"/>
      <c r="AY62" s="514"/>
      <c r="AZ62" s="501">
        <v>7</v>
      </c>
      <c r="BA62" s="508"/>
      <c r="BB62" s="508"/>
      <c r="BC62" s="508"/>
      <c r="BD62" s="508"/>
      <c r="BE62" s="1195" t="s">
        <v>632</v>
      </c>
      <c r="BF62" s="1195"/>
      <c r="BG62" s="1195"/>
      <c r="BH62" s="1195" t="s">
        <v>635</v>
      </c>
      <c r="BI62" s="1195"/>
      <c r="BJ62" s="1195"/>
      <c r="BK62" s="1068"/>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216"/>
      <c r="H63" s="1216"/>
      <c r="I63" s="1216"/>
      <c r="J63" s="1216"/>
      <c r="K63" s="1216"/>
      <c r="L63" s="1216"/>
      <c r="M63" s="1068"/>
      <c r="N63" s="506"/>
      <c r="O63" s="506"/>
      <c r="P63" s="514"/>
      <c r="Q63" s="506"/>
      <c r="R63" s="506"/>
      <c r="S63" s="513"/>
      <c r="T63" s="508"/>
      <c r="U63" s="514"/>
      <c r="V63" s="514"/>
      <c r="W63" s="514"/>
      <c r="X63" s="514"/>
      <c r="Y63" s="514"/>
      <c r="Z63" s="514"/>
      <c r="AA63" s="501">
        <v>8</v>
      </c>
      <c r="AB63" s="508"/>
      <c r="AC63" s="508"/>
      <c r="AD63" s="508"/>
      <c r="AE63" s="508"/>
      <c r="AF63" s="1191"/>
      <c r="AG63" s="1191"/>
      <c r="AH63" s="1191"/>
      <c r="AI63" s="1191"/>
      <c r="AJ63" s="1191"/>
      <c r="AK63" s="1191"/>
      <c r="AL63" s="1068"/>
      <c r="AM63" s="506"/>
      <c r="AN63" s="506"/>
      <c r="AO63" s="514"/>
      <c r="AP63" s="506"/>
      <c r="AQ63" s="506"/>
      <c r="AR63" s="513"/>
      <c r="AS63" s="508"/>
      <c r="AT63" s="514"/>
      <c r="AU63" s="514"/>
      <c r="AV63" s="514"/>
      <c r="AW63" s="514"/>
      <c r="AX63" s="514"/>
      <c r="AY63" s="514"/>
      <c r="AZ63" s="501">
        <v>8</v>
      </c>
      <c r="BA63" s="508"/>
      <c r="BB63" s="508"/>
      <c r="BC63" s="508"/>
      <c r="BD63" s="508"/>
      <c r="BE63" s="1195"/>
      <c r="BF63" s="1195"/>
      <c r="BG63" s="1195"/>
      <c r="BH63" s="1195"/>
      <c r="BI63" s="1195"/>
      <c r="BJ63" s="1195"/>
      <c r="BK63" s="1068"/>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44">
        <v>5</v>
      </c>
      <c r="C67" s="1144"/>
      <c r="D67" s="1145" t="s">
        <v>1027</v>
      </c>
      <c r="E67" s="1146"/>
      <c r="F67" s="1146"/>
      <c r="G67" s="1146"/>
      <c r="H67" s="1146"/>
      <c r="I67" s="1146"/>
      <c r="J67" s="1146"/>
      <c r="K67" s="1146"/>
      <c r="L67" s="1146"/>
      <c r="M67" s="1146"/>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41">
        <f>CB7</f>
        <v>12</v>
      </c>
      <c r="C68" s="1141"/>
      <c r="D68" s="1141"/>
      <c r="E68" s="1141" t="s">
        <v>576</v>
      </c>
      <c r="F68" s="1141"/>
      <c r="G68" s="1141"/>
      <c r="H68" s="1141">
        <v>0</v>
      </c>
      <c r="I68" s="1141"/>
      <c r="J68" s="1141"/>
      <c r="K68" s="1141">
        <v>6</v>
      </c>
      <c r="L68" s="1141"/>
      <c r="M68" s="1141"/>
      <c r="N68" s="508"/>
      <c r="O68" s="508"/>
      <c r="P68" s="508"/>
      <c r="Q68" s="508"/>
      <c r="R68" s="508"/>
      <c r="S68" s="508"/>
      <c r="T68" s="508"/>
      <c r="U68" s="508"/>
      <c r="V68" s="508"/>
      <c r="W68" s="508"/>
      <c r="X68" s="508"/>
      <c r="Y68" s="508"/>
      <c r="Z68" s="508"/>
      <c r="AA68" s="1125">
        <f>CB7</f>
        <v>12</v>
      </c>
      <c r="AB68" s="1126"/>
      <c r="AC68" s="1127"/>
      <c r="AD68" s="1125" t="s">
        <v>576</v>
      </c>
      <c r="AE68" s="1126"/>
      <c r="AF68" s="1127"/>
      <c r="AG68" s="1125">
        <v>1</v>
      </c>
      <c r="AH68" s="1126"/>
      <c r="AI68" s="1127"/>
      <c r="AJ68" s="1125">
        <v>6</v>
      </c>
      <c r="AK68" s="1126"/>
      <c r="AL68" s="1127"/>
      <c r="AM68" s="508"/>
      <c r="AN68" s="508"/>
      <c r="AO68" s="508"/>
      <c r="AP68" s="508"/>
      <c r="AQ68" s="508"/>
      <c r="AR68" s="508"/>
      <c r="AS68" s="508"/>
      <c r="AT68" s="508"/>
      <c r="AU68" s="508"/>
      <c r="AV68" s="508"/>
      <c r="AW68" s="508"/>
      <c r="AX68" s="508"/>
      <c r="AY68" s="508"/>
      <c r="AZ68" s="1125"/>
      <c r="BA68" s="1126"/>
      <c r="BB68" s="1127"/>
      <c r="BC68" s="1125"/>
      <c r="BD68" s="1126"/>
      <c r="BE68" s="1127"/>
      <c r="BF68" s="1125"/>
      <c r="BG68" s="1126"/>
      <c r="BH68" s="1127"/>
      <c r="BI68" s="1125">
        <v>6</v>
      </c>
      <c r="BJ68" s="1126"/>
      <c r="BK68" s="1127"/>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207" t="s">
        <v>2622</v>
      </c>
      <c r="J70" s="1208"/>
      <c r="K70" s="1208"/>
      <c r="L70" s="1208"/>
      <c r="M70" s="1067"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152" t="s">
        <v>2622</v>
      </c>
      <c r="AI70" s="1153"/>
      <c r="AJ70" s="1153"/>
      <c r="AK70" s="1153"/>
      <c r="AL70" s="1067"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221" t="s">
        <v>2622</v>
      </c>
      <c r="BH70" s="1222"/>
      <c r="BI70" s="1222"/>
      <c r="BJ70" s="1222"/>
      <c r="BK70" s="1067"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209" t="s">
        <v>2623</v>
      </c>
      <c r="J71" s="1210"/>
      <c r="K71" s="1210"/>
      <c r="L71" s="1210"/>
      <c r="M71" s="1068"/>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156" t="s">
        <v>2623</v>
      </c>
      <c r="AI71" s="1157"/>
      <c r="AJ71" s="1157"/>
      <c r="AK71" s="1157"/>
      <c r="AL71" s="1068"/>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219" t="s">
        <v>2623</v>
      </c>
      <c r="BH71" s="1220"/>
      <c r="BI71" s="1220"/>
      <c r="BJ71" s="1220"/>
      <c r="BK71" s="1068"/>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210"/>
      <c r="J72" s="1210"/>
      <c r="K72" s="1210"/>
      <c r="L72" s="1210"/>
      <c r="M72" s="1068"/>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157"/>
      <c r="AI72" s="1157"/>
      <c r="AJ72" s="1157"/>
      <c r="AK72" s="1157"/>
      <c r="AL72" s="1068"/>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220"/>
      <c r="BH72" s="1220"/>
      <c r="BI72" s="1220"/>
      <c r="BJ72" s="1220"/>
      <c r="BK72" s="1068"/>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210"/>
      <c r="J73" s="1210"/>
      <c r="K73" s="1210"/>
      <c r="L73" s="1210"/>
      <c r="M73" s="1068"/>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157"/>
      <c r="AI73" s="1157"/>
      <c r="AJ73" s="1157"/>
      <c r="AK73" s="1157"/>
      <c r="AL73" s="1068"/>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220"/>
      <c r="BH73" s="1220"/>
      <c r="BI73" s="1220"/>
      <c r="BJ73" s="1220"/>
      <c r="BK73" s="1068"/>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211" t="s">
        <v>2624</v>
      </c>
      <c r="J74" s="1212"/>
      <c r="K74" s="1212"/>
      <c r="L74" s="1212"/>
      <c r="M74" s="1068"/>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176" t="s">
        <v>2624</v>
      </c>
      <c r="AI74" s="1177"/>
      <c r="AJ74" s="1177"/>
      <c r="AK74" s="1177"/>
      <c r="AL74" s="1068"/>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242" t="s">
        <v>2624</v>
      </c>
      <c r="BH74" s="1243"/>
      <c r="BI74" s="1243"/>
      <c r="BJ74" s="1243"/>
      <c r="BK74" s="1068"/>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212"/>
      <c r="J75" s="1212"/>
      <c r="K75" s="1212"/>
      <c r="L75" s="1212"/>
      <c r="M75" s="1068"/>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177"/>
      <c r="AI75" s="1177"/>
      <c r="AJ75" s="1177"/>
      <c r="AK75" s="1177"/>
      <c r="AL75" s="1068"/>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243"/>
      <c r="BH75" s="1243"/>
      <c r="BI75" s="1243"/>
      <c r="BJ75" s="1243"/>
      <c r="BK75" s="1068"/>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217" t="s">
        <v>632</v>
      </c>
      <c r="J76" s="1218"/>
      <c r="K76" s="1217" t="s">
        <v>635</v>
      </c>
      <c r="L76" s="1218"/>
      <c r="M76" s="1068"/>
      <c r="N76" s="506"/>
      <c r="O76" s="506"/>
      <c r="P76" s="514"/>
      <c r="Q76" s="506"/>
      <c r="R76" s="506"/>
      <c r="S76" s="506"/>
      <c r="T76" s="503"/>
      <c r="U76" s="514"/>
      <c r="V76" s="514"/>
      <c r="W76" s="514"/>
      <c r="X76" s="514"/>
      <c r="Y76" s="514"/>
      <c r="Z76" s="514"/>
      <c r="AA76" s="501">
        <v>7</v>
      </c>
      <c r="AB76" s="508"/>
      <c r="AC76" s="508"/>
      <c r="AD76" s="508"/>
      <c r="AE76" s="508"/>
      <c r="AF76" s="508"/>
      <c r="AG76" s="508"/>
      <c r="AH76" s="1175" t="s">
        <v>632</v>
      </c>
      <c r="AI76" s="1175"/>
      <c r="AJ76" s="1175" t="s">
        <v>635</v>
      </c>
      <c r="AK76" s="1175"/>
      <c r="AL76" s="1068"/>
      <c r="AM76" s="506"/>
      <c r="AN76" s="506"/>
      <c r="AO76" s="514"/>
      <c r="AP76" s="506"/>
      <c r="AQ76" s="506"/>
      <c r="AR76" s="506"/>
      <c r="AS76" s="503"/>
      <c r="AT76" s="514"/>
      <c r="AU76" s="514"/>
      <c r="AV76" s="514"/>
      <c r="AW76" s="514"/>
      <c r="AX76" s="514"/>
      <c r="AY76" s="514"/>
      <c r="AZ76" s="501">
        <v>7</v>
      </c>
      <c r="BA76" s="508"/>
      <c r="BB76" s="508"/>
      <c r="BC76" s="508"/>
      <c r="BD76" s="508"/>
      <c r="BE76" s="508"/>
      <c r="BF76" s="508"/>
      <c r="BG76" s="1194" t="s">
        <v>632</v>
      </c>
      <c r="BH76" s="1194"/>
      <c r="BI76" s="1194" t="s">
        <v>635</v>
      </c>
      <c r="BJ76" s="1194"/>
      <c r="BK76" s="1068"/>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218"/>
      <c r="J77" s="1218"/>
      <c r="K77" s="1218"/>
      <c r="L77" s="1218"/>
      <c r="M77" s="1068"/>
      <c r="N77" s="506"/>
      <c r="O77" s="506"/>
      <c r="P77" s="514"/>
      <c r="Q77" s="506"/>
      <c r="R77" s="506"/>
      <c r="S77" s="513"/>
      <c r="T77" s="508"/>
      <c r="U77" s="514"/>
      <c r="V77" s="514"/>
      <c r="W77" s="514"/>
      <c r="X77" s="514"/>
      <c r="Y77" s="514"/>
      <c r="Z77" s="514"/>
      <c r="AA77" s="501">
        <v>8</v>
      </c>
      <c r="AB77" s="508"/>
      <c r="AC77" s="508"/>
      <c r="AD77" s="508"/>
      <c r="AE77" s="508"/>
      <c r="AF77" s="508"/>
      <c r="AG77" s="508"/>
      <c r="AH77" s="1175"/>
      <c r="AI77" s="1175"/>
      <c r="AJ77" s="1175"/>
      <c r="AK77" s="1175"/>
      <c r="AL77" s="1068"/>
      <c r="AM77" s="506"/>
      <c r="AN77" s="506"/>
      <c r="AO77" s="514"/>
      <c r="AP77" s="506"/>
      <c r="AQ77" s="506"/>
      <c r="AR77" s="513"/>
      <c r="AS77" s="508"/>
      <c r="AT77" s="514"/>
      <c r="AU77" s="514"/>
      <c r="AV77" s="514"/>
      <c r="AW77" s="514"/>
      <c r="AX77" s="514"/>
      <c r="AY77" s="514"/>
      <c r="AZ77" s="501">
        <v>8</v>
      </c>
      <c r="BA77" s="508"/>
      <c r="BB77" s="508"/>
      <c r="BC77" s="508"/>
      <c r="BD77" s="508"/>
      <c r="BE77" s="508"/>
      <c r="BF77" s="508"/>
      <c r="BG77" s="1194"/>
      <c r="BH77" s="1194"/>
      <c r="BI77" s="1194"/>
      <c r="BJ77" s="1194"/>
      <c r="BK77" s="1068"/>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40" t="s">
        <v>2059</v>
      </c>
      <c r="C81" s="1140"/>
      <c r="D81" s="1162" t="s">
        <v>2581</v>
      </c>
      <c r="E81" s="1163"/>
      <c r="F81" s="1163"/>
      <c r="G81" s="1163"/>
      <c r="H81" s="1163"/>
      <c r="I81" s="1163"/>
      <c r="J81" s="1163"/>
      <c r="K81" s="1163"/>
      <c r="L81" s="1163"/>
      <c r="M81" s="1163"/>
      <c r="N81" s="1140">
        <v>3</v>
      </c>
      <c r="O81" s="1140"/>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61">
        <v>2</v>
      </c>
      <c r="C82" s="1161"/>
      <c r="D82" s="1142" t="s">
        <v>2767</v>
      </c>
      <c r="E82" s="1143"/>
      <c r="F82" s="1143"/>
      <c r="G82" s="1143"/>
      <c r="H82" s="1143"/>
      <c r="I82" s="1143"/>
      <c r="J82" s="1143"/>
      <c r="K82" s="1143"/>
      <c r="L82" s="1143"/>
      <c r="M82" s="1143"/>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41">
        <f>CB7</f>
        <v>12</v>
      </c>
      <c r="C83" s="1141"/>
      <c r="D83" s="1141"/>
      <c r="E83" s="1141" t="s">
        <v>576</v>
      </c>
      <c r="F83" s="1141"/>
      <c r="G83" s="1141"/>
      <c r="H83" s="1141">
        <v>0</v>
      </c>
      <c r="I83" s="1141"/>
      <c r="J83" s="1141"/>
      <c r="K83" s="1141">
        <v>6</v>
      </c>
      <c r="L83" s="1141"/>
      <c r="M83" s="1141"/>
      <c r="N83" s="508"/>
      <c r="O83" s="508"/>
      <c r="P83" s="508"/>
      <c r="Q83" s="508"/>
      <c r="R83" s="508"/>
      <c r="S83" s="508"/>
      <c r="T83" s="508"/>
      <c r="U83" s="508"/>
      <c r="V83" s="508"/>
      <c r="W83" s="508"/>
      <c r="X83" s="508"/>
      <c r="Y83" s="508"/>
      <c r="Z83" s="508"/>
      <c r="AA83" s="1125">
        <f>CB7</f>
        <v>12</v>
      </c>
      <c r="AB83" s="1126"/>
      <c r="AC83" s="1127"/>
      <c r="AD83" s="1125" t="s">
        <v>576</v>
      </c>
      <c r="AE83" s="1126"/>
      <c r="AF83" s="1127"/>
      <c r="AG83" s="1125">
        <v>1</v>
      </c>
      <c r="AH83" s="1126"/>
      <c r="AI83" s="1127"/>
      <c r="AJ83" s="1125">
        <v>6</v>
      </c>
      <c r="AK83" s="1126"/>
      <c r="AL83" s="1127"/>
      <c r="AM83" s="508"/>
      <c r="AN83" s="508"/>
      <c r="AO83" s="508"/>
      <c r="AP83" s="508"/>
      <c r="AQ83" s="508"/>
      <c r="AR83" s="508"/>
      <c r="AS83" s="508"/>
      <c r="AT83" s="508"/>
      <c r="AU83" s="508"/>
      <c r="AV83" s="508"/>
      <c r="AW83" s="508"/>
      <c r="AX83" s="508"/>
      <c r="AY83" s="508"/>
      <c r="AZ83" s="1125"/>
      <c r="BA83" s="1126"/>
      <c r="BB83" s="1127"/>
      <c r="BC83" s="1125"/>
      <c r="BD83" s="1126"/>
      <c r="BE83" s="1127"/>
      <c r="BF83" s="1125"/>
      <c r="BG83" s="1126"/>
      <c r="BH83" s="1127"/>
      <c r="BI83" s="1125">
        <v>6</v>
      </c>
      <c r="BJ83" s="1126"/>
      <c r="BK83" s="1127"/>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9" t="s">
        <v>1028</v>
      </c>
      <c r="D85" s="1090"/>
      <c r="E85" s="1090"/>
      <c r="F85" s="1090"/>
      <c r="G85" s="1090"/>
      <c r="H85" s="1090"/>
      <c r="I85" s="1090"/>
      <c r="J85" s="1090"/>
      <c r="K85" s="1090"/>
      <c r="L85" s="1090"/>
      <c r="M85" s="1067" t="s">
        <v>854</v>
      </c>
      <c r="N85" s="506"/>
      <c r="O85" s="506"/>
      <c r="P85" s="508"/>
      <c r="Q85" s="504">
        <f>$CB$6</f>
        <v>11</v>
      </c>
      <c r="R85" s="502">
        <v>1</v>
      </c>
      <c r="S85" s="502">
        <v>1</v>
      </c>
      <c r="T85" s="503" t="s">
        <v>1028</v>
      </c>
      <c r="U85" s="508"/>
      <c r="V85" s="514"/>
      <c r="W85" s="508"/>
      <c r="X85" s="508"/>
      <c r="Y85" s="508"/>
      <c r="Z85" s="508"/>
      <c r="AA85" s="501">
        <v>1</v>
      </c>
      <c r="AB85" s="1099" t="s">
        <v>1028</v>
      </c>
      <c r="AC85" s="1100"/>
      <c r="AD85" s="1100"/>
      <c r="AE85" s="1100"/>
      <c r="AF85" s="1100"/>
      <c r="AG85" s="1100"/>
      <c r="AH85" s="1100"/>
      <c r="AI85" s="1100"/>
      <c r="AJ85" s="1100"/>
      <c r="AK85" s="1100"/>
      <c r="AL85" s="1067" t="s">
        <v>854</v>
      </c>
      <c r="AM85" s="506"/>
      <c r="AN85" s="506"/>
      <c r="AO85" s="508"/>
      <c r="AP85" s="504">
        <f>$CB$6</f>
        <v>11</v>
      </c>
      <c r="AQ85" s="502">
        <v>1</v>
      </c>
      <c r="AR85" s="502">
        <v>1</v>
      </c>
      <c r="AS85" s="503" t="s">
        <v>1028</v>
      </c>
      <c r="AT85" s="508"/>
      <c r="AU85" s="508"/>
      <c r="AV85" s="508"/>
      <c r="AW85" s="508"/>
      <c r="AX85" s="508"/>
      <c r="AY85" s="508"/>
      <c r="AZ85" s="501">
        <v>1</v>
      </c>
      <c r="BA85" s="1102" t="s">
        <v>1028</v>
      </c>
      <c r="BB85" s="1103"/>
      <c r="BC85" s="1103"/>
      <c r="BD85" s="1103"/>
      <c r="BE85" s="1103"/>
      <c r="BF85" s="1103"/>
      <c r="BG85" s="1103"/>
      <c r="BH85" s="1103"/>
      <c r="BI85" s="1103"/>
      <c r="BJ85" s="1103"/>
      <c r="BK85" s="1067"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90"/>
      <c r="D86" s="1090"/>
      <c r="E86" s="1090"/>
      <c r="F86" s="1090"/>
      <c r="G86" s="1090"/>
      <c r="H86" s="1090"/>
      <c r="I86" s="1090"/>
      <c r="J86" s="1090"/>
      <c r="K86" s="1090"/>
      <c r="L86" s="1090"/>
      <c r="M86" s="1068"/>
      <c r="N86" s="506"/>
      <c r="O86" s="506"/>
      <c r="P86" s="508"/>
      <c r="Q86" s="504">
        <f>$CB$5</f>
        <v>10</v>
      </c>
      <c r="R86" s="506">
        <v>1</v>
      </c>
      <c r="S86" s="506">
        <v>5</v>
      </c>
      <c r="T86" s="503" t="s">
        <v>2622</v>
      </c>
      <c r="U86" s="508"/>
      <c r="V86" s="514"/>
      <c r="W86" s="508"/>
      <c r="X86" s="508"/>
      <c r="Y86" s="508"/>
      <c r="Z86" s="508"/>
      <c r="AA86" s="501">
        <v>2</v>
      </c>
      <c r="AB86" s="1100"/>
      <c r="AC86" s="1100"/>
      <c r="AD86" s="1100"/>
      <c r="AE86" s="1100"/>
      <c r="AF86" s="1100"/>
      <c r="AG86" s="1100"/>
      <c r="AH86" s="1100"/>
      <c r="AI86" s="1100"/>
      <c r="AJ86" s="1100"/>
      <c r="AK86" s="1100"/>
      <c r="AL86" s="1068"/>
      <c r="AM86" s="506"/>
      <c r="AN86" s="506"/>
      <c r="AO86" s="508"/>
      <c r="AP86" s="504">
        <f>$CB$5</f>
        <v>10</v>
      </c>
      <c r="AQ86" s="506">
        <v>1</v>
      </c>
      <c r="AR86" s="506">
        <v>5</v>
      </c>
      <c r="AS86" s="503" t="s">
        <v>2622</v>
      </c>
      <c r="AT86" s="508"/>
      <c r="AU86" s="508"/>
      <c r="AV86" s="508"/>
      <c r="AW86" s="508"/>
      <c r="AX86" s="508"/>
      <c r="AY86" s="508"/>
      <c r="AZ86" s="501">
        <v>2</v>
      </c>
      <c r="BA86" s="1103"/>
      <c r="BB86" s="1103"/>
      <c r="BC86" s="1103"/>
      <c r="BD86" s="1103"/>
      <c r="BE86" s="1103"/>
      <c r="BF86" s="1103"/>
      <c r="BG86" s="1103"/>
      <c r="BH86" s="1103"/>
      <c r="BI86" s="1103"/>
      <c r="BJ86" s="1103"/>
      <c r="BK86" s="1068"/>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90"/>
      <c r="D87" s="1090"/>
      <c r="E87" s="1090"/>
      <c r="F87" s="1090"/>
      <c r="G87" s="1090"/>
      <c r="H87" s="1090"/>
      <c r="I87" s="1090"/>
      <c r="J87" s="1090"/>
      <c r="K87" s="1090"/>
      <c r="L87" s="1090"/>
      <c r="M87" s="1068"/>
      <c r="N87" s="506"/>
      <c r="O87" s="506"/>
      <c r="P87" s="508"/>
      <c r="Q87" s="505">
        <f>$CB$7</f>
        <v>12</v>
      </c>
      <c r="R87" s="506">
        <v>6</v>
      </c>
      <c r="S87" s="506">
        <v>5</v>
      </c>
      <c r="T87" s="503" t="s">
        <v>478</v>
      </c>
      <c r="U87" s="508"/>
      <c r="V87" s="514"/>
      <c r="W87" s="508"/>
      <c r="X87" s="508"/>
      <c r="Y87" s="508"/>
      <c r="Z87" s="508"/>
      <c r="AA87" s="501">
        <v>3</v>
      </c>
      <c r="AB87" s="1100"/>
      <c r="AC87" s="1100"/>
      <c r="AD87" s="1100"/>
      <c r="AE87" s="1100"/>
      <c r="AF87" s="1100"/>
      <c r="AG87" s="1100"/>
      <c r="AH87" s="1100"/>
      <c r="AI87" s="1100"/>
      <c r="AJ87" s="1100"/>
      <c r="AK87" s="1100"/>
      <c r="AL87" s="1068"/>
      <c r="AM87" s="506"/>
      <c r="AN87" s="506"/>
      <c r="AO87" s="508"/>
      <c r="AP87" s="505">
        <f>$CB$7</f>
        <v>12</v>
      </c>
      <c r="AQ87" s="506">
        <v>6</v>
      </c>
      <c r="AR87" s="506">
        <v>5</v>
      </c>
      <c r="AS87" s="503" t="s">
        <v>478</v>
      </c>
      <c r="AT87" s="508"/>
      <c r="AU87" s="508"/>
      <c r="AV87" s="508"/>
      <c r="AW87" s="508"/>
      <c r="AX87" s="508"/>
      <c r="AY87" s="508"/>
      <c r="AZ87" s="501">
        <v>3</v>
      </c>
      <c r="BA87" s="1103"/>
      <c r="BB87" s="1103"/>
      <c r="BC87" s="1103"/>
      <c r="BD87" s="1103"/>
      <c r="BE87" s="1103"/>
      <c r="BF87" s="1103"/>
      <c r="BG87" s="1103"/>
      <c r="BH87" s="1103"/>
      <c r="BI87" s="1103"/>
      <c r="BJ87" s="1103"/>
      <c r="BK87" s="1068"/>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90"/>
      <c r="D88" s="1090"/>
      <c r="E88" s="1090"/>
      <c r="F88" s="1090"/>
      <c r="G88" s="1090"/>
      <c r="H88" s="1090"/>
      <c r="I88" s="1090"/>
      <c r="J88" s="1090"/>
      <c r="K88" s="1090"/>
      <c r="L88" s="1090"/>
      <c r="M88" s="1068"/>
      <c r="N88" s="506"/>
      <c r="O88" s="506"/>
      <c r="P88" s="508"/>
      <c r="Q88" s="504">
        <f>$CB$12</f>
        <v>17</v>
      </c>
      <c r="R88" s="506">
        <v>1</v>
      </c>
      <c r="S88" s="506">
        <v>7</v>
      </c>
      <c r="T88" s="503" t="s">
        <v>1029</v>
      </c>
      <c r="U88" s="508"/>
      <c r="V88" s="514"/>
      <c r="W88" s="508"/>
      <c r="X88" s="508"/>
      <c r="Y88" s="508"/>
      <c r="Z88" s="508"/>
      <c r="AA88" s="501">
        <v>4</v>
      </c>
      <c r="AB88" s="1100"/>
      <c r="AC88" s="1100"/>
      <c r="AD88" s="1100"/>
      <c r="AE88" s="1100"/>
      <c r="AF88" s="1100"/>
      <c r="AG88" s="1100"/>
      <c r="AH88" s="1100"/>
      <c r="AI88" s="1100"/>
      <c r="AJ88" s="1100"/>
      <c r="AK88" s="1100"/>
      <c r="AL88" s="1068"/>
      <c r="AM88" s="506"/>
      <c r="AN88" s="506"/>
      <c r="AO88" s="508"/>
      <c r="AP88" s="504">
        <f>$CB$12</f>
        <v>17</v>
      </c>
      <c r="AQ88" s="506">
        <v>1</v>
      </c>
      <c r="AR88" s="506">
        <v>7</v>
      </c>
      <c r="AS88" s="503" t="s">
        <v>1029</v>
      </c>
      <c r="AT88" s="508"/>
      <c r="AU88" s="508"/>
      <c r="AV88" s="508"/>
      <c r="AW88" s="508"/>
      <c r="AX88" s="508"/>
      <c r="AY88" s="508"/>
      <c r="AZ88" s="501">
        <v>4</v>
      </c>
      <c r="BA88" s="1103"/>
      <c r="BB88" s="1103"/>
      <c r="BC88" s="1103"/>
      <c r="BD88" s="1103"/>
      <c r="BE88" s="1103"/>
      <c r="BF88" s="1103"/>
      <c r="BG88" s="1103"/>
      <c r="BH88" s="1103"/>
      <c r="BI88" s="1103"/>
      <c r="BJ88" s="1103"/>
      <c r="BK88" s="1068"/>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92" t="s">
        <v>2622</v>
      </c>
      <c r="D89" s="1093"/>
      <c r="E89" s="1093"/>
      <c r="F89" s="1093"/>
      <c r="G89" s="1093"/>
      <c r="H89" s="1094">
        <v>0</v>
      </c>
      <c r="I89" s="1095"/>
      <c r="J89" s="1095"/>
      <c r="K89" s="1095"/>
      <c r="L89" s="1095"/>
      <c r="M89" s="1068"/>
      <c r="N89" s="506"/>
      <c r="O89" s="506"/>
      <c r="P89" s="508"/>
      <c r="Q89" s="504">
        <f>$CB$13</f>
        <v>18</v>
      </c>
      <c r="R89" s="506">
        <v>6</v>
      </c>
      <c r="S89" s="506">
        <v>7</v>
      </c>
      <c r="T89" s="503" t="s">
        <v>1030</v>
      </c>
      <c r="U89" s="508"/>
      <c r="V89" s="514"/>
      <c r="W89" s="508"/>
      <c r="X89" s="508"/>
      <c r="Y89" s="508"/>
      <c r="Z89" s="508"/>
      <c r="AA89" s="501">
        <v>5</v>
      </c>
      <c r="AB89" s="1092" t="s">
        <v>2622</v>
      </c>
      <c r="AC89" s="1093"/>
      <c r="AD89" s="1093"/>
      <c r="AE89" s="1093"/>
      <c r="AF89" s="1093"/>
      <c r="AG89" s="1094">
        <v>0</v>
      </c>
      <c r="AH89" s="1095"/>
      <c r="AI89" s="1095"/>
      <c r="AJ89" s="1095"/>
      <c r="AK89" s="1095"/>
      <c r="AL89" s="1068"/>
      <c r="AM89" s="506"/>
      <c r="AN89" s="506"/>
      <c r="AO89" s="508"/>
      <c r="AP89" s="504">
        <f>$CB$13</f>
        <v>18</v>
      </c>
      <c r="AQ89" s="506">
        <v>6</v>
      </c>
      <c r="AR89" s="506">
        <v>7</v>
      </c>
      <c r="AS89" s="503" t="s">
        <v>1030</v>
      </c>
      <c r="AT89" s="508"/>
      <c r="AU89" s="508"/>
      <c r="AV89" s="508"/>
      <c r="AW89" s="508"/>
      <c r="AX89" s="508"/>
      <c r="AY89" s="508"/>
      <c r="AZ89" s="501">
        <v>5</v>
      </c>
      <c r="BA89" s="1092" t="s">
        <v>2622</v>
      </c>
      <c r="BB89" s="1093"/>
      <c r="BC89" s="1093"/>
      <c r="BD89" s="1093"/>
      <c r="BE89" s="1093"/>
      <c r="BF89" s="1094">
        <v>0</v>
      </c>
      <c r="BG89" s="1095"/>
      <c r="BH89" s="1095"/>
      <c r="BI89" s="1095"/>
      <c r="BJ89" s="1095"/>
      <c r="BK89" s="1068"/>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93"/>
      <c r="D90" s="1093"/>
      <c r="E90" s="1093"/>
      <c r="F90" s="1093"/>
      <c r="G90" s="1093"/>
      <c r="H90" s="1095"/>
      <c r="I90" s="1095"/>
      <c r="J90" s="1095"/>
      <c r="K90" s="1095"/>
      <c r="L90" s="1095"/>
      <c r="M90" s="1068"/>
      <c r="N90" s="506"/>
      <c r="O90" s="506"/>
      <c r="P90" s="508"/>
      <c r="Q90" s="504">
        <f>$CB$8</f>
        <v>13</v>
      </c>
      <c r="R90" s="506">
        <v>11</v>
      </c>
      <c r="S90" s="506">
        <v>1</v>
      </c>
      <c r="T90" s="503" t="s">
        <v>2575</v>
      </c>
      <c r="U90" s="508"/>
      <c r="V90" s="514"/>
      <c r="W90" s="508"/>
      <c r="X90" s="508"/>
      <c r="Y90" s="508"/>
      <c r="Z90" s="508"/>
      <c r="AA90" s="501">
        <v>6</v>
      </c>
      <c r="AB90" s="1093"/>
      <c r="AC90" s="1093"/>
      <c r="AD90" s="1093"/>
      <c r="AE90" s="1093"/>
      <c r="AF90" s="1093"/>
      <c r="AG90" s="1095"/>
      <c r="AH90" s="1095"/>
      <c r="AI90" s="1095"/>
      <c r="AJ90" s="1095"/>
      <c r="AK90" s="1095"/>
      <c r="AL90" s="1068"/>
      <c r="AM90" s="506"/>
      <c r="AN90" s="506"/>
      <c r="AO90" s="508"/>
      <c r="AP90" s="504">
        <f>$CB$8</f>
        <v>13</v>
      </c>
      <c r="AQ90" s="506">
        <v>11</v>
      </c>
      <c r="AR90" s="506">
        <v>1</v>
      </c>
      <c r="AS90" s="503" t="s">
        <v>2575</v>
      </c>
      <c r="AT90" s="508"/>
      <c r="AU90" s="508"/>
      <c r="AV90" s="508"/>
      <c r="AW90" s="508"/>
      <c r="AX90" s="508"/>
      <c r="AY90" s="508"/>
      <c r="AZ90" s="501">
        <v>6</v>
      </c>
      <c r="BA90" s="1093"/>
      <c r="BB90" s="1093"/>
      <c r="BC90" s="1093"/>
      <c r="BD90" s="1093"/>
      <c r="BE90" s="1093"/>
      <c r="BF90" s="1095"/>
      <c r="BG90" s="1095"/>
      <c r="BH90" s="1095"/>
      <c r="BI90" s="1095"/>
      <c r="BJ90" s="1095"/>
      <c r="BK90" s="1068"/>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96" t="s">
        <v>1029</v>
      </c>
      <c r="D91" s="1097"/>
      <c r="E91" s="1097"/>
      <c r="F91" s="1097"/>
      <c r="G91" s="1097"/>
      <c r="H91" s="1096" t="s">
        <v>1030</v>
      </c>
      <c r="I91" s="1097"/>
      <c r="J91" s="1097"/>
      <c r="K91" s="1097"/>
      <c r="L91" s="1097"/>
      <c r="M91" s="1068"/>
      <c r="N91" s="506"/>
      <c r="O91" s="506"/>
      <c r="P91" s="508"/>
      <c r="Q91" s="506"/>
      <c r="R91" s="506"/>
      <c r="S91" s="506"/>
      <c r="T91" s="503"/>
      <c r="U91" s="508"/>
      <c r="V91" s="514"/>
      <c r="W91" s="508"/>
      <c r="X91" s="508"/>
      <c r="Y91" s="508"/>
      <c r="Z91" s="508"/>
      <c r="AA91" s="501">
        <v>7</v>
      </c>
      <c r="AB91" s="1096" t="s">
        <v>1029</v>
      </c>
      <c r="AC91" s="1097"/>
      <c r="AD91" s="1097"/>
      <c r="AE91" s="1097"/>
      <c r="AF91" s="1097"/>
      <c r="AG91" s="1096" t="s">
        <v>1030</v>
      </c>
      <c r="AH91" s="1097"/>
      <c r="AI91" s="1097"/>
      <c r="AJ91" s="1097"/>
      <c r="AK91" s="1097"/>
      <c r="AL91" s="1068"/>
      <c r="AM91" s="506"/>
      <c r="AN91" s="506"/>
      <c r="AO91" s="508"/>
      <c r="AP91" s="506"/>
      <c r="AQ91" s="506"/>
      <c r="AR91" s="506"/>
      <c r="AS91" s="503"/>
      <c r="AT91" s="508"/>
      <c r="AU91" s="508"/>
      <c r="AV91" s="508"/>
      <c r="AW91" s="508"/>
      <c r="AX91" s="508"/>
      <c r="AY91" s="508"/>
      <c r="AZ91" s="501">
        <v>7</v>
      </c>
      <c r="BA91" s="1096" t="s">
        <v>1029</v>
      </c>
      <c r="BB91" s="1097"/>
      <c r="BC91" s="1097"/>
      <c r="BD91" s="1097"/>
      <c r="BE91" s="1097"/>
      <c r="BF91" s="1096" t="s">
        <v>1030</v>
      </c>
      <c r="BG91" s="1097"/>
      <c r="BH91" s="1097"/>
      <c r="BI91" s="1097"/>
      <c r="BJ91" s="1097"/>
      <c r="BK91" s="1068"/>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97"/>
      <c r="D92" s="1097"/>
      <c r="E92" s="1097"/>
      <c r="F92" s="1097"/>
      <c r="G92" s="1097"/>
      <c r="H92" s="1097"/>
      <c r="I92" s="1097"/>
      <c r="J92" s="1097"/>
      <c r="K92" s="1097"/>
      <c r="L92" s="1097"/>
      <c r="M92" s="1068"/>
      <c r="N92" s="506"/>
      <c r="O92" s="506"/>
      <c r="P92" s="508"/>
      <c r="Q92" s="506"/>
      <c r="R92" s="506"/>
      <c r="S92" s="513"/>
      <c r="T92" s="508"/>
      <c r="U92" s="508"/>
      <c r="V92" s="514"/>
      <c r="W92" s="508"/>
      <c r="X92" s="508"/>
      <c r="Y92" s="508"/>
      <c r="Z92" s="508"/>
      <c r="AA92" s="501">
        <v>8</v>
      </c>
      <c r="AB92" s="1097"/>
      <c r="AC92" s="1097"/>
      <c r="AD92" s="1097"/>
      <c r="AE92" s="1097"/>
      <c r="AF92" s="1097"/>
      <c r="AG92" s="1097"/>
      <c r="AH92" s="1097"/>
      <c r="AI92" s="1097"/>
      <c r="AJ92" s="1097"/>
      <c r="AK92" s="1097"/>
      <c r="AL92" s="1068"/>
      <c r="AM92" s="506"/>
      <c r="AN92" s="506"/>
      <c r="AO92" s="508"/>
      <c r="AP92" s="506"/>
      <c r="AQ92" s="506"/>
      <c r="AR92" s="513"/>
      <c r="AS92" s="508"/>
      <c r="AT92" s="508"/>
      <c r="AU92" s="508"/>
      <c r="AV92" s="508"/>
      <c r="AW92" s="508"/>
      <c r="AX92" s="508"/>
      <c r="AY92" s="508"/>
      <c r="AZ92" s="501">
        <v>8</v>
      </c>
      <c r="BA92" s="1097"/>
      <c r="BB92" s="1097"/>
      <c r="BC92" s="1097"/>
      <c r="BD92" s="1097"/>
      <c r="BE92" s="1097"/>
      <c r="BF92" s="1097"/>
      <c r="BG92" s="1097"/>
      <c r="BH92" s="1097"/>
      <c r="BI92" s="1097"/>
      <c r="BJ92" s="1097"/>
      <c r="BK92" s="1068"/>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44">
        <v>3</v>
      </c>
      <c r="C96" s="1144"/>
      <c r="D96" s="1145" t="s">
        <v>1025</v>
      </c>
      <c r="E96" s="1146"/>
      <c r="F96" s="1146"/>
      <c r="G96" s="1146"/>
      <c r="H96" s="1146"/>
      <c r="I96" s="1146"/>
      <c r="J96" s="1146"/>
      <c r="K96" s="1146"/>
      <c r="L96" s="1146"/>
      <c r="M96" s="1146"/>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41">
        <f>CB7</f>
        <v>12</v>
      </c>
      <c r="C97" s="1141"/>
      <c r="D97" s="1141"/>
      <c r="E97" s="1141" t="s">
        <v>576</v>
      </c>
      <c r="F97" s="1141"/>
      <c r="G97" s="1141"/>
      <c r="H97" s="1141">
        <v>0</v>
      </c>
      <c r="I97" s="1141"/>
      <c r="J97" s="1141"/>
      <c r="K97" s="1141">
        <v>6</v>
      </c>
      <c r="L97" s="1141"/>
      <c r="M97" s="1141"/>
      <c r="N97" s="508"/>
      <c r="O97" s="508"/>
      <c r="P97" s="508"/>
      <c r="Q97" s="508"/>
      <c r="R97" s="508"/>
      <c r="S97" s="508"/>
      <c r="T97" s="508"/>
      <c r="U97" s="508"/>
      <c r="V97" s="508"/>
      <c r="W97" s="508"/>
      <c r="X97" s="508"/>
      <c r="Y97" s="508"/>
      <c r="Z97" s="508"/>
      <c r="AA97" s="1125">
        <f>CB7</f>
        <v>12</v>
      </c>
      <c r="AB97" s="1126"/>
      <c r="AC97" s="1127"/>
      <c r="AD97" s="1125" t="s">
        <v>576</v>
      </c>
      <c r="AE97" s="1126"/>
      <c r="AF97" s="1127"/>
      <c r="AG97" s="1125">
        <v>1</v>
      </c>
      <c r="AH97" s="1126"/>
      <c r="AI97" s="1127"/>
      <c r="AJ97" s="1125">
        <v>6</v>
      </c>
      <c r="AK97" s="1126"/>
      <c r="AL97" s="1127"/>
      <c r="AM97" s="508"/>
      <c r="AN97" s="508"/>
      <c r="AO97" s="508"/>
      <c r="AP97" s="508"/>
      <c r="AQ97" s="508"/>
      <c r="AR97" s="508"/>
      <c r="AS97" s="508"/>
      <c r="AT97" s="508"/>
      <c r="AU97" s="508"/>
      <c r="AV97" s="508"/>
      <c r="AW97" s="508"/>
      <c r="AX97" s="508"/>
      <c r="AY97" s="508"/>
      <c r="AZ97" s="1125"/>
      <c r="BA97" s="1126"/>
      <c r="BB97" s="1127"/>
      <c r="BC97" s="1125"/>
      <c r="BD97" s="1126"/>
      <c r="BE97" s="1127"/>
      <c r="BF97" s="1125"/>
      <c r="BG97" s="1126"/>
      <c r="BH97" s="1127"/>
      <c r="BI97" s="1125">
        <v>6</v>
      </c>
      <c r="BJ97" s="1126"/>
      <c r="BK97" s="1127"/>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9" t="s">
        <v>1028</v>
      </c>
      <c r="F99" s="1090"/>
      <c r="G99" s="1090"/>
      <c r="H99" s="1090"/>
      <c r="I99" s="1090"/>
      <c r="J99" s="1090"/>
      <c r="K99" s="1090"/>
      <c r="L99" s="1090"/>
      <c r="M99" s="1067" t="s">
        <v>854</v>
      </c>
      <c r="N99" s="506"/>
      <c r="O99" s="506"/>
      <c r="P99" s="508"/>
      <c r="Q99" s="504">
        <f>$CB$6</f>
        <v>11</v>
      </c>
      <c r="R99" s="502">
        <v>3</v>
      </c>
      <c r="S99" s="502">
        <v>1</v>
      </c>
      <c r="T99" s="503" t="s">
        <v>1028</v>
      </c>
      <c r="U99" s="514"/>
      <c r="V99" s="514"/>
      <c r="W99" s="514"/>
      <c r="X99" s="514"/>
      <c r="Y99" s="514"/>
      <c r="Z99" s="514"/>
      <c r="AA99" s="501">
        <v>1</v>
      </c>
      <c r="AB99" s="508"/>
      <c r="AC99" s="508"/>
      <c r="AD99" s="1099" t="s">
        <v>1028</v>
      </c>
      <c r="AE99" s="1100"/>
      <c r="AF99" s="1100"/>
      <c r="AG99" s="1100"/>
      <c r="AH99" s="1100"/>
      <c r="AI99" s="1100"/>
      <c r="AJ99" s="1100"/>
      <c r="AK99" s="1100"/>
      <c r="AL99" s="1067" t="s">
        <v>854</v>
      </c>
      <c r="AM99" s="506"/>
      <c r="AN99" s="506"/>
      <c r="AO99" s="508"/>
      <c r="AP99" s="504">
        <f>$CB$6</f>
        <v>11</v>
      </c>
      <c r="AQ99" s="502">
        <v>3</v>
      </c>
      <c r="AR99" s="502">
        <v>1</v>
      </c>
      <c r="AS99" s="503" t="s">
        <v>1028</v>
      </c>
      <c r="AT99" s="514"/>
      <c r="AU99" s="514"/>
      <c r="AV99" s="514"/>
      <c r="AW99" s="514"/>
      <c r="AX99" s="514"/>
      <c r="AY99" s="514"/>
      <c r="AZ99" s="501">
        <v>1</v>
      </c>
      <c r="BA99" s="508"/>
      <c r="BB99" s="508"/>
      <c r="BC99" s="1102" t="s">
        <v>1028</v>
      </c>
      <c r="BD99" s="1103"/>
      <c r="BE99" s="1103"/>
      <c r="BF99" s="1103"/>
      <c r="BG99" s="1103"/>
      <c r="BH99" s="1103"/>
      <c r="BI99" s="1103"/>
      <c r="BJ99" s="1103"/>
      <c r="BK99" s="1067"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90"/>
      <c r="F100" s="1090"/>
      <c r="G100" s="1090"/>
      <c r="H100" s="1090"/>
      <c r="I100" s="1090"/>
      <c r="J100" s="1090"/>
      <c r="K100" s="1090"/>
      <c r="L100" s="1090"/>
      <c r="M100" s="1068"/>
      <c r="N100" s="506"/>
      <c r="O100" s="506"/>
      <c r="P100" s="508"/>
      <c r="Q100" s="504">
        <f>$CB$5</f>
        <v>10</v>
      </c>
      <c r="R100" s="506">
        <v>3</v>
      </c>
      <c r="S100" s="506">
        <v>5</v>
      </c>
      <c r="T100" s="503" t="s">
        <v>2622</v>
      </c>
      <c r="U100" s="514"/>
      <c r="V100" s="514"/>
      <c r="W100" s="514"/>
      <c r="X100" s="514"/>
      <c r="Y100" s="514"/>
      <c r="Z100" s="514"/>
      <c r="AA100" s="501">
        <v>2</v>
      </c>
      <c r="AB100" s="508"/>
      <c r="AC100" s="508"/>
      <c r="AD100" s="1100"/>
      <c r="AE100" s="1100"/>
      <c r="AF100" s="1100"/>
      <c r="AG100" s="1100"/>
      <c r="AH100" s="1100"/>
      <c r="AI100" s="1100"/>
      <c r="AJ100" s="1100"/>
      <c r="AK100" s="1100"/>
      <c r="AL100" s="1068"/>
      <c r="AM100" s="506"/>
      <c r="AN100" s="506"/>
      <c r="AO100" s="508"/>
      <c r="AP100" s="504">
        <f>$CB$5</f>
        <v>10</v>
      </c>
      <c r="AQ100" s="506">
        <v>3</v>
      </c>
      <c r="AR100" s="506">
        <v>5</v>
      </c>
      <c r="AS100" s="503" t="s">
        <v>2622</v>
      </c>
      <c r="AT100" s="514"/>
      <c r="AU100" s="514"/>
      <c r="AV100" s="514"/>
      <c r="AW100" s="514"/>
      <c r="AX100" s="514"/>
      <c r="AY100" s="514"/>
      <c r="AZ100" s="501">
        <v>2</v>
      </c>
      <c r="BA100" s="508"/>
      <c r="BB100" s="508"/>
      <c r="BC100" s="1103"/>
      <c r="BD100" s="1103"/>
      <c r="BE100" s="1103"/>
      <c r="BF100" s="1103"/>
      <c r="BG100" s="1103"/>
      <c r="BH100" s="1103"/>
      <c r="BI100" s="1103"/>
      <c r="BJ100" s="1103"/>
      <c r="BK100" s="1068"/>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90"/>
      <c r="F101" s="1090"/>
      <c r="G101" s="1090"/>
      <c r="H101" s="1090"/>
      <c r="I101" s="1090"/>
      <c r="J101" s="1090"/>
      <c r="K101" s="1090"/>
      <c r="L101" s="1090"/>
      <c r="M101" s="1068"/>
      <c r="N101" s="506"/>
      <c r="O101" s="506"/>
      <c r="P101" s="508"/>
      <c r="Q101" s="505">
        <f>$CB$7</f>
        <v>12</v>
      </c>
      <c r="R101" s="506">
        <v>7</v>
      </c>
      <c r="S101" s="506">
        <v>5</v>
      </c>
      <c r="T101" s="503" t="s">
        <v>478</v>
      </c>
      <c r="U101" s="514"/>
      <c r="V101" s="514"/>
      <c r="W101" s="514"/>
      <c r="X101" s="514"/>
      <c r="Y101" s="514"/>
      <c r="Z101" s="514"/>
      <c r="AA101" s="501">
        <v>3</v>
      </c>
      <c r="AB101" s="508"/>
      <c r="AC101" s="508"/>
      <c r="AD101" s="1100"/>
      <c r="AE101" s="1100"/>
      <c r="AF101" s="1100"/>
      <c r="AG101" s="1100"/>
      <c r="AH101" s="1100"/>
      <c r="AI101" s="1100"/>
      <c r="AJ101" s="1100"/>
      <c r="AK101" s="1100"/>
      <c r="AL101" s="1068"/>
      <c r="AM101" s="506"/>
      <c r="AN101" s="506"/>
      <c r="AO101" s="508"/>
      <c r="AP101" s="505">
        <f>$CB$7</f>
        <v>12</v>
      </c>
      <c r="AQ101" s="506">
        <v>7</v>
      </c>
      <c r="AR101" s="506">
        <v>5</v>
      </c>
      <c r="AS101" s="503" t="s">
        <v>478</v>
      </c>
      <c r="AT101" s="514"/>
      <c r="AU101" s="514"/>
      <c r="AV101" s="514"/>
      <c r="AW101" s="514"/>
      <c r="AX101" s="514"/>
      <c r="AY101" s="514"/>
      <c r="AZ101" s="501">
        <v>3</v>
      </c>
      <c r="BA101" s="508"/>
      <c r="BB101" s="508"/>
      <c r="BC101" s="1103"/>
      <c r="BD101" s="1103"/>
      <c r="BE101" s="1103"/>
      <c r="BF101" s="1103"/>
      <c r="BG101" s="1103"/>
      <c r="BH101" s="1103"/>
      <c r="BI101" s="1103"/>
      <c r="BJ101" s="1103"/>
      <c r="BK101" s="1068"/>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90"/>
      <c r="F102" s="1090"/>
      <c r="G102" s="1090"/>
      <c r="H102" s="1090"/>
      <c r="I102" s="1090"/>
      <c r="J102" s="1090"/>
      <c r="K102" s="1090"/>
      <c r="L102" s="1090"/>
      <c r="M102" s="1068"/>
      <c r="N102" s="506"/>
      <c r="O102" s="506"/>
      <c r="P102" s="508"/>
      <c r="Q102" s="504">
        <f>$CB$12</f>
        <v>17</v>
      </c>
      <c r="R102" s="506">
        <v>3</v>
      </c>
      <c r="S102" s="506">
        <v>7</v>
      </c>
      <c r="T102" s="503" t="s">
        <v>1029</v>
      </c>
      <c r="U102" s="514"/>
      <c r="V102" s="514"/>
      <c r="W102" s="514"/>
      <c r="X102" s="514"/>
      <c r="Y102" s="514"/>
      <c r="Z102" s="514"/>
      <c r="AA102" s="501">
        <v>4</v>
      </c>
      <c r="AB102" s="508"/>
      <c r="AC102" s="508"/>
      <c r="AD102" s="1100"/>
      <c r="AE102" s="1100"/>
      <c r="AF102" s="1100"/>
      <c r="AG102" s="1100"/>
      <c r="AH102" s="1100"/>
      <c r="AI102" s="1100"/>
      <c r="AJ102" s="1100"/>
      <c r="AK102" s="1100"/>
      <c r="AL102" s="1068"/>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103"/>
      <c r="BD102" s="1103"/>
      <c r="BE102" s="1103"/>
      <c r="BF102" s="1103"/>
      <c r="BG102" s="1103"/>
      <c r="BH102" s="1103"/>
      <c r="BI102" s="1103"/>
      <c r="BJ102" s="1103"/>
      <c r="BK102" s="1068"/>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92" t="s">
        <v>2622</v>
      </c>
      <c r="F103" s="1093"/>
      <c r="G103" s="1093"/>
      <c r="H103" s="1093"/>
      <c r="I103" s="1094">
        <v>0</v>
      </c>
      <c r="J103" s="1164"/>
      <c r="K103" s="1164"/>
      <c r="L103" s="1164"/>
      <c r="M103" s="1068"/>
      <c r="N103" s="506"/>
      <c r="O103" s="506"/>
      <c r="P103" s="508"/>
      <c r="Q103" s="504">
        <f>$CB$13</f>
        <v>18</v>
      </c>
      <c r="R103" s="506">
        <v>7</v>
      </c>
      <c r="S103" s="506">
        <v>7</v>
      </c>
      <c r="T103" s="503" t="s">
        <v>1030</v>
      </c>
      <c r="U103" s="514"/>
      <c r="V103" s="514"/>
      <c r="W103" s="514"/>
      <c r="X103" s="514"/>
      <c r="Y103" s="514"/>
      <c r="Z103" s="514"/>
      <c r="AA103" s="501">
        <v>5</v>
      </c>
      <c r="AB103" s="508"/>
      <c r="AC103" s="508"/>
      <c r="AD103" s="1092" t="s">
        <v>2622</v>
      </c>
      <c r="AE103" s="1093"/>
      <c r="AF103" s="1093"/>
      <c r="AG103" s="1093"/>
      <c r="AH103" s="1094">
        <v>0</v>
      </c>
      <c r="AI103" s="1164"/>
      <c r="AJ103" s="1164"/>
      <c r="AK103" s="1164"/>
      <c r="AL103" s="1068"/>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92" t="s">
        <v>2622</v>
      </c>
      <c r="BD103" s="1093"/>
      <c r="BE103" s="1093"/>
      <c r="BF103" s="1093"/>
      <c r="BG103" s="1094">
        <v>0</v>
      </c>
      <c r="BH103" s="1164"/>
      <c r="BI103" s="1164"/>
      <c r="BJ103" s="1164"/>
      <c r="BK103" s="1068"/>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93"/>
      <c r="F104" s="1093"/>
      <c r="G104" s="1093"/>
      <c r="H104" s="1093"/>
      <c r="I104" s="1164"/>
      <c r="J104" s="1164"/>
      <c r="K104" s="1164"/>
      <c r="L104" s="1164"/>
      <c r="M104" s="1068"/>
      <c r="N104" s="506"/>
      <c r="O104" s="506"/>
      <c r="P104" s="508"/>
      <c r="Q104" s="504">
        <f>$CB$8</f>
        <v>13</v>
      </c>
      <c r="R104" s="506">
        <v>11</v>
      </c>
      <c r="S104" s="506">
        <v>1</v>
      </c>
      <c r="T104" s="503" t="s">
        <v>2575</v>
      </c>
      <c r="U104" s="514"/>
      <c r="V104" s="514"/>
      <c r="W104" s="514"/>
      <c r="X104" s="514"/>
      <c r="Y104" s="514"/>
      <c r="Z104" s="514"/>
      <c r="AA104" s="501">
        <v>6</v>
      </c>
      <c r="AB104" s="508"/>
      <c r="AC104" s="508"/>
      <c r="AD104" s="1093"/>
      <c r="AE104" s="1093"/>
      <c r="AF104" s="1093"/>
      <c r="AG104" s="1093"/>
      <c r="AH104" s="1164"/>
      <c r="AI104" s="1164"/>
      <c r="AJ104" s="1164"/>
      <c r="AK104" s="1164"/>
      <c r="AL104" s="1068"/>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93"/>
      <c r="BD104" s="1093"/>
      <c r="BE104" s="1093"/>
      <c r="BF104" s="1093"/>
      <c r="BG104" s="1164"/>
      <c r="BH104" s="1164"/>
      <c r="BI104" s="1164"/>
      <c r="BJ104" s="1164"/>
      <c r="BK104" s="1068"/>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96" t="s">
        <v>1029</v>
      </c>
      <c r="F105" s="1097"/>
      <c r="G105" s="1097"/>
      <c r="H105" s="1097"/>
      <c r="I105" s="1096" t="s">
        <v>1030</v>
      </c>
      <c r="J105" s="1097"/>
      <c r="K105" s="1097"/>
      <c r="L105" s="1097"/>
      <c r="M105" s="1068"/>
      <c r="N105" s="506"/>
      <c r="O105" s="506"/>
      <c r="P105" s="508"/>
      <c r="Q105" s="506"/>
      <c r="R105" s="506"/>
      <c r="S105" s="506"/>
      <c r="T105" s="503"/>
      <c r="U105" s="514"/>
      <c r="V105" s="514"/>
      <c r="W105" s="514"/>
      <c r="X105" s="514"/>
      <c r="Y105" s="514"/>
      <c r="Z105" s="514"/>
      <c r="AA105" s="501">
        <v>7</v>
      </c>
      <c r="AB105" s="508"/>
      <c r="AC105" s="508"/>
      <c r="AD105" s="1096" t="s">
        <v>1029</v>
      </c>
      <c r="AE105" s="1097"/>
      <c r="AF105" s="1097"/>
      <c r="AG105" s="1097"/>
      <c r="AH105" s="1096" t="s">
        <v>1030</v>
      </c>
      <c r="AI105" s="1097"/>
      <c r="AJ105" s="1097"/>
      <c r="AK105" s="1097"/>
      <c r="AL105" s="1068"/>
      <c r="AM105" s="506"/>
      <c r="AN105" s="506"/>
      <c r="AO105" s="508"/>
      <c r="AP105" s="506"/>
      <c r="AQ105" s="506"/>
      <c r="AR105" s="506"/>
      <c r="AS105" s="503"/>
      <c r="AT105" s="514"/>
      <c r="AU105" s="514"/>
      <c r="AV105" s="514"/>
      <c r="AW105" s="514"/>
      <c r="AX105" s="514"/>
      <c r="AY105" s="514"/>
      <c r="AZ105" s="501">
        <v>7</v>
      </c>
      <c r="BA105" s="508"/>
      <c r="BB105" s="508"/>
      <c r="BC105" s="1096" t="s">
        <v>1029</v>
      </c>
      <c r="BD105" s="1097"/>
      <c r="BE105" s="1097"/>
      <c r="BF105" s="1097"/>
      <c r="BG105" s="1096" t="s">
        <v>1030</v>
      </c>
      <c r="BH105" s="1097"/>
      <c r="BI105" s="1097"/>
      <c r="BJ105" s="1097"/>
      <c r="BK105" s="1068"/>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97"/>
      <c r="F106" s="1097"/>
      <c r="G106" s="1097"/>
      <c r="H106" s="1097"/>
      <c r="I106" s="1097"/>
      <c r="J106" s="1097"/>
      <c r="K106" s="1097"/>
      <c r="L106" s="1097"/>
      <c r="M106" s="1068"/>
      <c r="N106" s="506"/>
      <c r="O106" s="506"/>
      <c r="P106" s="508"/>
      <c r="Q106" s="506"/>
      <c r="R106" s="506"/>
      <c r="S106" s="513"/>
      <c r="T106" s="508"/>
      <c r="U106" s="514"/>
      <c r="V106" s="514"/>
      <c r="W106" s="514"/>
      <c r="X106" s="514"/>
      <c r="Y106" s="514"/>
      <c r="Z106" s="514"/>
      <c r="AA106" s="501">
        <v>8</v>
      </c>
      <c r="AB106" s="508"/>
      <c r="AC106" s="508"/>
      <c r="AD106" s="1097"/>
      <c r="AE106" s="1097"/>
      <c r="AF106" s="1097"/>
      <c r="AG106" s="1097"/>
      <c r="AH106" s="1097"/>
      <c r="AI106" s="1097"/>
      <c r="AJ106" s="1097"/>
      <c r="AK106" s="1097"/>
      <c r="AL106" s="1068"/>
      <c r="AM106" s="506"/>
      <c r="AN106" s="506"/>
      <c r="AO106" s="508"/>
      <c r="AP106" s="506"/>
      <c r="AQ106" s="506"/>
      <c r="AR106" s="513"/>
      <c r="AS106" s="508"/>
      <c r="AT106" s="514"/>
      <c r="AU106" s="514"/>
      <c r="AV106" s="514"/>
      <c r="AW106" s="514"/>
      <c r="AX106" s="514"/>
      <c r="AY106" s="514"/>
      <c r="AZ106" s="501">
        <v>8</v>
      </c>
      <c r="BA106" s="508"/>
      <c r="BB106" s="508"/>
      <c r="BC106" s="1097"/>
      <c r="BD106" s="1097"/>
      <c r="BE106" s="1097"/>
      <c r="BF106" s="1097"/>
      <c r="BG106" s="1097"/>
      <c r="BH106" s="1097"/>
      <c r="BI106" s="1097"/>
      <c r="BJ106" s="1097"/>
      <c r="BK106" s="1068"/>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44">
        <v>4</v>
      </c>
      <c r="C110" s="1144"/>
      <c r="D110" s="1145" t="s">
        <v>1026</v>
      </c>
      <c r="E110" s="1146"/>
      <c r="F110" s="1146"/>
      <c r="G110" s="1146"/>
      <c r="H110" s="1146"/>
      <c r="I110" s="1146"/>
      <c r="J110" s="1146"/>
      <c r="K110" s="1146"/>
      <c r="L110" s="1146"/>
      <c r="M110" s="1146"/>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41">
        <f>CB7</f>
        <v>12</v>
      </c>
      <c r="C111" s="1141"/>
      <c r="D111" s="1141"/>
      <c r="E111" s="1141" t="s">
        <v>576</v>
      </c>
      <c r="F111" s="1141"/>
      <c r="G111" s="1141"/>
      <c r="H111" s="1141">
        <v>0</v>
      </c>
      <c r="I111" s="1141"/>
      <c r="J111" s="1141"/>
      <c r="K111" s="1141">
        <v>6</v>
      </c>
      <c r="L111" s="1141"/>
      <c r="M111" s="1141"/>
      <c r="N111" s="508"/>
      <c r="O111" s="508"/>
      <c r="P111" s="508"/>
      <c r="Q111" s="508"/>
      <c r="R111" s="508"/>
      <c r="S111" s="508"/>
      <c r="T111" s="508"/>
      <c r="U111" s="508"/>
      <c r="V111" s="508"/>
      <c r="W111" s="508"/>
      <c r="X111" s="508"/>
      <c r="Y111" s="508"/>
      <c r="Z111" s="508"/>
      <c r="AA111" s="1125">
        <f>CB7</f>
        <v>12</v>
      </c>
      <c r="AB111" s="1126"/>
      <c r="AC111" s="1127"/>
      <c r="AD111" s="1125" t="s">
        <v>576</v>
      </c>
      <c r="AE111" s="1126"/>
      <c r="AF111" s="1127"/>
      <c r="AG111" s="1125">
        <v>1</v>
      </c>
      <c r="AH111" s="1126"/>
      <c r="AI111" s="1127"/>
      <c r="AJ111" s="1125">
        <v>6</v>
      </c>
      <c r="AK111" s="1126"/>
      <c r="AL111" s="1127"/>
      <c r="AM111" s="508"/>
      <c r="AN111" s="508"/>
      <c r="AO111" s="508"/>
      <c r="AP111" s="508"/>
      <c r="AQ111" s="508"/>
      <c r="AR111" s="508"/>
      <c r="AS111" s="508"/>
      <c r="AT111" s="508"/>
      <c r="AU111" s="508"/>
      <c r="AV111" s="508"/>
      <c r="AW111" s="508"/>
      <c r="AX111" s="508"/>
      <c r="AY111" s="508"/>
      <c r="AZ111" s="1125"/>
      <c r="BA111" s="1126"/>
      <c r="BB111" s="1127"/>
      <c r="BC111" s="1125"/>
      <c r="BD111" s="1126"/>
      <c r="BE111" s="1127"/>
      <c r="BF111" s="1125"/>
      <c r="BG111" s="1126"/>
      <c r="BH111" s="1127"/>
      <c r="BI111" s="1125">
        <v>6</v>
      </c>
      <c r="BJ111" s="1126"/>
      <c r="BK111" s="1127"/>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78" t="s">
        <v>2622</v>
      </c>
      <c r="H113" s="1179"/>
      <c r="I113" s="1179"/>
      <c r="J113" s="1179"/>
      <c r="K113" s="1179"/>
      <c r="L113" s="1179"/>
      <c r="M113" s="1067"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78" t="s">
        <v>2622</v>
      </c>
      <c r="AG113" s="1179"/>
      <c r="AH113" s="1179"/>
      <c r="AI113" s="1179"/>
      <c r="AJ113" s="1179"/>
      <c r="AK113" s="1179"/>
      <c r="AL113" s="1067"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78" t="s">
        <v>2622</v>
      </c>
      <c r="BF113" s="1179"/>
      <c r="BG113" s="1179"/>
      <c r="BH113" s="1179"/>
      <c r="BI113" s="1179"/>
      <c r="BJ113" s="1179"/>
      <c r="BK113" s="1067"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3" t="s">
        <v>1028</v>
      </c>
      <c r="H114" s="1204"/>
      <c r="I114" s="1204"/>
      <c r="J114" s="1204"/>
      <c r="K114" s="1204"/>
      <c r="L114" s="1204"/>
      <c r="M114" s="1068"/>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180" t="s">
        <v>1028</v>
      </c>
      <c r="AG114" s="1181"/>
      <c r="AH114" s="1181"/>
      <c r="AI114" s="1181"/>
      <c r="AJ114" s="1181"/>
      <c r="AK114" s="1181"/>
      <c r="AL114" s="1068"/>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183" t="s">
        <v>1028</v>
      </c>
      <c r="BF114" s="1184"/>
      <c r="BG114" s="1184"/>
      <c r="BH114" s="1184"/>
      <c r="BI114" s="1184"/>
      <c r="BJ114" s="1184"/>
      <c r="BK114" s="1068"/>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4"/>
      <c r="H115" s="1204"/>
      <c r="I115" s="1204"/>
      <c r="J115" s="1204"/>
      <c r="K115" s="1204"/>
      <c r="L115" s="1204"/>
      <c r="M115" s="1068"/>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181"/>
      <c r="AG115" s="1181"/>
      <c r="AH115" s="1181"/>
      <c r="AI115" s="1181"/>
      <c r="AJ115" s="1181"/>
      <c r="AK115" s="1181"/>
      <c r="AL115" s="1068"/>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184"/>
      <c r="BF115" s="1184"/>
      <c r="BG115" s="1184"/>
      <c r="BH115" s="1184"/>
      <c r="BI115" s="1184"/>
      <c r="BJ115" s="1184"/>
      <c r="BK115" s="1068"/>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4"/>
      <c r="H116" s="1204"/>
      <c r="I116" s="1204"/>
      <c r="J116" s="1204"/>
      <c r="K116" s="1204"/>
      <c r="L116" s="1204"/>
      <c r="M116" s="1068"/>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181"/>
      <c r="AG116" s="1181"/>
      <c r="AH116" s="1181"/>
      <c r="AI116" s="1181"/>
      <c r="AJ116" s="1181"/>
      <c r="AK116" s="1181"/>
      <c r="AL116" s="1068"/>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184"/>
      <c r="BF116" s="1184"/>
      <c r="BG116" s="1184"/>
      <c r="BH116" s="1184"/>
      <c r="BI116" s="1184"/>
      <c r="BJ116" s="1184"/>
      <c r="BK116" s="1068"/>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74">
        <v>0</v>
      </c>
      <c r="H117" s="1182"/>
      <c r="I117" s="1182"/>
      <c r="J117" s="1182"/>
      <c r="K117" s="1182"/>
      <c r="L117" s="1182"/>
      <c r="M117" s="1068"/>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74">
        <v>0</v>
      </c>
      <c r="AG117" s="1182"/>
      <c r="AH117" s="1182"/>
      <c r="AI117" s="1182"/>
      <c r="AJ117" s="1182"/>
      <c r="AK117" s="1182"/>
      <c r="AL117" s="1068"/>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74">
        <v>0</v>
      </c>
      <c r="BF117" s="1182"/>
      <c r="BG117" s="1182"/>
      <c r="BH117" s="1182"/>
      <c r="BI117" s="1182"/>
      <c r="BJ117" s="1182"/>
      <c r="BK117" s="1068"/>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82"/>
      <c r="H118" s="1182"/>
      <c r="I118" s="1182"/>
      <c r="J118" s="1182"/>
      <c r="K118" s="1182"/>
      <c r="L118" s="1182"/>
      <c r="M118" s="1068"/>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82"/>
      <c r="AG118" s="1182"/>
      <c r="AH118" s="1182"/>
      <c r="AI118" s="1182"/>
      <c r="AJ118" s="1182"/>
      <c r="AK118" s="1182"/>
      <c r="AL118" s="1068"/>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82"/>
      <c r="BF118" s="1182"/>
      <c r="BG118" s="1182"/>
      <c r="BH118" s="1182"/>
      <c r="BI118" s="1182"/>
      <c r="BJ118" s="1182"/>
      <c r="BK118" s="1068"/>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54" t="s">
        <v>1029</v>
      </c>
      <c r="H119" s="1154"/>
      <c r="I119" s="1154"/>
      <c r="J119" s="1154" t="s">
        <v>1030</v>
      </c>
      <c r="K119" s="1154"/>
      <c r="L119" s="1154"/>
      <c r="M119" s="1068"/>
      <c r="N119" s="506"/>
      <c r="O119" s="506"/>
      <c r="P119" s="508"/>
      <c r="Q119" s="506"/>
      <c r="R119" s="506"/>
      <c r="S119" s="506"/>
      <c r="T119" s="503"/>
      <c r="U119" s="514"/>
      <c r="V119" s="514"/>
      <c r="W119" s="514"/>
      <c r="X119" s="514"/>
      <c r="Y119" s="514"/>
      <c r="Z119" s="514"/>
      <c r="AA119" s="501">
        <v>7</v>
      </c>
      <c r="AB119" s="508"/>
      <c r="AC119" s="508"/>
      <c r="AD119" s="508"/>
      <c r="AE119" s="508"/>
      <c r="AF119" s="1154" t="s">
        <v>1029</v>
      </c>
      <c r="AG119" s="1154"/>
      <c r="AH119" s="1154"/>
      <c r="AI119" s="1154" t="s">
        <v>1030</v>
      </c>
      <c r="AJ119" s="1154"/>
      <c r="AK119" s="1154"/>
      <c r="AL119" s="1068"/>
      <c r="AM119" s="506"/>
      <c r="AN119" s="506"/>
      <c r="AO119" s="508"/>
      <c r="AP119" s="506"/>
      <c r="AQ119" s="506"/>
      <c r="AR119" s="506"/>
      <c r="AS119" s="503"/>
      <c r="AT119" s="514"/>
      <c r="AU119" s="514"/>
      <c r="AV119" s="514"/>
      <c r="AW119" s="514"/>
      <c r="AX119" s="514"/>
      <c r="AY119" s="514"/>
      <c r="AZ119" s="501">
        <v>7</v>
      </c>
      <c r="BA119" s="508"/>
      <c r="BB119" s="508"/>
      <c r="BC119" s="508"/>
      <c r="BD119" s="508"/>
      <c r="BE119" s="1154" t="s">
        <v>1029</v>
      </c>
      <c r="BF119" s="1154"/>
      <c r="BG119" s="1154"/>
      <c r="BH119" s="1154" t="s">
        <v>1030</v>
      </c>
      <c r="BI119" s="1154"/>
      <c r="BJ119" s="1154"/>
      <c r="BK119" s="1068"/>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54"/>
      <c r="H120" s="1154"/>
      <c r="I120" s="1154"/>
      <c r="J120" s="1154"/>
      <c r="K120" s="1154"/>
      <c r="L120" s="1154"/>
      <c r="M120" s="1068"/>
      <c r="N120" s="506"/>
      <c r="O120" s="506"/>
      <c r="P120" s="508"/>
      <c r="Q120" s="506"/>
      <c r="R120" s="506"/>
      <c r="S120" s="513"/>
      <c r="T120" s="508"/>
      <c r="U120" s="514"/>
      <c r="V120" s="514"/>
      <c r="W120" s="514"/>
      <c r="X120" s="514"/>
      <c r="Y120" s="514"/>
      <c r="Z120" s="514"/>
      <c r="AA120" s="501">
        <v>8</v>
      </c>
      <c r="AB120" s="508"/>
      <c r="AC120" s="508"/>
      <c r="AD120" s="508"/>
      <c r="AE120" s="508"/>
      <c r="AF120" s="1154"/>
      <c r="AG120" s="1154"/>
      <c r="AH120" s="1154"/>
      <c r="AI120" s="1154"/>
      <c r="AJ120" s="1154"/>
      <c r="AK120" s="1154"/>
      <c r="AL120" s="1068"/>
      <c r="AM120" s="506"/>
      <c r="AN120" s="506"/>
      <c r="AO120" s="508"/>
      <c r="AP120" s="506"/>
      <c r="AQ120" s="506"/>
      <c r="AR120" s="513"/>
      <c r="AS120" s="508"/>
      <c r="AT120" s="514"/>
      <c r="AU120" s="514"/>
      <c r="AV120" s="514"/>
      <c r="AW120" s="514"/>
      <c r="AX120" s="514"/>
      <c r="AY120" s="514"/>
      <c r="AZ120" s="501">
        <v>8</v>
      </c>
      <c r="BA120" s="508"/>
      <c r="BB120" s="508"/>
      <c r="BC120" s="508"/>
      <c r="BD120" s="508"/>
      <c r="BE120" s="1154"/>
      <c r="BF120" s="1154"/>
      <c r="BG120" s="1154"/>
      <c r="BH120" s="1154"/>
      <c r="BI120" s="1154"/>
      <c r="BJ120" s="1154"/>
      <c r="BK120" s="1068"/>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44">
        <v>5</v>
      </c>
      <c r="C124" s="1144"/>
      <c r="D124" s="1145" t="s">
        <v>1027</v>
      </c>
      <c r="E124" s="1146"/>
      <c r="F124" s="1146"/>
      <c r="G124" s="1146"/>
      <c r="H124" s="1146"/>
      <c r="I124" s="1146"/>
      <c r="J124" s="1146"/>
      <c r="K124" s="1146"/>
      <c r="L124" s="1146"/>
      <c r="M124" s="1146"/>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41">
        <f>CB7</f>
        <v>12</v>
      </c>
      <c r="C125" s="1141"/>
      <c r="D125" s="1141"/>
      <c r="E125" s="1141" t="s">
        <v>576</v>
      </c>
      <c r="F125" s="1141"/>
      <c r="G125" s="1141"/>
      <c r="H125" s="1141">
        <v>0</v>
      </c>
      <c r="I125" s="1141"/>
      <c r="J125" s="1141"/>
      <c r="K125" s="1141">
        <v>6</v>
      </c>
      <c r="L125" s="1141"/>
      <c r="M125" s="1141"/>
      <c r="N125" s="508"/>
      <c r="O125" s="508"/>
      <c r="P125" s="508"/>
      <c r="Q125" s="508"/>
      <c r="R125" s="508"/>
      <c r="S125" s="508"/>
      <c r="T125" s="508"/>
      <c r="U125" s="508"/>
      <c r="V125" s="508"/>
      <c r="W125" s="508"/>
      <c r="X125" s="508"/>
      <c r="Y125" s="508"/>
      <c r="Z125" s="508"/>
      <c r="AA125" s="1125">
        <f>CB7</f>
        <v>12</v>
      </c>
      <c r="AB125" s="1126"/>
      <c r="AC125" s="1127"/>
      <c r="AD125" s="1125" t="s">
        <v>576</v>
      </c>
      <c r="AE125" s="1126"/>
      <c r="AF125" s="1127"/>
      <c r="AG125" s="1125">
        <v>1</v>
      </c>
      <c r="AH125" s="1126"/>
      <c r="AI125" s="1127"/>
      <c r="AJ125" s="1125">
        <v>6</v>
      </c>
      <c r="AK125" s="1126"/>
      <c r="AL125" s="1127"/>
      <c r="AM125" s="508"/>
      <c r="AN125" s="508"/>
      <c r="AO125" s="508"/>
      <c r="AP125" s="508"/>
      <c r="AQ125" s="508"/>
      <c r="AR125" s="508"/>
      <c r="AS125" s="508"/>
      <c r="AT125" s="508"/>
      <c r="AU125" s="508"/>
      <c r="AV125" s="508"/>
      <c r="AW125" s="508"/>
      <c r="AX125" s="508"/>
      <c r="AY125" s="508"/>
      <c r="AZ125" s="1125"/>
      <c r="BA125" s="1126"/>
      <c r="BB125" s="1127"/>
      <c r="BC125" s="1125"/>
      <c r="BD125" s="1126"/>
      <c r="BE125" s="1127"/>
      <c r="BF125" s="1125"/>
      <c r="BG125" s="1126"/>
      <c r="BH125" s="1127"/>
      <c r="BI125" s="1125">
        <v>6</v>
      </c>
      <c r="BJ125" s="1126"/>
      <c r="BK125" s="1127"/>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78" t="s">
        <v>2622</v>
      </c>
      <c r="J127" s="1200"/>
      <c r="K127" s="1200"/>
      <c r="L127" s="1200"/>
      <c r="M127" s="1067"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78" t="s">
        <v>2622</v>
      </c>
      <c r="AI127" s="1200"/>
      <c r="AJ127" s="1200"/>
      <c r="AK127" s="1200"/>
      <c r="AL127" s="1067"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78" t="s">
        <v>2622</v>
      </c>
      <c r="BH127" s="1200"/>
      <c r="BI127" s="1200"/>
      <c r="BJ127" s="1200"/>
      <c r="BK127" s="1067"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160" t="s">
        <v>1028</v>
      </c>
      <c r="J128" s="1160"/>
      <c r="K128" s="1160"/>
      <c r="L128" s="1160"/>
      <c r="M128" s="1068"/>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246" t="s">
        <v>1028</v>
      </c>
      <c r="AI128" s="1246"/>
      <c r="AJ128" s="1246"/>
      <c r="AK128" s="1246"/>
      <c r="AL128" s="1068"/>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223" t="s">
        <v>1028</v>
      </c>
      <c r="BH128" s="1223"/>
      <c r="BI128" s="1223"/>
      <c r="BJ128" s="1223"/>
      <c r="BK128" s="1068"/>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160"/>
      <c r="J129" s="1160"/>
      <c r="K129" s="1160"/>
      <c r="L129" s="1160"/>
      <c r="M129" s="1068"/>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246"/>
      <c r="AI129" s="1246"/>
      <c r="AJ129" s="1246"/>
      <c r="AK129" s="1246"/>
      <c r="AL129" s="1068"/>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223"/>
      <c r="BH129" s="1223"/>
      <c r="BI129" s="1223"/>
      <c r="BJ129" s="1223"/>
      <c r="BK129" s="1068"/>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160"/>
      <c r="J130" s="1160"/>
      <c r="K130" s="1160"/>
      <c r="L130" s="1160"/>
      <c r="M130" s="1068"/>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246"/>
      <c r="AI130" s="1246"/>
      <c r="AJ130" s="1246"/>
      <c r="AK130" s="1246"/>
      <c r="AL130" s="1068"/>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223"/>
      <c r="BH130" s="1223"/>
      <c r="BI130" s="1223"/>
      <c r="BJ130" s="1223"/>
      <c r="BK130" s="1068"/>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74">
        <v>0</v>
      </c>
      <c r="J131" s="1095"/>
      <c r="K131" s="1095"/>
      <c r="L131" s="1095"/>
      <c r="M131" s="1068"/>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74">
        <v>0</v>
      </c>
      <c r="AI131" s="1095"/>
      <c r="AJ131" s="1095"/>
      <c r="AK131" s="1095"/>
      <c r="AL131" s="1068"/>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74">
        <v>0</v>
      </c>
      <c r="BH131" s="1095"/>
      <c r="BI131" s="1095"/>
      <c r="BJ131" s="1095"/>
      <c r="BK131" s="1068"/>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95"/>
      <c r="J132" s="1095"/>
      <c r="K132" s="1095"/>
      <c r="L132" s="1095"/>
      <c r="M132" s="1068"/>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95"/>
      <c r="AI132" s="1095"/>
      <c r="AJ132" s="1095"/>
      <c r="AK132" s="1095"/>
      <c r="AL132" s="1068"/>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95"/>
      <c r="BH132" s="1095"/>
      <c r="BI132" s="1095"/>
      <c r="BJ132" s="1095"/>
      <c r="BK132" s="1068"/>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201" t="s">
        <v>1029</v>
      </c>
      <c r="J133" s="1202"/>
      <c r="K133" s="1201" t="s">
        <v>1030</v>
      </c>
      <c r="L133" s="1202"/>
      <c r="M133" s="1068"/>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201" t="s">
        <v>1029</v>
      </c>
      <c r="AI133" s="1202"/>
      <c r="AJ133" s="1201" t="s">
        <v>1030</v>
      </c>
      <c r="AK133" s="1202"/>
      <c r="AL133" s="1068"/>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201" t="s">
        <v>1029</v>
      </c>
      <c r="BH133" s="1202"/>
      <c r="BI133" s="1201" t="s">
        <v>1030</v>
      </c>
      <c r="BJ133" s="1202"/>
      <c r="BK133" s="1068"/>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202"/>
      <c r="J134" s="1202"/>
      <c r="K134" s="1202"/>
      <c r="L134" s="1202"/>
      <c r="M134" s="1068"/>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202"/>
      <c r="AI134" s="1202"/>
      <c r="AJ134" s="1202"/>
      <c r="AK134" s="1202"/>
      <c r="AL134" s="1068"/>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202"/>
      <c r="BH134" s="1202"/>
      <c r="BI134" s="1202"/>
      <c r="BJ134" s="1202"/>
      <c r="BK134" s="1068"/>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40" t="s">
        <v>2216</v>
      </c>
      <c r="C138" s="1140"/>
      <c r="D138" s="1162" t="s">
        <v>1862</v>
      </c>
      <c r="E138" s="1163"/>
      <c r="F138" s="1163"/>
      <c r="G138" s="1163"/>
      <c r="H138" s="1163"/>
      <c r="I138" s="1163"/>
      <c r="J138" s="1163"/>
      <c r="K138" s="1163"/>
      <c r="L138" s="1163"/>
      <c r="M138" s="1163"/>
      <c r="N138" s="1140">
        <v>2</v>
      </c>
      <c r="O138" s="1140"/>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61">
        <v>2</v>
      </c>
      <c r="C139" s="1161"/>
      <c r="D139" s="1142" t="s">
        <v>2767</v>
      </c>
      <c r="E139" s="1143"/>
      <c r="F139" s="1143"/>
      <c r="G139" s="1143"/>
      <c r="H139" s="1143"/>
      <c r="I139" s="1143"/>
      <c r="J139" s="1143"/>
      <c r="K139" s="1143"/>
      <c r="L139" s="1143"/>
      <c r="M139" s="1143"/>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41">
        <f>CB7</f>
        <v>12</v>
      </c>
      <c r="C140" s="1141"/>
      <c r="D140" s="1141"/>
      <c r="E140" s="1141" t="s">
        <v>576</v>
      </c>
      <c r="F140" s="1141"/>
      <c r="G140" s="1141"/>
      <c r="H140" s="1141">
        <v>0</v>
      </c>
      <c r="I140" s="1141"/>
      <c r="J140" s="1141"/>
      <c r="K140" s="1141">
        <v>4</v>
      </c>
      <c r="L140" s="1141"/>
      <c r="M140" s="1141"/>
      <c r="N140" s="508"/>
      <c r="O140" s="508"/>
      <c r="P140" s="508"/>
      <c r="Q140" s="508"/>
      <c r="R140" s="508"/>
      <c r="S140" s="508"/>
      <c r="T140" s="508"/>
      <c r="U140" s="508"/>
      <c r="V140" s="508"/>
      <c r="W140" s="508"/>
      <c r="X140" s="508"/>
      <c r="Y140" s="508"/>
      <c r="Z140" s="508"/>
      <c r="AA140" s="1125"/>
      <c r="AB140" s="1126"/>
      <c r="AC140" s="1127"/>
      <c r="AD140" s="1125"/>
      <c r="AE140" s="1126"/>
      <c r="AF140" s="1127"/>
      <c r="AG140" s="1125"/>
      <c r="AH140" s="1126"/>
      <c r="AI140" s="1127"/>
      <c r="AJ140" s="1125">
        <v>4</v>
      </c>
      <c r="AK140" s="1126"/>
      <c r="AL140" s="1127"/>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114" t="s">
        <v>2622</v>
      </c>
      <c r="D142" s="1116" t="s">
        <v>1031</v>
      </c>
      <c r="E142" s="1112"/>
      <c r="F142" s="1112"/>
      <c r="G142" s="1112"/>
      <c r="H142" s="1112"/>
      <c r="I142" s="1112"/>
      <c r="J142" s="1112"/>
      <c r="K142" s="1112"/>
      <c r="L142" s="1112"/>
      <c r="M142" s="1117"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5" t="s">
        <v>2622</v>
      </c>
      <c r="AC142" s="1107" t="s">
        <v>1031</v>
      </c>
      <c r="AD142" s="1108"/>
      <c r="AE142" s="1108"/>
      <c r="AF142" s="1108"/>
      <c r="AG142" s="1108"/>
      <c r="AH142" s="1108"/>
      <c r="AI142" s="1108"/>
      <c r="AJ142" s="1108"/>
      <c r="AK142" s="1108"/>
      <c r="AL142" s="1113"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114"/>
      <c r="D143" s="1112"/>
      <c r="E143" s="1112"/>
      <c r="F143" s="1112"/>
      <c r="G143" s="1112"/>
      <c r="H143" s="1112"/>
      <c r="I143" s="1112"/>
      <c r="J143" s="1112"/>
      <c r="K143" s="1112"/>
      <c r="L143" s="1112"/>
      <c r="M143" s="1117"/>
      <c r="N143" s="506"/>
      <c r="O143" s="506"/>
      <c r="P143" s="506"/>
      <c r="Q143" s="505">
        <f>$CB$6</f>
        <v>11</v>
      </c>
      <c r="R143" s="506">
        <v>2</v>
      </c>
      <c r="S143" s="506">
        <v>1</v>
      </c>
      <c r="T143" s="503" t="s">
        <v>1031</v>
      </c>
      <c r="U143" s="508"/>
      <c r="V143" s="508"/>
      <c r="W143" s="508"/>
      <c r="X143" s="508"/>
      <c r="Y143" s="508"/>
      <c r="Z143" s="508"/>
      <c r="AA143" s="501">
        <v>2</v>
      </c>
      <c r="AB143" s="1105"/>
      <c r="AC143" s="1108"/>
      <c r="AD143" s="1108"/>
      <c r="AE143" s="1108"/>
      <c r="AF143" s="1108"/>
      <c r="AG143" s="1108"/>
      <c r="AH143" s="1108"/>
      <c r="AI143" s="1108"/>
      <c r="AJ143" s="1108"/>
      <c r="AK143" s="1108"/>
      <c r="AL143" s="1113"/>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114"/>
      <c r="D144" s="1112"/>
      <c r="E144" s="1112"/>
      <c r="F144" s="1112"/>
      <c r="G144" s="1112"/>
      <c r="H144" s="1112"/>
      <c r="I144" s="1112"/>
      <c r="J144" s="1112"/>
      <c r="K144" s="1112"/>
      <c r="L144" s="1112"/>
      <c r="M144" s="1117"/>
      <c r="N144" s="506"/>
      <c r="O144" s="506"/>
      <c r="P144" s="506"/>
      <c r="Q144" s="505">
        <f>$CB$10</f>
        <v>15</v>
      </c>
      <c r="R144" s="506">
        <v>2</v>
      </c>
      <c r="S144" s="506">
        <v>5</v>
      </c>
      <c r="T144" s="503" t="s">
        <v>1032</v>
      </c>
      <c r="U144" s="508"/>
      <c r="V144" s="508"/>
      <c r="W144" s="508"/>
      <c r="X144" s="508"/>
      <c r="Y144" s="508"/>
      <c r="Z144" s="508"/>
      <c r="AA144" s="501">
        <v>3</v>
      </c>
      <c r="AB144" s="1105"/>
      <c r="AC144" s="1108"/>
      <c r="AD144" s="1108"/>
      <c r="AE144" s="1108"/>
      <c r="AF144" s="1108"/>
      <c r="AG144" s="1108"/>
      <c r="AH144" s="1108"/>
      <c r="AI144" s="1108"/>
      <c r="AJ144" s="1108"/>
      <c r="AK144" s="1108"/>
      <c r="AL144" s="1113"/>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114"/>
      <c r="D145" s="1112"/>
      <c r="E145" s="1112"/>
      <c r="F145" s="1112"/>
      <c r="G145" s="1112"/>
      <c r="H145" s="1112"/>
      <c r="I145" s="1112"/>
      <c r="J145" s="1112"/>
      <c r="K145" s="1112"/>
      <c r="L145" s="1112"/>
      <c r="M145" s="1117"/>
      <c r="N145" s="506"/>
      <c r="O145" s="506"/>
      <c r="P145" s="506"/>
      <c r="Q145" s="505">
        <f>$CB$12</f>
        <v>17</v>
      </c>
      <c r="R145" s="506">
        <v>2</v>
      </c>
      <c r="S145" s="506">
        <v>7</v>
      </c>
      <c r="T145" s="503" t="s">
        <v>214</v>
      </c>
      <c r="U145" s="508"/>
      <c r="V145" s="508"/>
      <c r="W145" s="508"/>
      <c r="X145" s="508"/>
      <c r="Y145" s="508"/>
      <c r="Z145" s="508"/>
      <c r="AA145" s="501">
        <v>4</v>
      </c>
      <c r="AB145" s="1105"/>
      <c r="AC145" s="1108"/>
      <c r="AD145" s="1108"/>
      <c r="AE145" s="1108"/>
      <c r="AF145" s="1108"/>
      <c r="AG145" s="1108"/>
      <c r="AH145" s="1108"/>
      <c r="AI145" s="1108"/>
      <c r="AJ145" s="1108"/>
      <c r="AK145" s="1108"/>
      <c r="AL145" s="1113"/>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114"/>
      <c r="D146" s="1109">
        <v>39448</v>
      </c>
      <c r="E146" s="1110"/>
      <c r="F146" s="1110"/>
      <c r="G146" s="1110"/>
      <c r="H146" s="1110"/>
      <c r="I146" s="1110"/>
      <c r="J146" s="1110"/>
      <c r="K146" s="1110"/>
      <c r="L146" s="1110"/>
      <c r="M146" s="1117"/>
      <c r="N146" s="506"/>
      <c r="O146" s="506"/>
      <c r="P146" s="506"/>
      <c r="Q146" s="506"/>
      <c r="R146" s="506"/>
      <c r="S146" s="506"/>
      <c r="T146" s="503"/>
      <c r="U146" s="508"/>
      <c r="V146" s="508"/>
      <c r="W146" s="508"/>
      <c r="X146" s="508"/>
      <c r="Y146" s="508"/>
      <c r="Z146" s="508"/>
      <c r="AA146" s="501">
        <v>5</v>
      </c>
      <c r="AB146" s="1105"/>
      <c r="AC146" s="1109">
        <v>39448</v>
      </c>
      <c r="AD146" s="1110"/>
      <c r="AE146" s="1110"/>
      <c r="AF146" s="1110"/>
      <c r="AG146" s="1110"/>
      <c r="AH146" s="1110"/>
      <c r="AI146" s="1110"/>
      <c r="AJ146" s="1110"/>
      <c r="AK146" s="1110"/>
      <c r="AL146" s="1113"/>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114"/>
      <c r="D147" s="1110"/>
      <c r="E147" s="1110"/>
      <c r="F147" s="1110"/>
      <c r="G147" s="1110"/>
      <c r="H147" s="1110"/>
      <c r="I147" s="1110"/>
      <c r="J147" s="1110"/>
      <c r="K147" s="1110"/>
      <c r="L147" s="1110"/>
      <c r="M147" s="1117"/>
      <c r="N147" s="506"/>
      <c r="O147" s="506"/>
      <c r="P147" s="506"/>
      <c r="Q147" s="506"/>
      <c r="R147" s="506"/>
      <c r="S147" s="506"/>
      <c r="T147" s="503"/>
      <c r="U147" s="508"/>
      <c r="V147" s="508"/>
      <c r="W147" s="508"/>
      <c r="X147" s="508"/>
      <c r="Y147" s="508"/>
      <c r="Z147" s="508"/>
      <c r="AA147" s="501">
        <v>6</v>
      </c>
      <c r="AB147" s="1105"/>
      <c r="AC147" s="1110"/>
      <c r="AD147" s="1110"/>
      <c r="AE147" s="1110"/>
      <c r="AF147" s="1110"/>
      <c r="AG147" s="1110"/>
      <c r="AH147" s="1110"/>
      <c r="AI147" s="1110"/>
      <c r="AJ147" s="1110"/>
      <c r="AK147" s="1110"/>
      <c r="AL147" s="1113"/>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114"/>
      <c r="D148" s="1111">
        <v>39448</v>
      </c>
      <c r="E148" s="1112"/>
      <c r="F148" s="1112"/>
      <c r="G148" s="1112"/>
      <c r="H148" s="1112"/>
      <c r="I148" s="1112"/>
      <c r="J148" s="1112"/>
      <c r="K148" s="1112"/>
      <c r="L148" s="1112"/>
      <c r="M148" s="1117"/>
      <c r="N148" s="506"/>
      <c r="O148" s="506"/>
      <c r="P148" s="506"/>
      <c r="Q148" s="506"/>
      <c r="R148" s="506"/>
      <c r="S148" s="506"/>
      <c r="T148" s="503"/>
      <c r="U148" s="508"/>
      <c r="V148" s="508"/>
      <c r="W148" s="508"/>
      <c r="X148" s="508"/>
      <c r="Y148" s="508"/>
      <c r="Z148" s="508"/>
      <c r="AA148" s="501">
        <v>7</v>
      </c>
      <c r="AB148" s="1105"/>
      <c r="AC148" s="1111">
        <v>39448</v>
      </c>
      <c r="AD148" s="1112"/>
      <c r="AE148" s="1112"/>
      <c r="AF148" s="1112"/>
      <c r="AG148" s="1112"/>
      <c r="AH148" s="1112"/>
      <c r="AI148" s="1112"/>
      <c r="AJ148" s="1112"/>
      <c r="AK148" s="1112"/>
      <c r="AL148" s="1113"/>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114"/>
      <c r="D149" s="1112"/>
      <c r="E149" s="1112"/>
      <c r="F149" s="1112"/>
      <c r="G149" s="1112"/>
      <c r="H149" s="1112"/>
      <c r="I149" s="1112"/>
      <c r="J149" s="1112"/>
      <c r="K149" s="1112"/>
      <c r="L149" s="1112"/>
      <c r="M149" s="1117"/>
      <c r="N149" s="506"/>
      <c r="O149" s="506"/>
      <c r="P149" s="506"/>
      <c r="Q149" s="506"/>
      <c r="R149" s="506"/>
      <c r="S149" s="513"/>
      <c r="T149" s="508"/>
      <c r="U149" s="508"/>
      <c r="V149" s="508"/>
      <c r="W149" s="508"/>
      <c r="X149" s="508"/>
      <c r="Y149" s="508"/>
      <c r="Z149" s="508"/>
      <c r="AA149" s="501">
        <v>8</v>
      </c>
      <c r="AB149" s="1105"/>
      <c r="AC149" s="1112"/>
      <c r="AD149" s="1112"/>
      <c r="AE149" s="1112"/>
      <c r="AF149" s="1112"/>
      <c r="AG149" s="1112"/>
      <c r="AH149" s="1112"/>
      <c r="AI149" s="1112"/>
      <c r="AJ149" s="1112"/>
      <c r="AK149" s="1112"/>
      <c r="AL149" s="1113"/>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44">
        <v>3</v>
      </c>
      <c r="C153" s="1144"/>
      <c r="D153" s="1145" t="s">
        <v>1025</v>
      </c>
      <c r="E153" s="1146"/>
      <c r="F153" s="1146"/>
      <c r="G153" s="1146"/>
      <c r="H153" s="1146"/>
      <c r="I153" s="1146"/>
      <c r="J153" s="1146"/>
      <c r="K153" s="1146"/>
      <c r="L153" s="1146"/>
      <c r="M153" s="1146"/>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41">
        <f>CB7</f>
        <v>12</v>
      </c>
      <c r="C154" s="1141"/>
      <c r="D154" s="1141"/>
      <c r="E154" s="1141" t="s">
        <v>576</v>
      </c>
      <c r="F154" s="1141"/>
      <c r="G154" s="1141"/>
      <c r="H154" s="1141">
        <v>0</v>
      </c>
      <c r="I154" s="1141"/>
      <c r="J154" s="1141"/>
      <c r="K154" s="1141">
        <v>4</v>
      </c>
      <c r="L154" s="1141"/>
      <c r="M154" s="1141"/>
      <c r="N154" s="508"/>
      <c r="O154" s="508"/>
      <c r="P154" s="508"/>
      <c r="Q154" s="508"/>
      <c r="R154" s="508"/>
      <c r="S154" s="508"/>
      <c r="T154" s="508"/>
      <c r="U154" s="508"/>
      <c r="V154" s="508"/>
      <c r="W154" s="508"/>
      <c r="X154" s="508"/>
      <c r="Y154" s="508"/>
      <c r="Z154" s="508"/>
      <c r="AA154" s="1125"/>
      <c r="AB154" s="1126"/>
      <c r="AC154" s="1127"/>
      <c r="AD154" s="1125"/>
      <c r="AE154" s="1126"/>
      <c r="AF154" s="1127"/>
      <c r="AG154" s="1125"/>
      <c r="AH154" s="1126"/>
      <c r="AI154" s="1127"/>
      <c r="AJ154" s="1125">
        <v>4</v>
      </c>
      <c r="AK154" s="1126"/>
      <c r="AL154" s="1127"/>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114" t="s">
        <v>2622</v>
      </c>
      <c r="F156" s="1116" t="s">
        <v>1031</v>
      </c>
      <c r="G156" s="1112"/>
      <c r="H156" s="1112"/>
      <c r="I156" s="1112"/>
      <c r="J156" s="1112"/>
      <c r="K156" s="1112"/>
      <c r="L156" s="1112"/>
      <c r="M156" s="1117"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5" t="s">
        <v>2622</v>
      </c>
      <c r="AE156" s="1107" t="s">
        <v>1031</v>
      </c>
      <c r="AF156" s="1108"/>
      <c r="AG156" s="1108"/>
      <c r="AH156" s="1108"/>
      <c r="AI156" s="1108"/>
      <c r="AJ156" s="1108"/>
      <c r="AK156" s="1108"/>
      <c r="AL156" s="1113"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114"/>
      <c r="F157" s="1112"/>
      <c r="G157" s="1112"/>
      <c r="H157" s="1112"/>
      <c r="I157" s="1112"/>
      <c r="J157" s="1112"/>
      <c r="K157" s="1112"/>
      <c r="L157" s="1112"/>
      <c r="M157" s="1117"/>
      <c r="N157" s="506"/>
      <c r="O157" s="506"/>
      <c r="P157" s="506"/>
      <c r="Q157" s="505">
        <f>$CB$6</f>
        <v>11</v>
      </c>
      <c r="R157" s="506">
        <v>4</v>
      </c>
      <c r="S157" s="506">
        <v>1</v>
      </c>
      <c r="T157" s="503" t="s">
        <v>1031</v>
      </c>
      <c r="U157" s="508"/>
      <c r="V157" s="508"/>
      <c r="W157" s="508"/>
      <c r="X157" s="508"/>
      <c r="Y157" s="508"/>
      <c r="Z157" s="508"/>
      <c r="AA157" s="501">
        <v>2</v>
      </c>
      <c r="AB157" s="508"/>
      <c r="AC157" s="508"/>
      <c r="AD157" s="1105"/>
      <c r="AE157" s="1108"/>
      <c r="AF157" s="1108"/>
      <c r="AG157" s="1108"/>
      <c r="AH157" s="1108"/>
      <c r="AI157" s="1108"/>
      <c r="AJ157" s="1108"/>
      <c r="AK157" s="1108"/>
      <c r="AL157" s="1113"/>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114"/>
      <c r="F158" s="1112"/>
      <c r="G158" s="1112"/>
      <c r="H158" s="1112"/>
      <c r="I158" s="1112"/>
      <c r="J158" s="1112"/>
      <c r="K158" s="1112"/>
      <c r="L158" s="1112"/>
      <c r="M158" s="1117"/>
      <c r="N158" s="506"/>
      <c r="O158" s="506"/>
      <c r="P158" s="506"/>
      <c r="Q158" s="505">
        <f>$CB$10</f>
        <v>15</v>
      </c>
      <c r="R158" s="506">
        <v>4</v>
      </c>
      <c r="S158" s="506">
        <v>5</v>
      </c>
      <c r="T158" s="503" t="s">
        <v>1032</v>
      </c>
      <c r="U158" s="508"/>
      <c r="V158" s="508"/>
      <c r="W158" s="508"/>
      <c r="X158" s="508"/>
      <c r="Y158" s="508"/>
      <c r="Z158" s="508"/>
      <c r="AA158" s="501">
        <v>3</v>
      </c>
      <c r="AB158" s="508"/>
      <c r="AC158" s="508"/>
      <c r="AD158" s="1105"/>
      <c r="AE158" s="1108"/>
      <c r="AF158" s="1108"/>
      <c r="AG158" s="1108"/>
      <c r="AH158" s="1108"/>
      <c r="AI158" s="1108"/>
      <c r="AJ158" s="1108"/>
      <c r="AK158" s="1108"/>
      <c r="AL158" s="1113"/>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114"/>
      <c r="F159" s="1112"/>
      <c r="G159" s="1112"/>
      <c r="H159" s="1112"/>
      <c r="I159" s="1112"/>
      <c r="J159" s="1112"/>
      <c r="K159" s="1112"/>
      <c r="L159" s="1112"/>
      <c r="M159" s="1117"/>
      <c r="N159" s="506"/>
      <c r="O159" s="506"/>
      <c r="P159" s="506"/>
      <c r="Q159" s="505">
        <f>$CB$12</f>
        <v>17</v>
      </c>
      <c r="R159" s="506">
        <v>4</v>
      </c>
      <c r="S159" s="506">
        <v>7</v>
      </c>
      <c r="T159" s="503" t="s">
        <v>214</v>
      </c>
      <c r="U159" s="508"/>
      <c r="V159" s="508"/>
      <c r="W159" s="508"/>
      <c r="X159" s="508"/>
      <c r="Y159" s="508"/>
      <c r="Z159" s="508"/>
      <c r="AA159" s="501">
        <v>4</v>
      </c>
      <c r="AB159" s="508"/>
      <c r="AC159" s="508"/>
      <c r="AD159" s="1105"/>
      <c r="AE159" s="1108"/>
      <c r="AF159" s="1108"/>
      <c r="AG159" s="1108"/>
      <c r="AH159" s="1108"/>
      <c r="AI159" s="1108"/>
      <c r="AJ159" s="1108"/>
      <c r="AK159" s="1108"/>
      <c r="AL159" s="1113"/>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114"/>
      <c r="F160" s="1109">
        <v>39448</v>
      </c>
      <c r="G160" s="1110"/>
      <c r="H160" s="1110"/>
      <c r="I160" s="1110"/>
      <c r="J160" s="1110"/>
      <c r="K160" s="1110"/>
      <c r="L160" s="1110"/>
      <c r="M160" s="1117"/>
      <c r="N160" s="506"/>
      <c r="O160" s="506"/>
      <c r="P160" s="506"/>
      <c r="Q160" s="506"/>
      <c r="R160" s="506"/>
      <c r="S160" s="506"/>
      <c r="T160" s="503"/>
      <c r="U160" s="508"/>
      <c r="V160" s="508"/>
      <c r="W160" s="508"/>
      <c r="X160" s="508"/>
      <c r="Y160" s="508"/>
      <c r="Z160" s="508"/>
      <c r="AA160" s="501">
        <v>5</v>
      </c>
      <c r="AB160" s="508"/>
      <c r="AC160" s="508"/>
      <c r="AD160" s="1105"/>
      <c r="AE160" s="1109">
        <v>39448</v>
      </c>
      <c r="AF160" s="1110"/>
      <c r="AG160" s="1110"/>
      <c r="AH160" s="1110"/>
      <c r="AI160" s="1110"/>
      <c r="AJ160" s="1110"/>
      <c r="AK160" s="1110"/>
      <c r="AL160" s="1113"/>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114"/>
      <c r="F161" s="1110"/>
      <c r="G161" s="1110"/>
      <c r="H161" s="1110"/>
      <c r="I161" s="1110"/>
      <c r="J161" s="1110"/>
      <c r="K161" s="1110"/>
      <c r="L161" s="1110"/>
      <c r="M161" s="1117"/>
      <c r="N161" s="506"/>
      <c r="O161" s="506"/>
      <c r="P161" s="506"/>
      <c r="Q161" s="506"/>
      <c r="R161" s="506"/>
      <c r="S161" s="506"/>
      <c r="T161" s="503"/>
      <c r="U161" s="508"/>
      <c r="V161" s="508"/>
      <c r="W161" s="508"/>
      <c r="X161" s="508"/>
      <c r="Y161" s="508"/>
      <c r="Z161" s="508"/>
      <c r="AA161" s="501">
        <v>6</v>
      </c>
      <c r="AB161" s="508"/>
      <c r="AC161" s="508"/>
      <c r="AD161" s="1105"/>
      <c r="AE161" s="1110"/>
      <c r="AF161" s="1110"/>
      <c r="AG161" s="1110"/>
      <c r="AH161" s="1110"/>
      <c r="AI161" s="1110"/>
      <c r="AJ161" s="1110"/>
      <c r="AK161" s="1110"/>
      <c r="AL161" s="1113"/>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114"/>
      <c r="F162" s="1111">
        <v>39448</v>
      </c>
      <c r="G162" s="1112"/>
      <c r="H162" s="1112"/>
      <c r="I162" s="1112"/>
      <c r="J162" s="1112"/>
      <c r="K162" s="1112"/>
      <c r="L162" s="1112"/>
      <c r="M162" s="1117"/>
      <c r="N162" s="506"/>
      <c r="O162" s="506"/>
      <c r="P162" s="506"/>
      <c r="Q162" s="506"/>
      <c r="R162" s="506"/>
      <c r="S162" s="506"/>
      <c r="T162" s="503"/>
      <c r="U162" s="508"/>
      <c r="V162" s="508"/>
      <c r="W162" s="508"/>
      <c r="X162" s="508"/>
      <c r="Y162" s="508"/>
      <c r="Z162" s="508"/>
      <c r="AA162" s="501">
        <v>7</v>
      </c>
      <c r="AB162" s="508"/>
      <c r="AC162" s="508"/>
      <c r="AD162" s="1105"/>
      <c r="AE162" s="1111">
        <v>39448</v>
      </c>
      <c r="AF162" s="1112"/>
      <c r="AG162" s="1112"/>
      <c r="AH162" s="1112"/>
      <c r="AI162" s="1112"/>
      <c r="AJ162" s="1112"/>
      <c r="AK162" s="1112"/>
      <c r="AL162" s="1113"/>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114"/>
      <c r="F163" s="1112"/>
      <c r="G163" s="1112"/>
      <c r="H163" s="1112"/>
      <c r="I163" s="1112"/>
      <c r="J163" s="1112"/>
      <c r="K163" s="1112"/>
      <c r="L163" s="1112"/>
      <c r="M163" s="1117"/>
      <c r="N163" s="506"/>
      <c r="O163" s="506"/>
      <c r="P163" s="506"/>
      <c r="Q163" s="506"/>
      <c r="R163" s="506"/>
      <c r="S163" s="513"/>
      <c r="T163" s="508"/>
      <c r="U163" s="508"/>
      <c r="V163" s="508"/>
      <c r="W163" s="508"/>
      <c r="X163" s="508"/>
      <c r="Y163" s="508"/>
      <c r="Z163" s="508"/>
      <c r="AA163" s="501">
        <v>8</v>
      </c>
      <c r="AB163" s="508"/>
      <c r="AC163" s="508"/>
      <c r="AD163" s="1105"/>
      <c r="AE163" s="1112"/>
      <c r="AF163" s="1112"/>
      <c r="AG163" s="1112"/>
      <c r="AH163" s="1112"/>
      <c r="AI163" s="1112"/>
      <c r="AJ163" s="1112"/>
      <c r="AK163" s="1112"/>
      <c r="AL163" s="1113"/>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44">
        <v>4</v>
      </c>
      <c r="C167" s="1144"/>
      <c r="D167" s="1145" t="s">
        <v>1026</v>
      </c>
      <c r="E167" s="1146"/>
      <c r="F167" s="1146"/>
      <c r="G167" s="1146"/>
      <c r="H167" s="1146"/>
      <c r="I167" s="1146"/>
      <c r="J167" s="1146"/>
      <c r="K167" s="1146"/>
      <c r="L167" s="1146"/>
      <c r="M167" s="1146"/>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41">
        <f>CB7</f>
        <v>12</v>
      </c>
      <c r="C168" s="1141"/>
      <c r="D168" s="1141"/>
      <c r="E168" s="1141" t="s">
        <v>576</v>
      </c>
      <c r="F168" s="1141"/>
      <c r="G168" s="1141"/>
      <c r="H168" s="1141">
        <v>0</v>
      </c>
      <c r="I168" s="1141"/>
      <c r="J168" s="1141"/>
      <c r="K168" s="1141">
        <v>4</v>
      </c>
      <c r="L168" s="1141"/>
      <c r="M168" s="1141"/>
      <c r="N168" s="508"/>
      <c r="O168" s="508"/>
      <c r="P168" s="508"/>
      <c r="Q168" s="508"/>
      <c r="R168" s="508"/>
      <c r="S168" s="508"/>
      <c r="T168" s="508"/>
      <c r="U168" s="508"/>
      <c r="V168" s="508"/>
      <c r="W168" s="508"/>
      <c r="X168" s="508"/>
      <c r="Y168" s="508"/>
      <c r="Z168" s="508"/>
      <c r="AA168" s="1125"/>
      <c r="AB168" s="1126"/>
      <c r="AC168" s="1127"/>
      <c r="AD168" s="1125"/>
      <c r="AE168" s="1126"/>
      <c r="AF168" s="1127"/>
      <c r="AG168" s="1125"/>
      <c r="AH168" s="1126"/>
      <c r="AI168" s="1127"/>
      <c r="AJ168" s="1125">
        <v>4</v>
      </c>
      <c r="AK168" s="1126"/>
      <c r="AL168" s="1127"/>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114" t="s">
        <v>2622</v>
      </c>
      <c r="H170" s="1150" t="s">
        <v>1031</v>
      </c>
      <c r="I170" s="1151"/>
      <c r="J170" s="1151"/>
      <c r="K170" s="1151"/>
      <c r="L170" s="1151"/>
      <c r="M170" s="1117"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5" t="s">
        <v>2622</v>
      </c>
      <c r="AG170" s="1128" t="s">
        <v>1031</v>
      </c>
      <c r="AH170" s="1129"/>
      <c r="AI170" s="1129"/>
      <c r="AJ170" s="1129"/>
      <c r="AK170" s="1129"/>
      <c r="AL170" s="1113"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114"/>
      <c r="H171" s="1151"/>
      <c r="I171" s="1151"/>
      <c r="J171" s="1151"/>
      <c r="K171" s="1151"/>
      <c r="L171" s="1151"/>
      <c r="M171" s="1117"/>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5"/>
      <c r="AG171" s="1129"/>
      <c r="AH171" s="1129"/>
      <c r="AI171" s="1129"/>
      <c r="AJ171" s="1129"/>
      <c r="AK171" s="1129"/>
      <c r="AL171" s="1113"/>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114"/>
      <c r="H172" s="1151"/>
      <c r="I172" s="1151"/>
      <c r="J172" s="1151"/>
      <c r="K172" s="1151"/>
      <c r="L172" s="1151"/>
      <c r="M172" s="1117"/>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5"/>
      <c r="AG172" s="1129"/>
      <c r="AH172" s="1129"/>
      <c r="AI172" s="1129"/>
      <c r="AJ172" s="1129"/>
      <c r="AK172" s="1129"/>
      <c r="AL172" s="1113"/>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114"/>
      <c r="H173" s="1151"/>
      <c r="I173" s="1151"/>
      <c r="J173" s="1151"/>
      <c r="K173" s="1151"/>
      <c r="L173" s="1151"/>
      <c r="M173" s="1117"/>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5"/>
      <c r="AG173" s="1129"/>
      <c r="AH173" s="1129"/>
      <c r="AI173" s="1129"/>
      <c r="AJ173" s="1129"/>
      <c r="AK173" s="1129"/>
      <c r="AL173" s="1113"/>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114"/>
      <c r="H174" s="1130">
        <v>39448</v>
      </c>
      <c r="I174" s="1131"/>
      <c r="J174" s="1131"/>
      <c r="K174" s="1131"/>
      <c r="L174" s="1131"/>
      <c r="M174" s="1117"/>
      <c r="N174" s="506"/>
      <c r="O174" s="506"/>
      <c r="P174" s="506"/>
      <c r="Q174" s="506"/>
      <c r="R174" s="506"/>
      <c r="S174" s="506"/>
      <c r="T174" s="503"/>
      <c r="U174" s="508"/>
      <c r="V174" s="508"/>
      <c r="W174" s="508"/>
      <c r="X174" s="508"/>
      <c r="Y174" s="508"/>
      <c r="Z174" s="508"/>
      <c r="AA174" s="501">
        <v>5</v>
      </c>
      <c r="AB174" s="508"/>
      <c r="AC174" s="508"/>
      <c r="AD174" s="508"/>
      <c r="AE174" s="508"/>
      <c r="AF174" s="1105"/>
      <c r="AG174" s="1130">
        <v>39448</v>
      </c>
      <c r="AH174" s="1131"/>
      <c r="AI174" s="1131"/>
      <c r="AJ174" s="1131"/>
      <c r="AK174" s="1131"/>
      <c r="AL174" s="1113"/>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114"/>
      <c r="H175" s="1131"/>
      <c r="I175" s="1131"/>
      <c r="J175" s="1131"/>
      <c r="K175" s="1131"/>
      <c r="L175" s="1131"/>
      <c r="M175" s="1117"/>
      <c r="N175" s="506"/>
      <c r="O175" s="506"/>
      <c r="P175" s="506"/>
      <c r="Q175" s="506"/>
      <c r="R175" s="506"/>
      <c r="S175" s="506"/>
      <c r="T175" s="503"/>
      <c r="U175" s="508"/>
      <c r="V175" s="508"/>
      <c r="W175" s="508"/>
      <c r="X175" s="508"/>
      <c r="Y175" s="508"/>
      <c r="Z175" s="508"/>
      <c r="AA175" s="501">
        <v>6</v>
      </c>
      <c r="AB175" s="508"/>
      <c r="AC175" s="508"/>
      <c r="AD175" s="508"/>
      <c r="AE175" s="508"/>
      <c r="AF175" s="1105"/>
      <c r="AG175" s="1131"/>
      <c r="AH175" s="1131"/>
      <c r="AI175" s="1131"/>
      <c r="AJ175" s="1131"/>
      <c r="AK175" s="1131"/>
      <c r="AL175" s="1113"/>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114"/>
      <c r="H176" s="1132">
        <v>39448</v>
      </c>
      <c r="I176" s="1133"/>
      <c r="J176" s="1133"/>
      <c r="K176" s="1133"/>
      <c r="L176" s="1133"/>
      <c r="M176" s="1117"/>
      <c r="N176" s="506"/>
      <c r="O176" s="506"/>
      <c r="P176" s="506"/>
      <c r="Q176" s="506"/>
      <c r="R176" s="506"/>
      <c r="S176" s="506"/>
      <c r="T176" s="503"/>
      <c r="U176" s="508"/>
      <c r="V176" s="508"/>
      <c r="W176" s="508"/>
      <c r="X176" s="508"/>
      <c r="Y176" s="508"/>
      <c r="Z176" s="508"/>
      <c r="AA176" s="501">
        <v>7</v>
      </c>
      <c r="AB176" s="508"/>
      <c r="AC176" s="508"/>
      <c r="AD176" s="508"/>
      <c r="AE176" s="508"/>
      <c r="AF176" s="1105"/>
      <c r="AG176" s="1132">
        <v>39448</v>
      </c>
      <c r="AH176" s="1133"/>
      <c r="AI176" s="1133"/>
      <c r="AJ176" s="1133"/>
      <c r="AK176" s="1133"/>
      <c r="AL176" s="1113"/>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114"/>
      <c r="H177" s="1133"/>
      <c r="I177" s="1133"/>
      <c r="J177" s="1133"/>
      <c r="K177" s="1133"/>
      <c r="L177" s="1133"/>
      <c r="M177" s="1117"/>
      <c r="N177" s="506"/>
      <c r="O177" s="506"/>
      <c r="P177" s="506"/>
      <c r="Q177" s="506"/>
      <c r="R177" s="506"/>
      <c r="S177" s="513"/>
      <c r="T177" s="508"/>
      <c r="U177" s="508"/>
      <c r="V177" s="508"/>
      <c r="W177" s="508"/>
      <c r="X177" s="508"/>
      <c r="Y177" s="508"/>
      <c r="Z177" s="508"/>
      <c r="AA177" s="501">
        <v>8</v>
      </c>
      <c r="AB177" s="508"/>
      <c r="AC177" s="508"/>
      <c r="AD177" s="508"/>
      <c r="AE177" s="508"/>
      <c r="AF177" s="1105"/>
      <c r="AG177" s="1133"/>
      <c r="AH177" s="1133"/>
      <c r="AI177" s="1133"/>
      <c r="AJ177" s="1133"/>
      <c r="AK177" s="1133"/>
      <c r="AL177" s="1113"/>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44">
        <v>5</v>
      </c>
      <c r="C181" s="1144"/>
      <c r="D181" s="1145" t="s">
        <v>1027</v>
      </c>
      <c r="E181" s="1146"/>
      <c r="F181" s="1146"/>
      <c r="G181" s="1146"/>
      <c r="H181" s="1146"/>
      <c r="I181" s="1146"/>
      <c r="J181" s="1146"/>
      <c r="K181" s="1146"/>
      <c r="L181" s="1146"/>
      <c r="M181" s="1146"/>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41">
        <f>CB7</f>
        <v>12</v>
      </c>
      <c r="C182" s="1141"/>
      <c r="D182" s="1141"/>
      <c r="E182" s="1141" t="s">
        <v>576</v>
      </c>
      <c r="F182" s="1141"/>
      <c r="G182" s="1141"/>
      <c r="H182" s="1141">
        <v>0</v>
      </c>
      <c r="I182" s="1141"/>
      <c r="J182" s="1141"/>
      <c r="K182" s="1141">
        <v>4</v>
      </c>
      <c r="L182" s="1141"/>
      <c r="M182" s="1141"/>
      <c r="N182" s="508"/>
      <c r="O182" s="508"/>
      <c r="P182" s="508"/>
      <c r="Q182" s="508"/>
      <c r="R182" s="508"/>
      <c r="S182" s="508"/>
      <c r="T182" s="508"/>
      <c r="U182" s="508"/>
      <c r="V182" s="508"/>
      <c r="W182" s="508"/>
      <c r="X182" s="508"/>
      <c r="Y182" s="508"/>
      <c r="Z182" s="508"/>
      <c r="AA182" s="1125"/>
      <c r="AB182" s="1126"/>
      <c r="AC182" s="1127"/>
      <c r="AD182" s="1125"/>
      <c r="AE182" s="1126"/>
      <c r="AF182" s="1127"/>
      <c r="AG182" s="1125"/>
      <c r="AH182" s="1126"/>
      <c r="AI182" s="1127"/>
      <c r="AJ182" s="1125">
        <v>4</v>
      </c>
      <c r="AK182" s="1126"/>
      <c r="AL182" s="1127"/>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114" t="s">
        <v>2622</v>
      </c>
      <c r="J184" s="1244" t="s">
        <v>1031</v>
      </c>
      <c r="K184" s="1245"/>
      <c r="L184" s="1245"/>
      <c r="M184" s="1117"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5" t="s">
        <v>2622</v>
      </c>
      <c r="AI184" s="1147" t="s">
        <v>1031</v>
      </c>
      <c r="AJ184" s="1148"/>
      <c r="AK184" s="1148"/>
      <c r="AL184" s="1113"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114"/>
      <c r="J185" s="1245"/>
      <c r="K185" s="1245"/>
      <c r="L185" s="1245"/>
      <c r="M185" s="1117"/>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5"/>
      <c r="AI185" s="1148"/>
      <c r="AJ185" s="1148"/>
      <c r="AK185" s="1148"/>
      <c r="AL185" s="1113"/>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114"/>
      <c r="J186" s="1245"/>
      <c r="K186" s="1245"/>
      <c r="L186" s="1245"/>
      <c r="M186" s="1117"/>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5"/>
      <c r="AI186" s="1148"/>
      <c r="AJ186" s="1148"/>
      <c r="AK186" s="1148"/>
      <c r="AL186" s="1113"/>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114"/>
      <c r="J187" s="1245"/>
      <c r="K187" s="1245"/>
      <c r="L187" s="1245"/>
      <c r="M187" s="1117"/>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5"/>
      <c r="AI187" s="1148"/>
      <c r="AJ187" s="1148"/>
      <c r="AK187" s="1148"/>
      <c r="AL187" s="1113"/>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114"/>
      <c r="J188" s="1130">
        <v>39448</v>
      </c>
      <c r="K188" s="1131"/>
      <c r="L188" s="1131"/>
      <c r="M188" s="1117"/>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5"/>
      <c r="AI188" s="1130">
        <v>39448</v>
      </c>
      <c r="AJ188" s="1149"/>
      <c r="AK188" s="1149"/>
      <c r="AL188" s="1113"/>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114"/>
      <c r="J189" s="1131"/>
      <c r="K189" s="1131"/>
      <c r="L189" s="1131"/>
      <c r="M189" s="1117"/>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5"/>
      <c r="AI189" s="1149"/>
      <c r="AJ189" s="1149"/>
      <c r="AK189" s="1149"/>
      <c r="AL189" s="1113"/>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114"/>
      <c r="J190" s="1132">
        <v>39448</v>
      </c>
      <c r="K190" s="1133"/>
      <c r="L190" s="1133"/>
      <c r="M190" s="1117"/>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5"/>
      <c r="AI190" s="1132">
        <v>39448</v>
      </c>
      <c r="AJ190" s="1133"/>
      <c r="AK190" s="1133"/>
      <c r="AL190" s="1113"/>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114"/>
      <c r="J191" s="1133"/>
      <c r="K191" s="1133"/>
      <c r="L191" s="1133"/>
      <c r="M191" s="1117"/>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5"/>
      <c r="AI191" s="1133"/>
      <c r="AJ191" s="1133"/>
      <c r="AK191" s="1133"/>
      <c r="AL191" s="1113"/>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40" t="s">
        <v>2251</v>
      </c>
      <c r="C195" s="1140"/>
      <c r="D195" s="1162" t="s">
        <v>131</v>
      </c>
      <c r="E195" s="1163"/>
      <c r="F195" s="1163"/>
      <c r="G195" s="1163"/>
      <c r="H195" s="1163"/>
      <c r="I195" s="1163"/>
      <c r="J195" s="1163"/>
      <c r="K195" s="1163"/>
      <c r="L195" s="1163"/>
      <c r="M195" s="1163"/>
      <c r="N195" s="1140">
        <v>3</v>
      </c>
      <c r="O195" s="1140"/>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61">
        <v>1</v>
      </c>
      <c r="C196" s="1161"/>
      <c r="D196" s="1142" t="s">
        <v>1034</v>
      </c>
      <c r="E196" s="1143"/>
      <c r="F196" s="1143"/>
      <c r="G196" s="1143"/>
      <c r="H196" s="1143"/>
      <c r="I196" s="1143"/>
      <c r="J196" s="1143"/>
      <c r="K196" s="1143"/>
      <c r="L196" s="1143"/>
      <c r="M196" s="1143"/>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41">
        <f>CB7</f>
        <v>12</v>
      </c>
      <c r="C197" s="1141"/>
      <c r="D197" s="1141"/>
      <c r="E197" s="1141" t="s">
        <v>576</v>
      </c>
      <c r="F197" s="1141"/>
      <c r="G197" s="1141"/>
      <c r="H197" s="1141">
        <v>0</v>
      </c>
      <c r="I197" s="1141"/>
      <c r="J197" s="1141"/>
      <c r="K197" s="1141">
        <v>6</v>
      </c>
      <c r="L197" s="1141"/>
      <c r="M197" s="1141"/>
      <c r="N197" s="508"/>
      <c r="O197" s="508"/>
      <c r="P197" s="508"/>
      <c r="Q197" s="508"/>
      <c r="R197" s="508"/>
      <c r="S197" s="508"/>
      <c r="T197" s="508"/>
      <c r="U197" s="508"/>
      <c r="V197" s="508"/>
      <c r="W197" s="508"/>
      <c r="X197" s="508"/>
      <c r="Y197" s="508"/>
      <c r="Z197" s="508"/>
      <c r="AA197" s="1125">
        <f>CB7</f>
        <v>12</v>
      </c>
      <c r="AB197" s="1126"/>
      <c r="AC197" s="1127"/>
      <c r="AD197" s="1125" t="s">
        <v>576</v>
      </c>
      <c r="AE197" s="1126"/>
      <c r="AF197" s="1127"/>
      <c r="AG197" s="1125">
        <v>1</v>
      </c>
      <c r="AH197" s="1126"/>
      <c r="AI197" s="1127"/>
      <c r="AJ197" s="1125">
        <v>6</v>
      </c>
      <c r="AK197" s="1126"/>
      <c r="AL197" s="1127"/>
      <c r="AM197" s="508"/>
      <c r="AN197" s="508"/>
      <c r="AO197" s="508"/>
      <c r="AP197" s="508"/>
      <c r="AQ197" s="508"/>
      <c r="AR197" s="508"/>
      <c r="AS197" s="508"/>
      <c r="AT197" s="508"/>
      <c r="AU197" s="508"/>
      <c r="AV197" s="508"/>
      <c r="AW197" s="508"/>
      <c r="AX197" s="508"/>
      <c r="AY197" s="508"/>
      <c r="AZ197" s="1125"/>
      <c r="BA197" s="1126"/>
      <c r="BB197" s="1127"/>
      <c r="BC197" s="1125"/>
      <c r="BD197" s="1126"/>
      <c r="BE197" s="1127"/>
      <c r="BF197" s="1125"/>
      <c r="BG197" s="1126"/>
      <c r="BH197" s="1127"/>
      <c r="BI197" s="1125">
        <v>6</v>
      </c>
      <c r="BJ197" s="1126"/>
      <c r="BK197" s="1127"/>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9" t="s">
        <v>2217</v>
      </c>
      <c r="D199" s="1090"/>
      <c r="E199" s="1090"/>
      <c r="F199" s="1090"/>
      <c r="G199" s="1090"/>
      <c r="H199" s="1090"/>
      <c r="I199" s="1090"/>
      <c r="J199" s="1090"/>
      <c r="K199" s="1090"/>
      <c r="L199" s="1090"/>
      <c r="M199" s="1067" t="s">
        <v>854</v>
      </c>
      <c r="N199" s="506"/>
      <c r="O199" s="506"/>
      <c r="P199" s="508"/>
      <c r="Q199" s="502">
        <f>$CB$6</f>
        <v>11</v>
      </c>
      <c r="R199" s="502">
        <v>1</v>
      </c>
      <c r="S199" s="502">
        <v>1</v>
      </c>
      <c r="T199" s="503" t="s">
        <v>2217</v>
      </c>
      <c r="U199" s="514"/>
      <c r="V199" s="514"/>
      <c r="W199" s="514"/>
      <c r="X199" s="514"/>
      <c r="Y199" s="514"/>
      <c r="Z199" s="514"/>
      <c r="AA199" s="501">
        <v>1</v>
      </c>
      <c r="AB199" s="1099" t="s">
        <v>2217</v>
      </c>
      <c r="AC199" s="1100"/>
      <c r="AD199" s="1100"/>
      <c r="AE199" s="1100"/>
      <c r="AF199" s="1100"/>
      <c r="AG199" s="1100"/>
      <c r="AH199" s="1100"/>
      <c r="AI199" s="1100"/>
      <c r="AJ199" s="1100"/>
      <c r="AK199" s="1100"/>
      <c r="AL199" s="1067" t="s">
        <v>854</v>
      </c>
      <c r="AM199" s="506"/>
      <c r="AN199" s="506"/>
      <c r="AO199" s="508"/>
      <c r="AP199" s="502">
        <f>$CB$6</f>
        <v>11</v>
      </c>
      <c r="AQ199" s="502">
        <v>1</v>
      </c>
      <c r="AR199" s="502">
        <v>1</v>
      </c>
      <c r="AS199" s="503" t="s">
        <v>2217</v>
      </c>
      <c r="AT199" s="514"/>
      <c r="AU199" s="514"/>
      <c r="AV199" s="514"/>
      <c r="AW199" s="514"/>
      <c r="AX199" s="514"/>
      <c r="AY199" s="514"/>
      <c r="AZ199" s="501">
        <v>1</v>
      </c>
      <c r="BA199" s="1102" t="s">
        <v>2217</v>
      </c>
      <c r="BB199" s="1103"/>
      <c r="BC199" s="1103"/>
      <c r="BD199" s="1103"/>
      <c r="BE199" s="1103"/>
      <c r="BF199" s="1103"/>
      <c r="BG199" s="1103"/>
      <c r="BH199" s="1103"/>
      <c r="BI199" s="1103"/>
      <c r="BJ199" s="1103"/>
      <c r="BK199" s="1067"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90"/>
      <c r="D200" s="1090"/>
      <c r="E200" s="1090"/>
      <c r="F200" s="1090"/>
      <c r="G200" s="1090"/>
      <c r="H200" s="1090"/>
      <c r="I200" s="1090"/>
      <c r="J200" s="1090"/>
      <c r="K200" s="1090"/>
      <c r="L200" s="1090"/>
      <c r="M200" s="1068"/>
      <c r="N200" s="506"/>
      <c r="O200" s="506"/>
      <c r="P200" s="508"/>
      <c r="Q200" s="502">
        <f>$CB$5</f>
        <v>10</v>
      </c>
      <c r="R200" s="502">
        <v>1</v>
      </c>
      <c r="S200" s="502">
        <v>5</v>
      </c>
      <c r="T200" s="503" t="s">
        <v>2622</v>
      </c>
      <c r="U200" s="514"/>
      <c r="V200" s="514"/>
      <c r="W200" s="514"/>
      <c r="X200" s="514"/>
      <c r="Y200" s="514"/>
      <c r="Z200" s="514"/>
      <c r="AA200" s="501">
        <v>2</v>
      </c>
      <c r="AB200" s="1100"/>
      <c r="AC200" s="1100"/>
      <c r="AD200" s="1100"/>
      <c r="AE200" s="1100"/>
      <c r="AF200" s="1100"/>
      <c r="AG200" s="1100"/>
      <c r="AH200" s="1100"/>
      <c r="AI200" s="1100"/>
      <c r="AJ200" s="1100"/>
      <c r="AK200" s="1100"/>
      <c r="AL200" s="1068"/>
      <c r="AM200" s="506"/>
      <c r="AN200" s="506"/>
      <c r="AO200" s="508"/>
      <c r="AP200" s="502">
        <f>$CB$5</f>
        <v>10</v>
      </c>
      <c r="AQ200" s="502">
        <v>1</v>
      </c>
      <c r="AR200" s="502">
        <v>5</v>
      </c>
      <c r="AS200" s="503" t="s">
        <v>2622</v>
      </c>
      <c r="AT200" s="514"/>
      <c r="AU200" s="514"/>
      <c r="AV200" s="514"/>
      <c r="AW200" s="514"/>
      <c r="AX200" s="514"/>
      <c r="AY200" s="514"/>
      <c r="AZ200" s="501">
        <v>2</v>
      </c>
      <c r="BA200" s="1103"/>
      <c r="BB200" s="1103"/>
      <c r="BC200" s="1103"/>
      <c r="BD200" s="1103"/>
      <c r="BE200" s="1103"/>
      <c r="BF200" s="1103"/>
      <c r="BG200" s="1103"/>
      <c r="BH200" s="1103"/>
      <c r="BI200" s="1103"/>
      <c r="BJ200" s="1103"/>
      <c r="BK200" s="1068"/>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90"/>
      <c r="D201" s="1090"/>
      <c r="E201" s="1090"/>
      <c r="F201" s="1090"/>
      <c r="G201" s="1090"/>
      <c r="H201" s="1090"/>
      <c r="I201" s="1090"/>
      <c r="J201" s="1090"/>
      <c r="K201" s="1090"/>
      <c r="L201" s="1090"/>
      <c r="M201" s="1068"/>
      <c r="N201" s="506"/>
      <c r="O201" s="506"/>
      <c r="P201" s="508"/>
      <c r="Q201" s="502">
        <f>$CB$9</f>
        <v>14</v>
      </c>
      <c r="R201" s="502">
        <v>4</v>
      </c>
      <c r="S201" s="502">
        <v>5</v>
      </c>
      <c r="T201" s="503" t="s">
        <v>141</v>
      </c>
      <c r="U201" s="514"/>
      <c r="V201" s="514"/>
      <c r="W201" s="514"/>
      <c r="X201" s="514"/>
      <c r="Y201" s="514"/>
      <c r="Z201" s="514"/>
      <c r="AA201" s="501">
        <v>3</v>
      </c>
      <c r="AB201" s="1100"/>
      <c r="AC201" s="1100"/>
      <c r="AD201" s="1100"/>
      <c r="AE201" s="1100"/>
      <c r="AF201" s="1100"/>
      <c r="AG201" s="1100"/>
      <c r="AH201" s="1100"/>
      <c r="AI201" s="1100"/>
      <c r="AJ201" s="1100"/>
      <c r="AK201" s="1100"/>
      <c r="AL201" s="1068"/>
      <c r="AM201" s="506"/>
      <c r="AN201" s="506"/>
      <c r="AO201" s="508"/>
      <c r="AP201" s="502">
        <f>$CB$9</f>
        <v>14</v>
      </c>
      <c r="AQ201" s="502">
        <v>4</v>
      </c>
      <c r="AR201" s="502">
        <v>5</v>
      </c>
      <c r="AS201" s="503" t="s">
        <v>141</v>
      </c>
      <c r="AT201" s="514"/>
      <c r="AU201" s="514"/>
      <c r="AV201" s="514"/>
      <c r="AW201" s="514"/>
      <c r="AX201" s="514"/>
      <c r="AY201" s="514"/>
      <c r="AZ201" s="501">
        <v>3</v>
      </c>
      <c r="BA201" s="1103"/>
      <c r="BB201" s="1103"/>
      <c r="BC201" s="1103"/>
      <c r="BD201" s="1103"/>
      <c r="BE201" s="1103"/>
      <c r="BF201" s="1103"/>
      <c r="BG201" s="1103"/>
      <c r="BH201" s="1103"/>
      <c r="BI201" s="1103"/>
      <c r="BJ201" s="1103"/>
      <c r="BK201" s="1068"/>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90"/>
      <c r="D202" s="1090"/>
      <c r="E202" s="1090"/>
      <c r="F202" s="1090"/>
      <c r="G202" s="1090"/>
      <c r="H202" s="1090"/>
      <c r="I202" s="1090"/>
      <c r="J202" s="1090"/>
      <c r="K202" s="1090"/>
      <c r="L202" s="1090"/>
      <c r="M202" s="1068"/>
      <c r="N202" s="506"/>
      <c r="O202" s="506"/>
      <c r="P202" s="508"/>
      <c r="Q202" s="502">
        <f>$CB$12</f>
        <v>17</v>
      </c>
      <c r="R202" s="502">
        <v>1</v>
      </c>
      <c r="S202" s="502">
        <v>7</v>
      </c>
      <c r="T202" s="503" t="s">
        <v>1883</v>
      </c>
      <c r="U202" s="514"/>
      <c r="V202" s="514"/>
      <c r="W202" s="514"/>
      <c r="X202" s="514"/>
      <c r="Y202" s="514"/>
      <c r="Z202" s="514"/>
      <c r="AA202" s="501">
        <v>4</v>
      </c>
      <c r="AB202" s="1100"/>
      <c r="AC202" s="1100"/>
      <c r="AD202" s="1100"/>
      <c r="AE202" s="1100"/>
      <c r="AF202" s="1100"/>
      <c r="AG202" s="1100"/>
      <c r="AH202" s="1100"/>
      <c r="AI202" s="1100"/>
      <c r="AJ202" s="1100"/>
      <c r="AK202" s="1100"/>
      <c r="AL202" s="1068"/>
      <c r="AM202" s="506"/>
      <c r="AN202" s="506"/>
      <c r="AO202" s="508"/>
      <c r="AP202" s="502">
        <f>$CB$12</f>
        <v>17</v>
      </c>
      <c r="AQ202" s="502">
        <v>1</v>
      </c>
      <c r="AR202" s="502">
        <v>7</v>
      </c>
      <c r="AS202" s="503" t="s">
        <v>1883</v>
      </c>
      <c r="AT202" s="514"/>
      <c r="AU202" s="514"/>
      <c r="AV202" s="514"/>
      <c r="AW202" s="514"/>
      <c r="AX202" s="514"/>
      <c r="AY202" s="514"/>
      <c r="AZ202" s="501">
        <v>4</v>
      </c>
      <c r="BA202" s="1103"/>
      <c r="BB202" s="1103"/>
      <c r="BC202" s="1103"/>
      <c r="BD202" s="1103"/>
      <c r="BE202" s="1103"/>
      <c r="BF202" s="1103"/>
      <c r="BG202" s="1103"/>
      <c r="BH202" s="1103"/>
      <c r="BI202" s="1103"/>
      <c r="BJ202" s="1103"/>
      <c r="BK202" s="1068"/>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118" t="s">
        <v>2622</v>
      </c>
      <c r="D203" s="1118"/>
      <c r="E203" s="1118"/>
      <c r="F203" s="1119" t="s">
        <v>141</v>
      </c>
      <c r="G203" s="1090"/>
      <c r="H203" s="1090"/>
      <c r="I203" s="1090"/>
      <c r="J203" s="1090"/>
      <c r="K203" s="1090"/>
      <c r="L203" s="1090"/>
      <c r="M203" s="1068"/>
      <c r="N203" s="506"/>
      <c r="O203" s="506"/>
      <c r="P203" s="508"/>
      <c r="Q203" s="502">
        <f>$CB$13</f>
        <v>18</v>
      </c>
      <c r="R203" s="502">
        <v>6</v>
      </c>
      <c r="S203" s="502">
        <v>7</v>
      </c>
      <c r="T203" s="503" t="s">
        <v>2220</v>
      </c>
      <c r="U203" s="514"/>
      <c r="V203" s="514"/>
      <c r="W203" s="514"/>
      <c r="X203" s="514"/>
      <c r="Y203" s="514"/>
      <c r="Z203" s="514"/>
      <c r="AA203" s="501">
        <v>5</v>
      </c>
      <c r="AB203" s="1118" t="s">
        <v>2622</v>
      </c>
      <c r="AC203" s="1118"/>
      <c r="AD203" s="1118"/>
      <c r="AE203" s="1119" t="s">
        <v>141</v>
      </c>
      <c r="AF203" s="1090"/>
      <c r="AG203" s="1090"/>
      <c r="AH203" s="1090"/>
      <c r="AI203" s="1090"/>
      <c r="AJ203" s="1090"/>
      <c r="AK203" s="1090"/>
      <c r="AL203" s="1068"/>
      <c r="AM203" s="506"/>
      <c r="AN203" s="506"/>
      <c r="AO203" s="508"/>
      <c r="AP203" s="502">
        <f>$CB$13</f>
        <v>18</v>
      </c>
      <c r="AQ203" s="502">
        <v>6</v>
      </c>
      <c r="AR203" s="502">
        <v>7</v>
      </c>
      <c r="AS203" s="503" t="s">
        <v>2220</v>
      </c>
      <c r="AT203" s="514"/>
      <c r="AU203" s="514"/>
      <c r="AV203" s="514"/>
      <c r="AW203" s="514"/>
      <c r="AX203" s="514"/>
      <c r="AY203" s="514"/>
      <c r="AZ203" s="501">
        <v>5</v>
      </c>
      <c r="BA203" s="1118" t="s">
        <v>2622</v>
      </c>
      <c r="BB203" s="1118"/>
      <c r="BC203" s="1118"/>
      <c r="BD203" s="1119" t="s">
        <v>141</v>
      </c>
      <c r="BE203" s="1090"/>
      <c r="BF203" s="1090"/>
      <c r="BG203" s="1090"/>
      <c r="BH203" s="1090"/>
      <c r="BI203" s="1090"/>
      <c r="BJ203" s="1090"/>
      <c r="BK203" s="1068"/>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118"/>
      <c r="D204" s="1118"/>
      <c r="E204" s="1118"/>
      <c r="F204" s="1090"/>
      <c r="G204" s="1090"/>
      <c r="H204" s="1090"/>
      <c r="I204" s="1090"/>
      <c r="J204" s="1090"/>
      <c r="K204" s="1090"/>
      <c r="L204" s="1090"/>
      <c r="M204" s="1068"/>
      <c r="N204" s="506"/>
      <c r="O204" s="506"/>
      <c r="P204" s="508"/>
      <c r="Q204" s="502">
        <f>$CB$8</f>
        <v>13</v>
      </c>
      <c r="R204" s="502">
        <v>11</v>
      </c>
      <c r="S204" s="502">
        <v>1</v>
      </c>
      <c r="T204" s="503" t="s">
        <v>2575</v>
      </c>
      <c r="U204" s="514"/>
      <c r="V204" s="514"/>
      <c r="W204" s="514"/>
      <c r="X204" s="514"/>
      <c r="Y204" s="514"/>
      <c r="Z204" s="514"/>
      <c r="AA204" s="501">
        <v>6</v>
      </c>
      <c r="AB204" s="1118"/>
      <c r="AC204" s="1118"/>
      <c r="AD204" s="1118"/>
      <c r="AE204" s="1090"/>
      <c r="AF204" s="1090"/>
      <c r="AG204" s="1090"/>
      <c r="AH204" s="1090"/>
      <c r="AI204" s="1090"/>
      <c r="AJ204" s="1090"/>
      <c r="AK204" s="1090"/>
      <c r="AL204" s="1068"/>
      <c r="AM204" s="506"/>
      <c r="AN204" s="506"/>
      <c r="AO204" s="508"/>
      <c r="AP204" s="502">
        <f>$CB$8</f>
        <v>13</v>
      </c>
      <c r="AQ204" s="502">
        <v>11</v>
      </c>
      <c r="AR204" s="502">
        <v>1</v>
      </c>
      <c r="AS204" s="503" t="s">
        <v>2575</v>
      </c>
      <c r="AT204" s="514"/>
      <c r="AU204" s="514"/>
      <c r="AV204" s="514"/>
      <c r="AW204" s="514"/>
      <c r="AX204" s="514"/>
      <c r="AY204" s="514"/>
      <c r="AZ204" s="501">
        <v>6</v>
      </c>
      <c r="BA204" s="1118"/>
      <c r="BB204" s="1118"/>
      <c r="BC204" s="1118"/>
      <c r="BD204" s="1090"/>
      <c r="BE204" s="1090"/>
      <c r="BF204" s="1090"/>
      <c r="BG204" s="1090"/>
      <c r="BH204" s="1090"/>
      <c r="BI204" s="1090"/>
      <c r="BJ204" s="1090"/>
      <c r="BK204" s="1068"/>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96" t="s">
        <v>1883</v>
      </c>
      <c r="D205" s="1097"/>
      <c r="E205" s="1097"/>
      <c r="F205" s="1097"/>
      <c r="G205" s="1097"/>
      <c r="H205" s="1096" t="s">
        <v>2220</v>
      </c>
      <c r="I205" s="1097"/>
      <c r="J205" s="1097"/>
      <c r="K205" s="1097"/>
      <c r="L205" s="1097"/>
      <c r="M205" s="1068"/>
      <c r="N205" s="506"/>
      <c r="O205" s="506"/>
      <c r="P205" s="508"/>
      <c r="Q205" s="506"/>
      <c r="R205" s="506"/>
      <c r="S205" s="506"/>
      <c r="T205" s="503"/>
      <c r="U205" s="514"/>
      <c r="V205" s="514"/>
      <c r="W205" s="514"/>
      <c r="X205" s="514"/>
      <c r="Y205" s="514"/>
      <c r="Z205" s="514"/>
      <c r="AA205" s="501">
        <v>7</v>
      </c>
      <c r="AB205" s="1096" t="s">
        <v>1883</v>
      </c>
      <c r="AC205" s="1097"/>
      <c r="AD205" s="1097"/>
      <c r="AE205" s="1097"/>
      <c r="AF205" s="1097"/>
      <c r="AG205" s="1096" t="s">
        <v>2220</v>
      </c>
      <c r="AH205" s="1097"/>
      <c r="AI205" s="1097"/>
      <c r="AJ205" s="1097"/>
      <c r="AK205" s="1097"/>
      <c r="AL205" s="1068"/>
      <c r="AM205" s="506"/>
      <c r="AN205" s="506"/>
      <c r="AO205" s="508"/>
      <c r="AP205" s="506"/>
      <c r="AQ205" s="506"/>
      <c r="AR205" s="506"/>
      <c r="AS205" s="503"/>
      <c r="AT205" s="514"/>
      <c r="AU205" s="514"/>
      <c r="AV205" s="514"/>
      <c r="AW205" s="514"/>
      <c r="AX205" s="514"/>
      <c r="AY205" s="514"/>
      <c r="AZ205" s="501">
        <v>7</v>
      </c>
      <c r="BA205" s="1096" t="s">
        <v>1883</v>
      </c>
      <c r="BB205" s="1097"/>
      <c r="BC205" s="1097"/>
      <c r="BD205" s="1097"/>
      <c r="BE205" s="1097"/>
      <c r="BF205" s="1096" t="s">
        <v>2220</v>
      </c>
      <c r="BG205" s="1097"/>
      <c r="BH205" s="1097"/>
      <c r="BI205" s="1097"/>
      <c r="BJ205" s="1097"/>
      <c r="BK205" s="1068"/>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97"/>
      <c r="D206" s="1097"/>
      <c r="E206" s="1097"/>
      <c r="F206" s="1097"/>
      <c r="G206" s="1097"/>
      <c r="H206" s="1097"/>
      <c r="I206" s="1097"/>
      <c r="J206" s="1097"/>
      <c r="K206" s="1097"/>
      <c r="L206" s="1097"/>
      <c r="M206" s="1068"/>
      <c r="N206" s="506"/>
      <c r="O206" s="506"/>
      <c r="P206" s="508"/>
      <c r="Q206" s="506"/>
      <c r="R206" s="506"/>
      <c r="S206" s="513"/>
      <c r="T206" s="508"/>
      <c r="U206" s="514"/>
      <c r="V206" s="514"/>
      <c r="W206" s="514"/>
      <c r="X206" s="514"/>
      <c r="Y206" s="514"/>
      <c r="Z206" s="514"/>
      <c r="AA206" s="501">
        <v>8</v>
      </c>
      <c r="AB206" s="1097"/>
      <c r="AC206" s="1097"/>
      <c r="AD206" s="1097"/>
      <c r="AE206" s="1097"/>
      <c r="AF206" s="1097"/>
      <c r="AG206" s="1097"/>
      <c r="AH206" s="1097"/>
      <c r="AI206" s="1097"/>
      <c r="AJ206" s="1097"/>
      <c r="AK206" s="1097"/>
      <c r="AL206" s="1068"/>
      <c r="AM206" s="506"/>
      <c r="AN206" s="506"/>
      <c r="AO206" s="508"/>
      <c r="AP206" s="506"/>
      <c r="AQ206" s="506"/>
      <c r="AR206" s="513"/>
      <c r="AS206" s="508"/>
      <c r="AT206" s="514"/>
      <c r="AU206" s="514"/>
      <c r="AV206" s="514"/>
      <c r="AW206" s="514"/>
      <c r="AX206" s="514"/>
      <c r="AY206" s="514"/>
      <c r="AZ206" s="501">
        <v>8</v>
      </c>
      <c r="BA206" s="1097"/>
      <c r="BB206" s="1097"/>
      <c r="BC206" s="1097"/>
      <c r="BD206" s="1097"/>
      <c r="BE206" s="1097"/>
      <c r="BF206" s="1097"/>
      <c r="BG206" s="1097"/>
      <c r="BH206" s="1097"/>
      <c r="BI206" s="1097"/>
      <c r="BJ206" s="1097"/>
      <c r="BK206" s="1068"/>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075"/>
      <c r="E213" s="508"/>
      <c r="F213" s="1060" t="str">
        <f>VLOOKUP("wp_to_be_done",sprachtabelle,4,FALSE)</f>
        <v>Arbeitspaket - offen</v>
      </c>
      <c r="G213" s="1060"/>
      <c r="H213" s="1060"/>
      <c r="I213" s="1060"/>
      <c r="J213" s="1060"/>
      <c r="K213" s="1060"/>
      <c r="L213" s="1060"/>
      <c r="M213" s="1060"/>
      <c r="N213" s="1060"/>
      <c r="O213" s="1061"/>
      <c r="P213" s="508"/>
      <c r="Q213" s="1077"/>
      <c r="R213" s="508"/>
      <c r="S213" s="1060" t="str">
        <f>VLOOKUP("wp_finished",sprachtabelle,4,FALSE)</f>
        <v>Arbeitspaket - abgeschlossen</v>
      </c>
      <c r="T213" s="1060"/>
      <c r="U213" s="1060"/>
      <c r="V213" s="1060"/>
      <c r="W213" s="1060"/>
      <c r="X213" s="1060"/>
      <c r="Y213" s="1060"/>
      <c r="Z213" s="1060"/>
      <c r="AA213" s="1060"/>
      <c r="AB213" s="1061"/>
      <c r="AC213" s="508"/>
      <c r="AD213" s="1079"/>
      <c r="AE213" s="508"/>
      <c r="AF213" s="1060" t="str">
        <f>VLOOKUP("milestone",sprachtabelle,4,FALSE)</f>
        <v>Meilenstein</v>
      </c>
      <c r="AG213" s="1060"/>
      <c r="AH213" s="1060"/>
      <c r="AI213" s="1060"/>
      <c r="AJ213" s="1060"/>
      <c r="AK213" s="1060"/>
      <c r="AL213" s="1060"/>
      <c r="AM213" s="1060"/>
      <c r="AN213" s="1060"/>
      <c r="AO213" s="106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076"/>
      <c r="E214" s="508"/>
      <c r="F214" s="1060"/>
      <c r="G214" s="1060"/>
      <c r="H214" s="1060"/>
      <c r="I214" s="1060"/>
      <c r="J214" s="1060"/>
      <c r="K214" s="1060"/>
      <c r="L214" s="1060"/>
      <c r="M214" s="1060"/>
      <c r="N214" s="1060"/>
      <c r="O214" s="1061"/>
      <c r="P214" s="508"/>
      <c r="Q214" s="1078"/>
      <c r="R214" s="508"/>
      <c r="S214" s="1060"/>
      <c r="T214" s="1060"/>
      <c r="U214" s="1060"/>
      <c r="V214" s="1060"/>
      <c r="W214" s="1060"/>
      <c r="X214" s="1060"/>
      <c r="Y214" s="1060"/>
      <c r="Z214" s="1060"/>
      <c r="AA214" s="1060"/>
      <c r="AB214" s="1061"/>
      <c r="AC214" s="508"/>
      <c r="AD214" s="1080"/>
      <c r="AE214" s="508"/>
      <c r="AF214" s="1060"/>
      <c r="AG214" s="1060"/>
      <c r="AH214" s="1060"/>
      <c r="AI214" s="1060"/>
      <c r="AJ214" s="1060"/>
      <c r="AK214" s="1060"/>
      <c r="AL214" s="1060"/>
      <c r="AM214" s="1060"/>
      <c r="AN214" s="1060"/>
      <c r="AO214" s="106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058"/>
      <c r="E216" s="508"/>
      <c r="F216" s="1060" t="str">
        <f>VLOOKUP("wp_in_progress",sprachtabelle,4,FALSE)</f>
        <v>Arbeitspaket - in Arbeit</v>
      </c>
      <c r="G216" s="1060"/>
      <c r="H216" s="1060"/>
      <c r="I216" s="1060"/>
      <c r="J216" s="1060"/>
      <c r="K216" s="1060"/>
      <c r="L216" s="1060"/>
      <c r="M216" s="1060"/>
      <c r="N216" s="1060"/>
      <c r="O216" s="1061"/>
      <c r="P216" s="508"/>
      <c r="Q216" s="1062"/>
      <c r="R216" s="508"/>
      <c r="S216" s="1060" t="str">
        <f>VLOOKUP("summary_task",sprachtabelle,4,FALSE)</f>
        <v>Sammelvorgang</v>
      </c>
      <c r="T216" s="1060"/>
      <c r="U216" s="1060"/>
      <c r="V216" s="1060"/>
      <c r="W216" s="1060"/>
      <c r="X216" s="1060"/>
      <c r="Y216" s="1060"/>
      <c r="Z216" s="1060"/>
      <c r="AA216" s="1060"/>
      <c r="AB216" s="106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059"/>
      <c r="E217" s="508"/>
      <c r="F217" s="1060"/>
      <c r="G217" s="1060"/>
      <c r="H217" s="1060"/>
      <c r="I217" s="1060"/>
      <c r="J217" s="1060"/>
      <c r="K217" s="1060"/>
      <c r="L217" s="1060"/>
      <c r="M217" s="1060"/>
      <c r="N217" s="1060"/>
      <c r="O217" s="1061"/>
      <c r="P217" s="508"/>
      <c r="Q217" s="1063"/>
      <c r="R217" s="508"/>
      <c r="S217" s="1060"/>
      <c r="T217" s="1060"/>
      <c r="U217" s="1060"/>
      <c r="V217" s="1060"/>
      <c r="W217" s="1060"/>
      <c r="X217" s="1060"/>
      <c r="Y217" s="1060"/>
      <c r="Z217" s="1060"/>
      <c r="AA217" s="1060"/>
      <c r="AB217" s="106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K85:BK92"/>
    <mergeCell ref="BA89:BE90"/>
    <mergeCell ref="BC68:BE68"/>
    <mergeCell ref="BF68:BH68"/>
    <mergeCell ref="BI68:BK68"/>
    <mergeCell ref="BI83:BK83"/>
    <mergeCell ref="BK70:BK77"/>
    <mergeCell ref="BG74:BJ75"/>
    <mergeCell ref="BF89:BJ90"/>
    <mergeCell ref="AZ68:BB68"/>
    <mergeCell ref="BA91:BE92"/>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N9:O9"/>
    <mergeCell ref="AD7:AE7"/>
    <mergeCell ref="B11:H11"/>
    <mergeCell ref="B9:H9"/>
    <mergeCell ref="B10:H10"/>
    <mergeCell ref="I10:K10"/>
    <mergeCell ref="P7:Q7"/>
    <mergeCell ref="Q10:S10"/>
    <mergeCell ref="N7:O7"/>
    <mergeCell ref="P9:Y9"/>
    <mergeCell ref="B23:C23"/>
    <mergeCell ref="D23:E23"/>
    <mergeCell ref="F23:M23"/>
    <mergeCell ref="B13:H13"/>
    <mergeCell ref="B19:H19"/>
    <mergeCell ref="B16:H16"/>
    <mergeCell ref="B17:H17"/>
    <mergeCell ref="B14:H14"/>
    <mergeCell ref="I17:K17"/>
    <mergeCell ref="B15:H15"/>
    <mergeCell ref="R23:S23"/>
    <mergeCell ref="T23:AA23"/>
    <mergeCell ref="N23:O23"/>
    <mergeCell ref="BG18:BM18"/>
    <mergeCell ref="BG19:BM19"/>
    <mergeCell ref="BG20:BM20"/>
    <mergeCell ref="P23:Q23"/>
    <mergeCell ref="BG21:BM21"/>
    <mergeCell ref="BG22:BM22"/>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K113:BK120"/>
    <mergeCell ref="BE119:BG120"/>
    <mergeCell ref="BH119:BJ120"/>
    <mergeCell ref="BE113:BJ113"/>
    <mergeCell ref="AF113:AK113"/>
    <mergeCell ref="AF114:AK116"/>
    <mergeCell ref="AF117:AK118"/>
    <mergeCell ref="BE114:BJ116"/>
    <mergeCell ref="BE117:BJ118"/>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N24:O24"/>
    <mergeCell ref="C34:G35"/>
    <mergeCell ref="D25:M25"/>
    <mergeCell ref="H34:L35"/>
    <mergeCell ref="B26:D26"/>
    <mergeCell ref="E26:G26"/>
    <mergeCell ref="H26:J26"/>
    <mergeCell ref="B25:C25"/>
    <mergeCell ref="M28:M35"/>
    <mergeCell ref="B24:C24"/>
    <mergeCell ref="D24:M24"/>
    <mergeCell ref="K26:M26"/>
    <mergeCell ref="C28:L31"/>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I5:K5"/>
    <mergeCell ref="I6:K6"/>
    <mergeCell ref="I7:K7"/>
    <mergeCell ref="I8:K8"/>
    <mergeCell ref="B5:H5"/>
    <mergeCell ref="B6:H6"/>
    <mergeCell ref="B20:H20"/>
    <mergeCell ref="B18:H18"/>
    <mergeCell ref="B7:H7"/>
    <mergeCell ref="B8:H8"/>
    <mergeCell ref="B12:H12"/>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BU7:CA7"/>
    <mergeCell ref="CB7:CD7"/>
    <mergeCell ref="BU8:CA8"/>
    <mergeCell ref="CB8:CD8"/>
    <mergeCell ref="BU5:CA5"/>
    <mergeCell ref="CB5:CD5"/>
    <mergeCell ref="BU6:CA6"/>
    <mergeCell ref="CB6:CD6"/>
    <mergeCell ref="BU11:CA11"/>
    <mergeCell ref="CB11:CD1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19:CA19"/>
    <mergeCell ref="CB19:CD19"/>
    <mergeCell ref="BU20:CA20"/>
    <mergeCell ref="CB20:CD20"/>
    <mergeCell ref="BU17:CA17"/>
    <mergeCell ref="CB17:CD17"/>
    <mergeCell ref="BU18:CA18"/>
    <mergeCell ref="CB18:CD18"/>
    <mergeCell ref="CB21:CD21"/>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44" t="s">
        <v>2184</v>
      </c>
      <c r="D37" s="1046" t="s">
        <v>2571</v>
      </c>
      <c r="E37" s="1046" t="s">
        <v>2295</v>
      </c>
      <c r="F37" s="1046" t="s">
        <v>2572</v>
      </c>
      <c r="G37" s="1046" t="s">
        <v>2059</v>
      </c>
      <c r="H37" s="1047" t="s">
        <v>144</v>
      </c>
      <c r="I37" s="1046" t="s">
        <v>2735</v>
      </c>
      <c r="J37" s="1044" t="s">
        <v>2622</v>
      </c>
      <c r="K37" s="1044" t="s">
        <v>682</v>
      </c>
      <c r="L37" s="1046" t="s">
        <v>2732</v>
      </c>
      <c r="M37" s="1046" t="s">
        <v>1881</v>
      </c>
      <c r="N37" s="1044" t="s">
        <v>2316</v>
      </c>
      <c r="O37" s="1044" t="s">
        <v>2316</v>
      </c>
      <c r="P37" s="927" t="s">
        <v>983</v>
      </c>
      <c r="Q37" s="1052" t="s">
        <v>1546</v>
      </c>
      <c r="R37" s="1053"/>
      <c r="S37" s="1053"/>
      <c r="T37" s="1054"/>
      <c r="U37" s="1046" t="s">
        <v>1846</v>
      </c>
      <c r="V37" s="1046"/>
      <c r="W37" s="1046"/>
      <c r="X37" s="1046"/>
      <c r="Y37" s="1046"/>
      <c r="Z37" s="1046"/>
      <c r="AA37" s="1046"/>
      <c r="AB37" s="1046"/>
      <c r="AC37" s="1046" t="s">
        <v>970</v>
      </c>
      <c r="AD37" s="1046"/>
      <c r="AE37" s="1046"/>
      <c r="AF37" s="1046"/>
      <c r="AG37" s="1046"/>
      <c r="AH37" s="1046"/>
      <c r="AI37" s="1046"/>
      <c r="AJ37" s="1046"/>
      <c r="AK37" s="1046"/>
      <c r="AL37" s="1046"/>
      <c r="AM37" s="1046"/>
      <c r="AN37" s="1046" t="s">
        <v>1122</v>
      </c>
      <c r="AO37" s="1045" t="s">
        <v>1056</v>
      </c>
      <c r="AP37" s="1045"/>
      <c r="AQ37" s="1045"/>
      <c r="AR37" s="1055"/>
      <c r="AS37" s="659"/>
    </row>
    <row r="38" spans="1:212" s="62" customFormat="1" ht="69.75" customHeight="1" x14ac:dyDescent="0.2">
      <c r="A38" s="893"/>
      <c r="B38" s="55"/>
      <c r="C38" s="1044"/>
      <c r="D38" s="1046"/>
      <c r="E38" s="1046"/>
      <c r="F38" s="1046"/>
      <c r="G38" s="1046"/>
      <c r="H38" s="1048"/>
      <c r="I38" s="1046"/>
      <c r="J38" s="1044"/>
      <c r="K38" s="1044"/>
      <c r="L38" s="1046"/>
      <c r="M38" s="1046"/>
      <c r="N38" s="1044"/>
      <c r="O38" s="1044"/>
      <c r="P38" s="1044" t="s">
        <v>2552</v>
      </c>
      <c r="Q38" s="1046" t="s">
        <v>497</v>
      </c>
      <c r="R38" s="1046"/>
      <c r="S38" s="1046" t="s">
        <v>2573</v>
      </c>
      <c r="T38" s="1046"/>
      <c r="U38" s="1045" t="s">
        <v>1802</v>
      </c>
      <c r="V38" s="1045"/>
      <c r="W38" s="1045"/>
      <c r="X38" s="1046" t="s">
        <v>1890</v>
      </c>
      <c r="Y38" s="1046"/>
      <c r="Z38" s="1046"/>
      <c r="AA38" s="1046"/>
      <c r="AB38" s="1046"/>
      <c r="AC38" s="1045" t="s">
        <v>1801</v>
      </c>
      <c r="AD38" s="1045"/>
      <c r="AE38" s="1045"/>
      <c r="AF38" s="1045" t="s">
        <v>1889</v>
      </c>
      <c r="AG38" s="1045"/>
      <c r="AH38" s="1045"/>
      <c r="AI38" s="1046" t="s">
        <v>1890</v>
      </c>
      <c r="AJ38" s="1046"/>
      <c r="AK38" s="1046"/>
      <c r="AL38" s="1046"/>
      <c r="AM38" s="1046"/>
      <c r="AN38" s="1046"/>
      <c r="AO38" s="1045" t="s">
        <v>573</v>
      </c>
      <c r="AP38" s="1045" t="s">
        <v>2591</v>
      </c>
      <c r="AQ38" s="1045" t="s">
        <v>2592</v>
      </c>
      <c r="AR38" s="1055" t="s">
        <v>2593</v>
      </c>
      <c r="AS38" s="660"/>
    </row>
    <row r="39" spans="1:212" s="62" customFormat="1" x14ac:dyDescent="0.2">
      <c r="A39" s="893"/>
      <c r="B39" s="55"/>
      <c r="C39" s="1044"/>
      <c r="D39" s="1046"/>
      <c r="E39" s="1046"/>
      <c r="F39" s="1046"/>
      <c r="G39" s="1046"/>
      <c r="H39" s="1048"/>
      <c r="I39" s="1046"/>
      <c r="J39" s="1044"/>
      <c r="K39" s="1044"/>
      <c r="L39" s="1046"/>
      <c r="M39" s="1046"/>
      <c r="N39" s="1044"/>
      <c r="O39" s="1044"/>
      <c r="P39" s="1044"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6"/>
      <c r="AO39" s="1056"/>
      <c r="AP39" s="1056"/>
      <c r="AQ39" s="1056"/>
      <c r="AR39" s="1057"/>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N37:N39"/>
    <mergeCell ref="J37:J39"/>
    <mergeCell ref="L37:L39"/>
    <mergeCell ref="M37:M39"/>
    <mergeCell ref="AF38:AH38"/>
    <mergeCell ref="O37:O39"/>
    <mergeCell ref="P38:P39"/>
    <mergeCell ref="AC37:AM37"/>
    <mergeCell ref="C37:C39"/>
    <mergeCell ref="D37:D39"/>
    <mergeCell ref="E37:E39"/>
    <mergeCell ref="F37:F39"/>
    <mergeCell ref="K37:K39"/>
    <mergeCell ref="G37:G39"/>
    <mergeCell ref="H37:H39"/>
    <mergeCell ref="I37:I39"/>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30"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42754</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94" activePane="bottomRight" state="frozen"/>
      <selection pane="topRight"/>
      <selection pane="bottomLeft"/>
      <selection pane="bottomRight" activeCell="F1" sqref="F1"/>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5"/>
      <c r="G14" s="1255"/>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5"/>
      <c r="G15" s="1255"/>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5"/>
      <c r="G18" s="1255"/>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6"/>
      <c r="G19" s="1256"/>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y</v>
      </c>
      <c r="AR22" s="158" t="str">
        <f t="shared" ca="1" si="5"/>
        <v>y</v>
      </c>
      <c r="AS22" s="158" t="str">
        <f t="shared" ca="1" si="5"/>
        <v>y</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44</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208</v>
      </c>
      <c r="B25" s="148">
        <f>IF(OR(F25=DATE(1900,1,0),F25=""),B24,F25)</f>
        <v>42831</v>
      </c>
      <c r="C25" s="148"/>
      <c r="D25" s="148"/>
      <c r="E25" s="148"/>
      <c r="F25" s="152">
        <f>IF(B5="PE",Daten!R40,IF(AND(B5="RD",Deckblatt!C56&gt;=F24),Deckblatt!C56,Gantt!C5))</f>
        <v>42831</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6" t="str">
        <f>VLOOKUP("dates",sprachtabelle,4,FALSE)</f>
        <v>Termine</v>
      </c>
      <c r="G26" s="1046"/>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5">
        <f>IF(INDEX('Calc-Gantt'!$A$4:$AB$1604,Gantt!H29+1,8)="","",INDEX('Calc-Gantt'!$A$4:$AB$1604,Gantt!H29+1,8))</f>
        <v>42635</v>
      </c>
      <c r="G29" s="1255">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5"/>
      <c r="G30" s="1255"/>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5">
        <f>IF(INDEX('Calc-Gantt'!$A$4:$AB$1604,Gantt!H29+1,10)="","",INDEX('Calc-Gantt'!$A$4:$AB$1604,Gantt!H29+1,10))</f>
        <v>42635</v>
      </c>
      <c r="G33" s="1255">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6"/>
      <c r="G34" s="1256"/>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81" t="str">
        <f>INDEX('Calc-Gantt'!$A$4:$AB$1604,Gantt!H37+1,1)</f>
        <v>1.1 - Projektmanagement</v>
      </c>
      <c r="B36" s="1282"/>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83"/>
      <c r="B37" s="1284"/>
      <c r="C37" s="538"/>
      <c r="D37" s="425"/>
      <c r="E37" s="385"/>
      <c r="F37" s="1255">
        <f>IF(INDEX('Calc-Gantt'!$A$4:$AB$1604,Gantt!H37+1,8)="","",INDEX('Calc-Gantt'!$A$4:$AB$1604,Gantt!H37+1,8))</f>
        <v>42635</v>
      </c>
      <c r="G37" s="1255">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83"/>
      <c r="B38" s="1284"/>
      <c r="C38" s="538"/>
      <c r="D38" s="425"/>
      <c r="E38" s="385"/>
      <c r="F38" s="1255"/>
      <c r="G38" s="1255"/>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83"/>
      <c r="B39" s="1284"/>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83"/>
      <c r="B40" s="1284"/>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83"/>
      <c r="B41" s="1284"/>
      <c r="C41" s="538"/>
      <c r="D41" s="425"/>
      <c r="E41" s="385"/>
      <c r="F41" s="1255">
        <f>IF(INDEX('Calc-Gantt'!$A$4:$AB$1604,Gantt!H37+1,10)="","",INDEX('Calc-Gantt'!$A$4:$AB$1604,Gantt!H37+1,10))</f>
        <v>42635</v>
      </c>
      <c r="G41" s="1255">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83"/>
      <c r="B42" s="1284"/>
      <c r="C42" s="538"/>
      <c r="D42" s="425"/>
      <c r="E42" s="385"/>
      <c r="F42" s="1256"/>
      <c r="G42" s="1256"/>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85"/>
      <c r="B43" s="1286"/>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7" t="s">
        <v>2588</v>
      </c>
      <c r="B44" s="1258"/>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9"/>
      <c r="B45" s="1260"/>
      <c r="C45" s="538"/>
      <c r="D45" s="425"/>
      <c r="E45" s="385"/>
      <c r="F45" s="1255">
        <f>IF(INDEX('Calc-Gantt'!$A$4:$AB$1604,Gantt!H45+1,8)="","",INDEX('Calc-Gantt'!$A$4:$AB$1604,Gantt!H45+1,8))</f>
        <v>42635</v>
      </c>
      <c r="G45" s="1255">
        <f>IF(INDEX('Calc-Gantt'!$A$4:$AB$1604,Gantt!H45+1,9)="","",INDEX('Calc-Gantt'!$A$4:$AB$1604,Gantt!H45+1,9))</f>
        <v>42635</v>
      </c>
      <c r="H45" s="543">
        <f t="shared" ref="H45" si="18">H37+1</f>
        <v>3</v>
      </c>
      <c r="I45" s="944"/>
      <c r="J45" s="944"/>
      <c r="K45" s="944"/>
      <c r="L45" s="125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9"/>
      <c r="B46" s="1260"/>
      <c r="C46" s="538"/>
      <c r="D46" s="425"/>
      <c r="E46" s="385"/>
      <c r="F46" s="1255"/>
      <c r="G46" s="1255"/>
      <c r="H46" s="543"/>
      <c r="I46" s="944"/>
      <c r="J46" s="944"/>
      <c r="K46" s="944"/>
      <c r="L46" s="125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9"/>
      <c r="B47" s="1260"/>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9"/>
      <c r="B48" s="1260"/>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9"/>
      <c r="B49" s="1260"/>
      <c r="C49" s="538"/>
      <c r="D49" s="425"/>
      <c r="E49" s="385"/>
      <c r="F49" s="1255">
        <f>IF(INDEX('Calc-Gantt'!$A$4:$AB$1604,Gantt!H45+1,10)="","",INDEX('Calc-Gantt'!$A$4:$AB$1604,Gantt!H45+1,10))</f>
        <v>42635</v>
      </c>
      <c r="G49" s="1255">
        <f>IF(INDEX('Calc-Gantt'!$A$4:$AB$1604,Gantt!H45+1,11)="","",INDEX('Calc-Gantt'!$A$4:$AB$1604,Gantt!H45+1,11))</f>
        <v>42635</v>
      </c>
      <c r="H49" s="543"/>
      <c r="I49" s="944"/>
      <c r="J49" s="944"/>
      <c r="K49" s="944"/>
      <c r="L49" s="1263"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9"/>
      <c r="B50" s="1260"/>
      <c r="C50" s="538"/>
      <c r="D50" s="425"/>
      <c r="E50" s="385"/>
      <c r="F50" s="1256"/>
      <c r="G50" s="1256"/>
      <c r="H50" s="543"/>
      <c r="I50" s="944"/>
      <c r="J50" s="944"/>
      <c r="K50" s="944"/>
      <c r="L50" s="125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61"/>
      <c r="B51" s="1262"/>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7" t="str">
        <f>INDEX('Calc-Gantt'!$A$4:$AB$1604,Gantt!H53+1,1)</f>
        <v>1.1.2 - Projektstart</v>
      </c>
      <c r="B52" s="1258"/>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9"/>
      <c r="B53" s="1260"/>
      <c r="C53" s="538"/>
      <c r="D53" s="425"/>
      <c r="E53" s="385"/>
      <c r="F53" s="1255">
        <f>IF(INDEX('Calc-Gantt'!$A$4:$AB$1604,Gantt!H53+1,8)="","",INDEX('Calc-Gantt'!$A$4:$AB$1604,Gantt!H53+1,8))</f>
        <v>42635</v>
      </c>
      <c r="G53" s="1255">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9"/>
      <c r="B54" s="1260"/>
      <c r="C54" s="538"/>
      <c r="D54" s="425"/>
      <c r="E54" s="385"/>
      <c r="F54" s="1255"/>
      <c r="G54" s="1255"/>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9"/>
      <c r="B55" s="1260"/>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9"/>
      <c r="B56" s="1260"/>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9"/>
      <c r="B57" s="1260"/>
      <c r="C57" s="538"/>
      <c r="D57" s="425"/>
      <c r="E57" s="385"/>
      <c r="F57" s="1255">
        <f>IF(INDEX('Calc-Gantt'!$A$4:$AB$1604,Gantt!H53+1,10)="","",INDEX('Calc-Gantt'!$A$4:$AB$1604,Gantt!H53+1,10))</f>
        <v>42635</v>
      </c>
      <c r="G57" s="1255">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9"/>
      <c r="B58" s="1260"/>
      <c r="C58" s="538"/>
      <c r="D58" s="425"/>
      <c r="E58" s="385"/>
      <c r="F58" s="1256"/>
      <c r="G58" s="1256"/>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61"/>
      <c r="B59" s="1262"/>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7" t="str">
        <f>INDEX('Calc-Gantt'!$A$4:$AB$1604,Gantt!H61+1,1)</f>
        <v>1.1.3 - Projektkoordination</v>
      </c>
      <c r="B60" s="1258"/>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9"/>
      <c r="B61" s="1260"/>
      <c r="C61" s="538"/>
      <c r="D61" s="425"/>
      <c r="E61" s="385"/>
      <c r="F61" s="1255">
        <f>IF(INDEX('Calc-Gantt'!$A$4:$AB$1604,Gantt!H61+1,8)="","",INDEX('Calc-Gantt'!$A$4:$AB$1604,Gantt!H61+1,8))</f>
        <v>42635</v>
      </c>
      <c r="G61" s="1255">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9"/>
      <c r="B62" s="1260"/>
      <c r="C62" s="538"/>
      <c r="D62" s="425"/>
      <c r="E62" s="385"/>
      <c r="F62" s="1255"/>
      <c r="G62" s="1255"/>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9"/>
      <c r="B63" s="1260"/>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9"/>
      <c r="B64" s="1260"/>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9"/>
      <c r="B65" s="1260"/>
      <c r="C65" s="538"/>
      <c r="D65" s="425"/>
      <c r="E65" s="385"/>
      <c r="F65" s="1255">
        <f>IF(INDEX('Calc-Gantt'!$A$4:$AB$1604,Gantt!H61+1,10)="","",INDEX('Calc-Gantt'!$A$4:$AB$1604,Gantt!H61+1,10))</f>
        <v>42635</v>
      </c>
      <c r="G65" s="1255">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9"/>
      <c r="B66" s="1260"/>
      <c r="C66" s="538"/>
      <c r="D66" s="425"/>
      <c r="E66" s="385"/>
      <c r="F66" s="1256"/>
      <c r="G66" s="1256"/>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61"/>
      <c r="B67" s="1262"/>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7" t="str">
        <f>INDEX('Calc-Gantt'!$A$4:$AB$1604,Gantt!H69+1,1)</f>
        <v>1.1.4 - Projektcontrolling</v>
      </c>
      <c r="B68" s="1258"/>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9"/>
      <c r="B69" s="1260"/>
      <c r="C69" s="538"/>
      <c r="D69" s="425"/>
      <c r="E69" s="385"/>
      <c r="F69" s="1255">
        <f>IF(INDEX('Calc-Gantt'!$A$4:$AB$1604,Gantt!H69+1,8)="","",INDEX('Calc-Gantt'!$A$4:$AB$1604,Gantt!H69+1,8))</f>
        <v>42635</v>
      </c>
      <c r="G69" s="1255">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9"/>
      <c r="B70" s="1260"/>
      <c r="C70" s="538"/>
      <c r="D70" s="425"/>
      <c r="E70" s="385"/>
      <c r="F70" s="1255"/>
      <c r="G70" s="1255"/>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9"/>
      <c r="B71" s="1260"/>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9"/>
      <c r="B72" s="1260"/>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9"/>
      <c r="B73" s="1260"/>
      <c r="C73" s="538"/>
      <c r="D73" s="425"/>
      <c r="E73" s="385"/>
      <c r="F73" s="1255">
        <f>IF(INDEX('Calc-Gantt'!$A$4:$AB$1604,Gantt!H69+1,10)="","",INDEX('Calc-Gantt'!$A$4:$AB$1604,Gantt!H69+1,10))</f>
        <v>42635</v>
      </c>
      <c r="G73" s="1255">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9"/>
      <c r="B74" s="1260"/>
      <c r="C74" s="538"/>
      <c r="D74" s="425"/>
      <c r="E74" s="385"/>
      <c r="F74" s="1256"/>
      <c r="G74" s="1256"/>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61"/>
      <c r="B75" s="1262"/>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7" t="str">
        <f>INDEX('Calc-Gantt'!$A$4:$AB$1604,Gantt!H77+1,1)</f>
        <v>1.1.5 - Projektabschluss</v>
      </c>
      <c r="B76" s="1258"/>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9"/>
      <c r="B77" s="1260"/>
      <c r="C77" s="538"/>
      <c r="D77" s="425"/>
      <c r="E77" s="385"/>
      <c r="F77" s="1255">
        <f>IF(INDEX('Calc-Gantt'!$A$4:$AB$1604,Gantt!H77+1,8)="","",INDEX('Calc-Gantt'!$A$4:$AB$1604,Gantt!H77+1,8))</f>
        <v>42824</v>
      </c>
      <c r="G77" s="1255">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9"/>
      <c r="B78" s="1260"/>
      <c r="C78" s="538"/>
      <c r="D78" s="425"/>
      <c r="E78" s="385"/>
      <c r="F78" s="1255"/>
      <c r="G78" s="1255"/>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9"/>
      <c r="B79" s="1260"/>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9"/>
      <c r="B80" s="1260"/>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9"/>
      <c r="B81" s="1260"/>
      <c r="C81" s="538"/>
      <c r="D81" s="425"/>
      <c r="E81" s="385"/>
      <c r="F81" s="1255">
        <f>IF(INDEX('Calc-Gantt'!$A$4:$AB$1604,Gantt!H77+1,10)="","",INDEX('Calc-Gantt'!$A$4:$AB$1604,Gantt!H77+1,10))</f>
        <v>42824</v>
      </c>
      <c r="G81" s="1255">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9"/>
      <c r="B82" s="1260"/>
      <c r="C82" s="538"/>
      <c r="D82" s="425"/>
      <c r="E82" s="385"/>
      <c r="F82" s="1256"/>
      <c r="G82" s="1256"/>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61"/>
      <c r="B83" s="1262"/>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7" t="s">
        <v>2589</v>
      </c>
      <c r="B84" s="1258"/>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9"/>
      <c r="B85" s="1260"/>
      <c r="C85" s="538"/>
      <c r="D85" s="425"/>
      <c r="E85" s="385"/>
      <c r="F85" s="1255">
        <f>IF(INDEX('Calc-Gantt'!$A$4:$AB$1604,Gantt!H85+1,8)="","",INDEX('Calc-Gantt'!$A$4:$AB$1604,Gantt!H85+1,8))</f>
        <v>42831</v>
      </c>
      <c r="G85" s="1255">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5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9"/>
      <c r="B86" s="1260"/>
      <c r="C86" s="538"/>
      <c r="D86" s="425"/>
      <c r="E86" s="385"/>
      <c r="F86" s="1255"/>
      <c r="G86" s="1255"/>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5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9"/>
      <c r="B87" s="1260"/>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9"/>
      <c r="B88" s="1260"/>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9"/>
      <c r="B89" s="1260"/>
      <c r="C89" s="538"/>
      <c r="D89" s="425"/>
      <c r="E89" s="385"/>
      <c r="F89" s="1255">
        <f>IF(INDEX('Calc-Gantt'!$A$4:$AB$1604,Gantt!H85+1,10)="","",INDEX('Calc-Gantt'!$A$4:$AB$1604,Gantt!H85+1,10))</f>
        <v>42831</v>
      </c>
      <c r="G89" s="1255">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64"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9"/>
      <c r="B90" s="1260"/>
      <c r="C90" s="538"/>
      <c r="D90" s="425"/>
      <c r="E90" s="385"/>
      <c r="F90" s="1256"/>
      <c r="G90" s="1256"/>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5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61"/>
      <c r="B91" s="1262"/>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81" t="str">
        <f>INDEX('Calc-Gantt'!$A$4:$AB$1604,Gantt!H93+1,1)</f>
        <v>1.2 - Erstellen der HP</v>
      </c>
      <c r="B92" s="1282"/>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83"/>
      <c r="B93" s="1284"/>
      <c r="C93" s="538"/>
      <c r="D93" s="425"/>
      <c r="E93" s="385"/>
      <c r="F93" s="1255">
        <f>IF(INDEX('Calc-Gantt'!$A$4:$AB$1604,Gantt!H93+1,8)="","",INDEX('Calc-Gantt'!$A$4:$AB$1604,Gantt!H93+1,8))</f>
        <v>42662</v>
      </c>
      <c r="G93" s="1255">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83"/>
      <c r="B94" s="1284"/>
      <c r="C94" s="538"/>
      <c r="D94" s="425"/>
      <c r="E94" s="385"/>
      <c r="F94" s="1255"/>
      <c r="G94" s="1255"/>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83"/>
      <c r="B95" s="1284"/>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83"/>
      <c r="B96" s="1284"/>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83"/>
      <c r="B97" s="1284"/>
      <c r="C97" s="538"/>
      <c r="D97" s="425"/>
      <c r="E97" s="385"/>
      <c r="F97" s="1255">
        <f>IF(INDEX('Calc-Gantt'!$A$4:$AB$1604,Gantt!H93+1,10)="","",INDEX('Calc-Gantt'!$A$4:$AB$1604,Gantt!H93+1,10))</f>
        <v>42662</v>
      </c>
      <c r="G97" s="1255">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83"/>
      <c r="B98" s="1284"/>
      <c r="C98" s="538"/>
      <c r="D98" s="425"/>
      <c r="E98" s="385"/>
      <c r="F98" s="1256"/>
      <c r="G98" s="1256"/>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85"/>
      <c r="B99" s="1286"/>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7" t="str">
        <f>INDEX('Calc-Gantt'!$A$4:$AB$1604,Gantt!H101+1,1)</f>
        <v>1.2.1 - Layout grafisch erstellen</v>
      </c>
      <c r="B100" s="1258"/>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9"/>
      <c r="B101" s="1260"/>
      <c r="C101" s="538"/>
      <c r="D101" s="425"/>
      <c r="E101" s="385"/>
      <c r="F101" s="1255">
        <f>IF(INDEX('Calc-Gantt'!$A$4:$AB$1604,Gantt!H101+1,8)="","",INDEX('Calc-Gantt'!$A$4:$AB$1604,Gantt!H101+1,8))</f>
        <v>42662</v>
      </c>
      <c r="G101" s="1255">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9"/>
      <c r="B102" s="1260"/>
      <c r="C102" s="538"/>
      <c r="D102" s="425"/>
      <c r="E102" s="385"/>
      <c r="F102" s="1255"/>
      <c r="G102" s="1255"/>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9"/>
      <c r="B103" s="1260"/>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9"/>
      <c r="B104" s="1260"/>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9"/>
      <c r="B105" s="1260"/>
      <c r="C105" s="538"/>
      <c r="D105" s="425"/>
      <c r="E105" s="385"/>
      <c r="F105" s="1255">
        <f>IF(INDEX('Calc-Gantt'!$A$4:$AB$1604,Gantt!H101+1,10)="","",INDEX('Calc-Gantt'!$A$4:$AB$1604,Gantt!H101+1,10))</f>
        <v>42662</v>
      </c>
      <c r="G105" s="1255">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9"/>
      <c r="B106" s="1260"/>
      <c r="C106" s="538"/>
      <c r="D106" s="425"/>
      <c r="E106" s="385"/>
      <c r="F106" s="1256"/>
      <c r="G106" s="1256"/>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61"/>
      <c r="B107" s="1262"/>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7" t="str">
        <f>INDEX('Calc-Gantt'!$A$4:$AB$1604,Gantt!H109+1,1)</f>
        <v>1.2.2 - Vorstellung Layout</v>
      </c>
      <c r="B108" s="1258"/>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9"/>
      <c r="B109" s="1260"/>
      <c r="C109" s="538"/>
      <c r="D109" s="425"/>
      <c r="E109" s="385"/>
      <c r="F109" s="1255">
        <f>IF(INDEX('Calc-Gantt'!$A$4:$AB$1604,Gantt!H109+1,8)="","",INDEX('Calc-Gantt'!$A$4:$AB$1604,Gantt!H109+1,8))</f>
        <v>42677</v>
      </c>
      <c r="G109" s="1255">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9"/>
      <c r="B110" s="1260"/>
      <c r="C110" s="538"/>
      <c r="D110" s="425"/>
      <c r="E110" s="385"/>
      <c r="F110" s="1255"/>
      <c r="G110" s="1255"/>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9"/>
      <c r="B111" s="1260"/>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9"/>
      <c r="B112" s="1260"/>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9"/>
      <c r="B113" s="1260"/>
      <c r="C113" s="538"/>
      <c r="D113" s="425"/>
      <c r="E113" s="385"/>
      <c r="F113" s="1255">
        <f>IF(INDEX('Calc-Gantt'!$A$4:$AB$1604,Gantt!H109+1,10)="","",INDEX('Calc-Gantt'!$A$4:$AB$1604,Gantt!H109+1,10))</f>
        <v>42677</v>
      </c>
      <c r="G113" s="1255">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9"/>
      <c r="B114" s="1260"/>
      <c r="C114" s="538"/>
      <c r="D114" s="425"/>
      <c r="E114" s="385"/>
      <c r="F114" s="1256"/>
      <c r="G114" s="1256"/>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61"/>
      <c r="B115" s="1262"/>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7" t="str">
        <f>INDEX('Calc-Gantt'!$A$4:$AB$1604,Gantt!H117+1,1)</f>
        <v>1.2.3 - Einarbeitung Bootstrap</v>
      </c>
      <c r="B116" s="1258"/>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9"/>
      <c r="B117" s="1260"/>
      <c r="C117" s="538"/>
      <c r="D117" s="425"/>
      <c r="E117" s="385"/>
      <c r="F117" s="1255">
        <f>IF(INDEX('Calc-Gantt'!$A$4:$AB$1604,Gantt!H117+1,8)="","",INDEX('Calc-Gantt'!$A$4:$AB$1604,Gantt!H117+1,8))</f>
        <v>42704</v>
      </c>
      <c r="G117" s="1255">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9"/>
      <c r="B118" s="1260"/>
      <c r="C118" s="538"/>
      <c r="D118" s="425"/>
      <c r="E118" s="385"/>
      <c r="F118" s="1255"/>
      <c r="G118" s="1255"/>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9"/>
      <c r="B119" s="1260"/>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9"/>
      <c r="B120" s="1260"/>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9"/>
      <c r="B121" s="1260"/>
      <c r="C121" s="538"/>
      <c r="D121" s="425"/>
      <c r="E121" s="385"/>
      <c r="F121" s="1255">
        <f>IF(INDEX('Calc-Gantt'!$A$4:$AB$1604,Gantt!H117+1,10)="","",INDEX('Calc-Gantt'!$A$4:$AB$1604,Gantt!H117+1,10))</f>
        <v>42704</v>
      </c>
      <c r="G121" s="1255">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9"/>
      <c r="B122" s="1260"/>
      <c r="C122" s="538"/>
      <c r="D122" s="425"/>
      <c r="E122" s="385"/>
      <c r="F122" s="1256"/>
      <c r="G122" s="1256"/>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61"/>
      <c r="B123" s="1262"/>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7" t="str">
        <f>INDEX('Calc-Gantt'!$A$4:$AB$1604,Gantt!H125+1,1)</f>
        <v>1.2.4 - Einarbeitung GIT</v>
      </c>
      <c r="B124" s="1258"/>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9"/>
      <c r="B125" s="1260"/>
      <c r="C125" s="538"/>
      <c r="D125" s="425"/>
      <c r="E125" s="385"/>
      <c r="F125" s="1255">
        <f>IF(INDEX('Calc-Gantt'!$A$4:$AB$1604,Gantt!H125+1,8)="","",INDEX('Calc-Gantt'!$A$4:$AB$1604,Gantt!H125+1,8))</f>
        <v>42663</v>
      </c>
      <c r="G125" s="1255">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9"/>
      <c r="B126" s="1260"/>
      <c r="C126" s="538"/>
      <c r="D126" s="425"/>
      <c r="E126" s="385"/>
      <c r="F126" s="1255"/>
      <c r="G126" s="1255"/>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9"/>
      <c r="B127" s="1260"/>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9"/>
      <c r="B128" s="1260"/>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9"/>
      <c r="B129" s="1260"/>
      <c r="C129" s="538"/>
      <c r="D129" s="425"/>
      <c r="E129" s="385"/>
      <c r="F129" s="1255">
        <f>IF(INDEX('Calc-Gantt'!$A$4:$AB$1604,Gantt!H125+1,10)="","",INDEX('Calc-Gantt'!$A$4:$AB$1604,Gantt!H125+1,10))</f>
        <v>42663</v>
      </c>
      <c r="G129" s="1255">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9"/>
      <c r="B130" s="1260"/>
      <c r="C130" s="538"/>
      <c r="D130" s="425"/>
      <c r="E130" s="385"/>
      <c r="F130" s="1256"/>
      <c r="G130" s="1256"/>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61"/>
      <c r="B131" s="1262"/>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7" t="str">
        <f>INDEX('Calc-Gantt'!$A$4:$AB$1604,Gantt!H133+1,1)</f>
        <v>1.2.5 - Erstellen Seitenaufbau</v>
      </c>
      <c r="B132" s="1258"/>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9"/>
      <c r="B133" s="1260"/>
      <c r="C133" s="538"/>
      <c r="D133" s="425"/>
      <c r="E133" s="385"/>
      <c r="F133" s="1255">
        <f>IF(INDEX('Calc-Gantt'!$A$4:$AB$1604,Gantt!H133+1,8)="","",INDEX('Calc-Gantt'!$A$4:$AB$1604,Gantt!H133+1,8))</f>
        <v>42711</v>
      </c>
      <c r="G133" s="1255">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9"/>
      <c r="B134" s="1260"/>
      <c r="C134" s="538"/>
      <c r="D134" s="425"/>
      <c r="E134" s="385"/>
      <c r="F134" s="1255"/>
      <c r="G134" s="1255"/>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9"/>
      <c r="B135" s="1260"/>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9"/>
      <c r="B136" s="1260"/>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9"/>
      <c r="B137" s="1260"/>
      <c r="C137" s="538"/>
      <c r="D137" s="425"/>
      <c r="E137" s="385"/>
      <c r="F137" s="1255">
        <f>IF(INDEX('Calc-Gantt'!$A$4:$AB$1604,Gantt!H133+1,10)="","",INDEX('Calc-Gantt'!$A$4:$AB$1604,Gantt!H133+1,10))</f>
        <v>42711</v>
      </c>
      <c r="G137" s="1255">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9"/>
      <c r="B138" s="1260"/>
      <c r="C138" s="538"/>
      <c r="D138" s="425"/>
      <c r="E138" s="385"/>
      <c r="F138" s="1256"/>
      <c r="G138" s="1256"/>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61"/>
      <c r="B139" s="1262"/>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7" t="str">
        <f>INDEX('Calc-Gantt'!$A$4:$AB$1604,Gantt!H141+1,1)</f>
        <v>1.2.6 - Hauptseite</v>
      </c>
      <c r="B140" s="1258"/>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9"/>
      <c r="B141" s="1260"/>
      <c r="C141" s="538"/>
      <c r="D141" s="425"/>
      <c r="E141" s="385"/>
      <c r="F141" s="1255">
        <f>IF(INDEX('Calc-Gantt'!$A$4:$AB$1604,Gantt!H141+1,8)="","",INDEX('Calc-Gantt'!$A$4:$AB$1604,Gantt!H141+1,8))</f>
        <v>42725</v>
      </c>
      <c r="G141" s="1255">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9"/>
      <c r="B142" s="1260"/>
      <c r="C142" s="538"/>
      <c r="D142" s="425"/>
      <c r="E142" s="385"/>
      <c r="F142" s="1255"/>
      <c r="G142" s="1255"/>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9"/>
      <c r="B143" s="1260"/>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9"/>
      <c r="B144" s="1260"/>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9"/>
      <c r="B145" s="1260"/>
      <c r="C145" s="538"/>
      <c r="D145" s="425"/>
      <c r="E145" s="385"/>
      <c r="F145" s="1255">
        <f>IF(INDEX('Calc-Gantt'!$A$4:$AB$1604,Gantt!H141+1,10)="","",INDEX('Calc-Gantt'!$A$4:$AB$1604,Gantt!H141+1,10))</f>
        <v>42725</v>
      </c>
      <c r="G145" s="1255">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9"/>
      <c r="B146" s="1260"/>
      <c r="C146" s="538"/>
      <c r="D146" s="425"/>
      <c r="E146" s="385"/>
      <c r="F146" s="1256"/>
      <c r="G146" s="1256"/>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61"/>
      <c r="B147" s="1262"/>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7" t="str">
        <f>INDEX('Calc-Gantt'!$A$4:$AB$1604,Gantt!H149+1,1)</f>
        <v>1.2.7 - Newsfeed öffentlich</v>
      </c>
      <c r="B148" s="1258"/>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9"/>
      <c r="B149" s="1260"/>
      <c r="C149" s="538"/>
      <c r="D149" s="425"/>
      <c r="E149" s="385"/>
      <c r="F149" s="1255">
        <f>IF(INDEX('Calc-Gantt'!$A$4:$AB$1604,Gantt!H149+1,8)="","",INDEX('Calc-Gantt'!$A$4:$AB$1604,Gantt!H149+1,8))</f>
        <v>42761</v>
      </c>
      <c r="G149" s="1255">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9"/>
      <c r="B150" s="1260"/>
      <c r="C150" s="538"/>
      <c r="D150" s="425"/>
      <c r="E150" s="385"/>
      <c r="F150" s="1255"/>
      <c r="G150" s="1255"/>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9"/>
      <c r="B151" s="1260"/>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9"/>
      <c r="B152" s="1260"/>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9"/>
      <c r="B153" s="1260"/>
      <c r="C153" s="538"/>
      <c r="D153" s="425"/>
      <c r="E153" s="385"/>
      <c r="F153" s="1255">
        <f>IF(INDEX('Calc-Gantt'!$A$4:$AB$1604,Gantt!H149+1,10)="","",INDEX('Calc-Gantt'!$A$4:$AB$1604,Gantt!H149+1,10))</f>
        <v>42761</v>
      </c>
      <c r="G153" s="1255">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9"/>
      <c r="B154" s="1260"/>
      <c r="C154" s="538"/>
      <c r="D154" s="425"/>
      <c r="E154" s="385"/>
      <c r="F154" s="1256"/>
      <c r="G154" s="1256"/>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61"/>
      <c r="B155" s="1262"/>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7" t="str">
        <f>INDEX('Calc-Gantt'!$A$4:$AB$1604,Gantt!H157+1,1)</f>
        <v>1.2.8 - Menüpunkt Chormitglieder</v>
      </c>
      <c r="B156" s="1258"/>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9"/>
      <c r="B157" s="1260"/>
      <c r="C157" s="538"/>
      <c r="D157" s="425"/>
      <c r="E157" s="385"/>
      <c r="F157" s="1255">
        <f>IF(INDEX('Calc-Gantt'!$A$4:$AB$1604,Gantt!H157+1,8)="","",INDEX('Calc-Gantt'!$A$4:$AB$1604,Gantt!H157+1,8))</f>
        <v>42774</v>
      </c>
      <c r="G157" s="1255">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9"/>
      <c r="B158" s="1260"/>
      <c r="C158" s="538"/>
      <c r="D158" s="425"/>
      <c r="E158" s="385"/>
      <c r="F158" s="1255"/>
      <c r="G158" s="1255"/>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9"/>
      <c r="B159" s="1260"/>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9"/>
      <c r="B160" s="1260"/>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9"/>
      <c r="B161" s="1260"/>
      <c r="C161" s="538"/>
      <c r="D161" s="425"/>
      <c r="E161" s="385"/>
      <c r="F161" s="1255">
        <f>IF(INDEX('Calc-Gantt'!$A$4:$AB$1604,Gantt!H157+1,10)="","",INDEX('Calc-Gantt'!$A$4:$AB$1604,Gantt!H157+1,10))</f>
        <v>42774</v>
      </c>
      <c r="G161" s="1255">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9"/>
      <c r="B162" s="1260"/>
      <c r="C162" s="538"/>
      <c r="D162" s="425"/>
      <c r="E162" s="385"/>
      <c r="F162" s="1256"/>
      <c r="G162" s="1256"/>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61"/>
      <c r="B163" s="1262"/>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7" t="str">
        <f>INDEX('Calc-Gantt'!$A$4:$AB$1604,Gantt!H165+1,1)</f>
        <v>1.2.9 - Menüpunkt Termine/Veranstaltungen</v>
      </c>
      <c r="B164" s="1258"/>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9"/>
      <c r="B165" s="1260"/>
      <c r="C165" s="538"/>
      <c r="D165" s="425"/>
      <c r="E165" s="385"/>
      <c r="F165" s="1255">
        <f>IF(INDEX('Calc-Gantt'!$A$4:$AB$1604,Gantt!H165+1,8)="","",INDEX('Calc-Gantt'!$A$4:$AB$1604,Gantt!H165+1,8))</f>
        <v>42795</v>
      </c>
      <c r="G165" s="1255">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9"/>
      <c r="B166" s="1260"/>
      <c r="C166" s="538"/>
      <c r="D166" s="425"/>
      <c r="E166" s="385"/>
      <c r="F166" s="1255"/>
      <c r="G166" s="1255"/>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9"/>
      <c r="B167" s="1260"/>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9"/>
      <c r="B168" s="1260"/>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9"/>
      <c r="B169" s="1260"/>
      <c r="C169" s="538"/>
      <c r="D169" s="425"/>
      <c r="E169" s="385"/>
      <c r="F169" s="1255">
        <f>IF(INDEX('Calc-Gantt'!$A$4:$AB$1604,Gantt!H165+1,10)="","",INDEX('Calc-Gantt'!$A$4:$AB$1604,Gantt!H165+1,10))</f>
        <v>42795</v>
      </c>
      <c r="G169" s="1255">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9"/>
      <c r="B170" s="1260"/>
      <c r="C170" s="538"/>
      <c r="D170" s="425"/>
      <c r="E170" s="385"/>
      <c r="F170" s="1256"/>
      <c r="G170" s="1256"/>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61"/>
      <c r="B171" s="1262"/>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7" t="str">
        <f>INDEX('Calc-Gantt'!$A$4:$AB$1604,Gantt!H173+1,1)</f>
        <v>1.2.10 - Adminbereich: Userverwaltung</v>
      </c>
      <c r="B172" s="1258"/>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9"/>
      <c r="B173" s="1260"/>
      <c r="C173" s="538"/>
      <c r="D173" s="425"/>
      <c r="E173" s="385"/>
      <c r="F173" s="1255">
        <f>IF(INDEX('Calc-Gantt'!$A$4:$AB$1604,Gantt!H173+1,8)="","",INDEX('Calc-Gantt'!$A$4:$AB$1604,Gantt!H173+1,8))</f>
        <v>42704</v>
      </c>
      <c r="G173" s="1255">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9"/>
      <c r="B174" s="1260"/>
      <c r="C174" s="538"/>
      <c r="D174" s="425"/>
      <c r="E174" s="385"/>
      <c r="F174" s="1255"/>
      <c r="G174" s="1255"/>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9"/>
      <c r="B175" s="1260"/>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9"/>
      <c r="B176" s="1260"/>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9"/>
      <c r="B177" s="1260"/>
      <c r="C177" s="538"/>
      <c r="D177" s="425"/>
      <c r="E177" s="385"/>
      <c r="F177" s="1255">
        <f>IF(INDEX('Calc-Gantt'!$A$4:$AB$1604,Gantt!H173+1,10)="","",INDEX('Calc-Gantt'!$A$4:$AB$1604,Gantt!H173+1,10))</f>
        <v>42704</v>
      </c>
      <c r="G177" s="1255">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9"/>
      <c r="B178" s="1260"/>
      <c r="C178" s="538"/>
      <c r="D178" s="425"/>
      <c r="E178" s="385"/>
      <c r="F178" s="1256"/>
      <c r="G178" s="1256"/>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61"/>
      <c r="B179" s="1262"/>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7" t="str">
        <f>INDEX('Calc-Gantt'!$A$4:$AB$1604,Gantt!H181+1,1)</f>
        <v>1.2.11 - Persönliche Ben.: Mediendownload</v>
      </c>
      <c r="B180" s="1258"/>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9"/>
      <c r="B181" s="1260"/>
      <c r="C181" s="538"/>
      <c r="D181" s="425"/>
      <c r="E181" s="385"/>
      <c r="F181" s="1255">
        <f>IF(INDEX('Calc-Gantt'!$A$4:$AB$1604,Gantt!H181+1,8)="","",INDEX('Calc-Gantt'!$A$4:$AB$1604,Gantt!H181+1,8))</f>
        <v>42718</v>
      </c>
      <c r="G181" s="1255">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9"/>
      <c r="B182" s="1260"/>
      <c r="C182" s="538"/>
      <c r="D182" s="425"/>
      <c r="E182" s="385"/>
      <c r="F182" s="1255"/>
      <c r="G182" s="1255"/>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9"/>
      <c r="B183" s="1260"/>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9"/>
      <c r="B184" s="1260"/>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9"/>
      <c r="B185" s="1260"/>
      <c r="C185" s="538"/>
      <c r="D185" s="425"/>
      <c r="E185" s="385"/>
      <c r="F185" s="1255">
        <f>IF(INDEX('Calc-Gantt'!$A$4:$AB$1604,Gantt!H181+1,10)="","",INDEX('Calc-Gantt'!$A$4:$AB$1604,Gantt!H181+1,10))</f>
        <v>42718</v>
      </c>
      <c r="G185" s="1255">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9"/>
      <c r="B186" s="1260"/>
      <c r="C186" s="538"/>
      <c r="D186" s="425"/>
      <c r="E186" s="385"/>
      <c r="F186" s="1256"/>
      <c r="G186" s="1256"/>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61"/>
      <c r="B187" s="1262"/>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7" t="str">
        <f>INDEX('Calc-Gantt'!$A$4:$AB$1604,Gantt!H189+1,1)</f>
        <v>1.2.12 - Adminbereich: für Menü Mitglieder</v>
      </c>
      <c r="B188" s="1258"/>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9"/>
      <c r="B189" s="1260"/>
      <c r="C189" s="538"/>
      <c r="D189" s="425"/>
      <c r="E189" s="385"/>
      <c r="F189" s="1255">
        <f>IF(INDEX('Calc-Gantt'!$A$4:$AB$1604,Gantt!H189+1,8)="","",INDEX('Calc-Gantt'!$A$4:$AB$1604,Gantt!H189+1,8))</f>
        <v>42696</v>
      </c>
      <c r="G189" s="1255">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9"/>
      <c r="B190" s="1260"/>
      <c r="C190" s="538"/>
      <c r="D190" s="425"/>
      <c r="E190" s="385"/>
      <c r="F190" s="1255"/>
      <c r="G190" s="1255"/>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9"/>
      <c r="B191" s="1260"/>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9"/>
      <c r="B192" s="1260"/>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9"/>
      <c r="B193" s="1260"/>
      <c r="C193" s="538"/>
      <c r="D193" s="425"/>
      <c r="E193" s="385"/>
      <c r="F193" s="1255">
        <f>IF(INDEX('Calc-Gantt'!$A$4:$AB$1604,Gantt!H189+1,10)="","",INDEX('Calc-Gantt'!$A$4:$AB$1604,Gantt!H189+1,10))</f>
        <v>42696</v>
      </c>
      <c r="G193" s="1255">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9"/>
      <c r="B194" s="1260"/>
      <c r="C194" s="538"/>
      <c r="D194" s="425"/>
      <c r="E194" s="385"/>
      <c r="F194" s="1256"/>
      <c r="G194" s="1256"/>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61"/>
      <c r="B195" s="1262"/>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7" t="str">
        <f>INDEX('Calc-Gantt'!$A$4:$AB$1604,Gantt!H197+1,1)</f>
        <v>1.2.13 - Adminbereich: E-Mails an alle</v>
      </c>
      <c r="B196" s="1258"/>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9"/>
      <c r="B197" s="1260"/>
      <c r="C197" s="538"/>
      <c r="D197" s="425"/>
      <c r="E197" s="385"/>
      <c r="F197" s="1255">
        <f>IF(INDEX('Calc-Gantt'!$A$4:$AB$1604,Gantt!H197+1,8)="","",INDEX('Calc-Gantt'!$A$4:$AB$1604,Gantt!H197+1,8))</f>
        <v>42711</v>
      </c>
      <c r="G197" s="1255">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9"/>
      <c r="B198" s="1260"/>
      <c r="C198" s="538"/>
      <c r="D198" s="425"/>
      <c r="E198" s="385"/>
      <c r="F198" s="1255"/>
      <c r="G198" s="1255"/>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9"/>
      <c r="B199" s="1260"/>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9"/>
      <c r="B200" s="1260"/>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9"/>
      <c r="B201" s="1260"/>
      <c r="C201" s="538"/>
      <c r="D201" s="425"/>
      <c r="E201" s="385"/>
      <c r="F201" s="1255">
        <f>IF(INDEX('Calc-Gantt'!$A$4:$AB$1604,Gantt!H197+1,10)="","",INDEX('Calc-Gantt'!$A$4:$AB$1604,Gantt!H197+1,10))</f>
        <v>42711</v>
      </c>
      <c r="G201" s="1255">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9"/>
      <c r="B202" s="1260"/>
      <c r="C202" s="538"/>
      <c r="D202" s="425"/>
      <c r="E202" s="385"/>
      <c r="F202" s="1256"/>
      <c r="G202" s="1256"/>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61"/>
      <c r="B203" s="1262"/>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7" t="str">
        <f>INDEX('Calc-Gantt'!$A$4:$AB$1604,Gantt!H205+1,1)</f>
        <v>1.2.14 - Adminbereich: Startseite bearbeiten</v>
      </c>
      <c r="B204" s="1258"/>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9"/>
      <c r="B205" s="1260"/>
      <c r="C205" s="538"/>
      <c r="D205" s="425"/>
      <c r="E205" s="385"/>
      <c r="F205" s="1255">
        <f>IF(INDEX('Calc-Gantt'!$A$4:$AB$1604,Gantt!H205+1,8)="","",INDEX('Calc-Gantt'!$A$4:$AB$1604,Gantt!H205+1,8))</f>
        <v>42718</v>
      </c>
      <c r="G205" s="1255">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9"/>
      <c r="B206" s="1260"/>
      <c r="C206" s="538"/>
      <c r="D206" s="425"/>
      <c r="E206" s="385"/>
      <c r="F206" s="1255"/>
      <c r="G206" s="1255"/>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9"/>
      <c r="B207" s="1260"/>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9"/>
      <c r="B208" s="1260"/>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9"/>
      <c r="B209" s="1260"/>
      <c r="C209" s="538"/>
      <c r="D209" s="425"/>
      <c r="E209" s="385"/>
      <c r="F209" s="1255">
        <f>IF(INDEX('Calc-Gantt'!$A$4:$AB$1604,Gantt!H205+1,10)="","",INDEX('Calc-Gantt'!$A$4:$AB$1604,Gantt!H205+1,10))</f>
        <v>42718</v>
      </c>
      <c r="G209" s="1255">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9"/>
      <c r="B210" s="1260"/>
      <c r="C210" s="538"/>
      <c r="D210" s="425"/>
      <c r="E210" s="385"/>
      <c r="F210" s="1256"/>
      <c r="G210" s="1256"/>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61"/>
      <c r="B211" s="1262"/>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7" t="str">
        <f>INDEX('Calc-Gantt'!$A$4:$AB$1604,Gantt!H213+1,1)</f>
        <v>1.2.15 - Newsfeed öffentlich</v>
      </c>
      <c r="B212" s="1258"/>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9"/>
      <c r="B213" s="1260"/>
      <c r="C213" s="538"/>
      <c r="D213" s="425"/>
      <c r="E213" s="385"/>
      <c r="F213" s="1255">
        <f>IF(INDEX('Calc-Gantt'!$A$4:$AB$1604,Gantt!H213+1,8)="","",INDEX('Calc-Gantt'!$A$4:$AB$1604,Gantt!H213+1,8))</f>
        <v>42719</v>
      </c>
      <c r="G213" s="1255">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9"/>
      <c r="B214" s="1260"/>
      <c r="C214" s="538"/>
      <c r="D214" s="425"/>
      <c r="E214" s="385"/>
      <c r="F214" s="1255"/>
      <c r="G214" s="1255"/>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9"/>
      <c r="B215" s="1260"/>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9"/>
      <c r="B216" s="1260"/>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9"/>
      <c r="B217" s="1260"/>
      <c r="C217" s="538"/>
      <c r="D217" s="425"/>
      <c r="E217" s="385"/>
      <c r="F217" s="1255">
        <f>IF(INDEX('Calc-Gantt'!$A$4:$AB$1604,Gantt!H213+1,10)="","",INDEX('Calc-Gantt'!$A$4:$AB$1604,Gantt!H213+1,10))</f>
        <v>42719</v>
      </c>
      <c r="G217" s="1255">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9"/>
      <c r="B218" s="1260"/>
      <c r="C218" s="538"/>
      <c r="D218" s="425"/>
      <c r="E218" s="385"/>
      <c r="F218" s="1256"/>
      <c r="G218" s="1256"/>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61"/>
      <c r="B219" s="1262"/>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7" t="str">
        <f>INDEX('Calc-Gantt'!$A$4:$AB$1604,Gantt!H221+1,1)</f>
        <v>1.2.16 - Newsfeed privat</v>
      </c>
      <c r="B220" s="1258"/>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9"/>
      <c r="B221" s="1260"/>
      <c r="C221" s="538"/>
      <c r="D221" s="425"/>
      <c r="E221" s="385"/>
      <c r="F221" s="1255">
        <f>IF(INDEX('Calc-Gantt'!$A$4:$AB$1604,Gantt!H221+1,8)="","",INDEX('Calc-Gantt'!$A$4:$AB$1604,Gantt!H221+1,8))</f>
        <v>42719</v>
      </c>
      <c r="G221" s="1255">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9"/>
      <c r="B222" s="1260"/>
      <c r="C222" s="538"/>
      <c r="D222" s="425"/>
      <c r="E222" s="385"/>
      <c r="F222" s="1255"/>
      <c r="G222" s="1255"/>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9"/>
      <c r="B223" s="1260"/>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9"/>
      <c r="B224" s="1260"/>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9"/>
      <c r="B225" s="1260"/>
      <c r="C225" s="538"/>
      <c r="D225" s="425"/>
      <c r="E225" s="385"/>
      <c r="F225" s="1255">
        <f>IF(INDEX('Calc-Gantt'!$A$4:$AB$1604,Gantt!H221+1,10)="","",INDEX('Calc-Gantt'!$A$4:$AB$1604,Gantt!H221+1,10))</f>
        <v>42719</v>
      </c>
      <c r="G225" s="1255">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9"/>
      <c r="B226" s="1260"/>
      <c r="C226" s="538"/>
      <c r="D226" s="425"/>
      <c r="E226" s="385"/>
      <c r="F226" s="1256"/>
      <c r="G226" s="1256"/>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61"/>
      <c r="B227" s="1262"/>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7" t="str">
        <f>INDEX('Calc-Gantt'!$A$4:$AB$1604,Gantt!H229+1,1)</f>
        <v>1.2.17 - Adminbereich: News/Termine bearbeiten</v>
      </c>
      <c r="B228" s="1258"/>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9"/>
      <c r="B229" s="1260"/>
      <c r="C229" s="538"/>
      <c r="D229" s="425"/>
      <c r="E229" s="385"/>
      <c r="F229" s="1255">
        <f>IF(INDEX('Calc-Gantt'!$A$4:$AB$1604,Gantt!H229+1,8)="","",INDEX('Calc-Gantt'!$A$4:$AB$1604,Gantt!H229+1,8))</f>
        <v>42725</v>
      </c>
      <c r="G229" s="1255">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9"/>
      <c r="B230" s="1260"/>
      <c r="C230" s="538"/>
      <c r="D230" s="425"/>
      <c r="E230" s="385"/>
      <c r="F230" s="1255"/>
      <c r="G230" s="1255"/>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9"/>
      <c r="B231" s="1260"/>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9"/>
      <c r="B232" s="1260"/>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9"/>
      <c r="B233" s="1260"/>
      <c r="C233" s="538"/>
      <c r="D233" s="425"/>
      <c r="E233" s="385"/>
      <c r="F233" s="1255">
        <f>IF(INDEX('Calc-Gantt'!$A$4:$AB$1604,Gantt!H229+1,10)="","",INDEX('Calc-Gantt'!$A$4:$AB$1604,Gantt!H229+1,10))</f>
        <v>42725</v>
      </c>
      <c r="G233" s="1255">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9"/>
      <c r="B234" s="1260"/>
      <c r="C234" s="538"/>
      <c r="D234" s="425"/>
      <c r="E234" s="385"/>
      <c r="F234" s="1256"/>
      <c r="G234" s="1256"/>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61"/>
      <c r="B235" s="1262"/>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81" t="str">
        <f>INDEX('Calc-Gantt'!$A$4:$AB$1604,Gantt!H237+1,1)</f>
        <v>1.3 - Zusammenführen der Seitenelemente</v>
      </c>
      <c r="B236" s="1282"/>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83"/>
      <c r="B237" s="1284"/>
      <c r="C237" s="538"/>
      <c r="D237" s="425"/>
      <c r="E237" s="385"/>
      <c r="F237" s="1255">
        <f>IF(INDEX('Calc-Gantt'!$A$4:$AB$1604,Gantt!H237+1,8)="","",INDEX('Calc-Gantt'!$A$4:$AB$1604,Gantt!H237+1,8))</f>
        <v>42795</v>
      </c>
      <c r="G237" s="1255">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83"/>
      <c r="B238" s="1284"/>
      <c r="C238" s="538"/>
      <c r="D238" s="425"/>
      <c r="E238" s="385"/>
      <c r="F238" s="1255"/>
      <c r="G238" s="1255"/>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83"/>
      <c r="B239" s="1284"/>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83"/>
      <c r="B240" s="1284"/>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83"/>
      <c r="B241" s="1284"/>
      <c r="C241" s="538"/>
      <c r="D241" s="425"/>
      <c r="E241" s="385"/>
      <c r="F241" s="1255">
        <f>IF(INDEX('Calc-Gantt'!$A$4:$AB$1604,Gantt!H237+1,10)="","",INDEX('Calc-Gantt'!$A$4:$AB$1604,Gantt!H237+1,10))</f>
        <v>42795</v>
      </c>
      <c r="G241" s="1255">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83"/>
      <c r="B242" s="1284"/>
      <c r="C242" s="538"/>
      <c r="D242" s="425"/>
      <c r="E242" s="385"/>
      <c r="F242" s="1256"/>
      <c r="G242" s="1256"/>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85"/>
      <c r="B243" s="1286"/>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7" t="str">
        <f>INDEX('Calc-Gantt'!$A$4:$AB$1604,Gantt!H245+1,1)</f>
        <v>1.3.1 - Hauptseite</v>
      </c>
      <c r="B244" s="1258"/>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9"/>
      <c r="B245" s="1260"/>
      <c r="C245" s="538"/>
      <c r="D245" s="425"/>
      <c r="E245" s="385"/>
      <c r="F245" s="1255">
        <f>IF(INDEX('Calc-Gantt'!$A$4:$AB$1604,Gantt!H245+1,8)="","",INDEX('Calc-Gantt'!$A$4:$AB$1604,Gantt!H245+1,8))</f>
        <v>42795</v>
      </c>
      <c r="G245" s="1255">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9"/>
      <c r="B246" s="1260"/>
      <c r="C246" s="538"/>
      <c r="D246" s="425"/>
      <c r="E246" s="385"/>
      <c r="F246" s="1255"/>
      <c r="G246" s="1255"/>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9"/>
      <c r="B247" s="1260"/>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9"/>
      <c r="B248" s="1260"/>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9"/>
      <c r="B249" s="1260"/>
      <c r="C249" s="538"/>
      <c r="D249" s="425"/>
      <c r="E249" s="385"/>
      <c r="F249" s="1255">
        <f>IF(INDEX('Calc-Gantt'!$A$4:$AB$1604,Gantt!H245+1,10)="","",INDEX('Calc-Gantt'!$A$4:$AB$1604,Gantt!H245+1,10))</f>
        <v>42795</v>
      </c>
      <c r="G249" s="1255">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9"/>
      <c r="B250" s="1260"/>
      <c r="C250" s="538"/>
      <c r="D250" s="425"/>
      <c r="E250" s="385"/>
      <c r="F250" s="1256"/>
      <c r="G250" s="1256"/>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61"/>
      <c r="B251" s="1262"/>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7" t="str">
        <f>INDEX('Calc-Gantt'!$A$4:$AB$1604,Gantt!H253+1,1)</f>
        <v>1.3.2 - Menü News/Termine</v>
      </c>
      <c r="B252" s="1258"/>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9"/>
      <c r="B253" s="1260"/>
      <c r="C253" s="538"/>
      <c r="D253" s="425"/>
      <c r="E253" s="385"/>
      <c r="F253" s="1255">
        <f>IF(INDEX('Calc-Gantt'!$A$4:$AB$1604,Gantt!H253+1,8)="","",INDEX('Calc-Gantt'!$A$4:$AB$1604,Gantt!H253+1,8))</f>
        <v>42795</v>
      </c>
      <c r="G253" s="1255">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9"/>
      <c r="B254" s="1260"/>
      <c r="C254" s="538"/>
      <c r="D254" s="425"/>
      <c r="E254" s="385"/>
      <c r="F254" s="1255"/>
      <c r="G254" s="1255"/>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9"/>
      <c r="B255" s="1260"/>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9"/>
      <c r="B256" s="1260"/>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9"/>
      <c r="B257" s="1260"/>
      <c r="C257" s="538"/>
      <c r="D257" s="425"/>
      <c r="E257" s="385"/>
      <c r="F257" s="1255">
        <f>IF(INDEX('Calc-Gantt'!$A$4:$AB$1604,Gantt!H253+1,10)="","",INDEX('Calc-Gantt'!$A$4:$AB$1604,Gantt!H253+1,10))</f>
        <v>42795</v>
      </c>
      <c r="G257" s="1255">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9"/>
      <c r="B258" s="1260"/>
      <c r="C258" s="538"/>
      <c r="D258" s="425"/>
      <c r="E258" s="385"/>
      <c r="F258" s="1256"/>
      <c r="G258" s="1256"/>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61"/>
      <c r="B259" s="1262"/>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81" t="str">
        <f>INDEX('Calc-Gantt'!$A$4:$AB$1604,Gantt!H261+1,1)</f>
        <v>1.4 - Google Dienste</v>
      </c>
      <c r="B260" s="1282"/>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83"/>
      <c r="B261" s="1284"/>
      <c r="C261" s="538"/>
      <c r="D261" s="425"/>
      <c r="E261" s="385"/>
      <c r="F261" s="1255">
        <f>IF(INDEX('Calc-Gantt'!$A$4:$AB$1604,Gantt!H261+1,8)="","",INDEX('Calc-Gantt'!$A$4:$AB$1604,Gantt!H261+1,8))</f>
        <v>42690</v>
      </c>
      <c r="G261" s="1255">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83"/>
      <c r="B262" s="1284"/>
      <c r="C262" s="538"/>
      <c r="D262" s="425"/>
      <c r="E262" s="385"/>
      <c r="F262" s="1255"/>
      <c r="G262" s="1255"/>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83"/>
      <c r="B263" s="1284"/>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83"/>
      <c r="B264" s="1284"/>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83"/>
      <c r="B265" s="1284"/>
      <c r="C265" s="538"/>
      <c r="D265" s="425"/>
      <c r="E265" s="385"/>
      <c r="F265" s="1255">
        <f>IF(INDEX('Calc-Gantt'!$A$4:$AB$1604,Gantt!H261+1,10)="","",INDEX('Calc-Gantt'!$A$4:$AB$1604,Gantt!H261+1,10))</f>
        <v>42690</v>
      </c>
      <c r="G265" s="1255">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83"/>
      <c r="B266" s="1284"/>
      <c r="C266" s="538"/>
      <c r="D266" s="425"/>
      <c r="E266" s="385"/>
      <c r="F266" s="1256"/>
      <c r="G266" s="1256"/>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85"/>
      <c r="B267" s="1286"/>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7" t="str">
        <f>INDEX('Calc-Gantt'!$A$4:$AB$1604,Gantt!H269+1,1)</f>
        <v>1.4.1 - Google Einarbeitung</v>
      </c>
      <c r="B268" s="1258"/>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9"/>
      <c r="B269" s="1260"/>
      <c r="C269" s="538"/>
      <c r="D269" s="425"/>
      <c r="E269" s="385"/>
      <c r="F269" s="1255">
        <f>IF(INDEX('Calc-Gantt'!$A$4:$AB$1604,Gantt!H269+1,8)="","",INDEX('Calc-Gantt'!$A$4:$AB$1604,Gantt!H269+1,8))</f>
        <v>42690</v>
      </c>
      <c r="G269" s="1255">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9"/>
      <c r="B270" s="1260"/>
      <c r="C270" s="538"/>
      <c r="D270" s="425"/>
      <c r="E270" s="385"/>
      <c r="F270" s="1255"/>
      <c r="G270" s="1255"/>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9"/>
      <c r="B271" s="1260"/>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9"/>
      <c r="B272" s="1260"/>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9"/>
      <c r="B273" s="1260"/>
      <c r="C273" s="538"/>
      <c r="D273" s="425"/>
      <c r="E273" s="385"/>
      <c r="F273" s="1255">
        <f>IF(INDEX('Calc-Gantt'!$A$4:$AB$1604,Gantt!H269+1,10)="","",INDEX('Calc-Gantt'!$A$4:$AB$1604,Gantt!H269+1,10))</f>
        <v>42690</v>
      </c>
      <c r="G273" s="1255">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9"/>
      <c r="B274" s="1260"/>
      <c r="C274" s="538"/>
      <c r="D274" s="425"/>
      <c r="E274" s="385"/>
      <c r="F274" s="1256"/>
      <c r="G274" s="1256"/>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61"/>
      <c r="B275" s="1262"/>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7" t="str">
        <f>INDEX('Calc-Gantt'!$A$4:$AB$1604,Gantt!H277+1,1)</f>
        <v>1.4.2 - Google Kalender</v>
      </c>
      <c r="B276" s="1258"/>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9"/>
      <c r="B277" s="1260"/>
      <c r="C277" s="538"/>
      <c r="D277" s="425"/>
      <c r="E277" s="385"/>
      <c r="F277" s="1255">
        <f>IF(INDEX('Calc-Gantt'!$A$4:$AB$1604,Gantt!H277+1,8)="","",INDEX('Calc-Gantt'!$A$4:$AB$1604,Gantt!H277+1,8))</f>
        <v>42704</v>
      </c>
      <c r="G277" s="1255">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9"/>
      <c r="B278" s="1260"/>
      <c r="C278" s="538"/>
      <c r="D278" s="425"/>
      <c r="E278" s="385"/>
      <c r="F278" s="1255"/>
      <c r="G278" s="1255"/>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9"/>
      <c r="B279" s="1260"/>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9"/>
      <c r="B280" s="1260"/>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9"/>
      <c r="B281" s="1260"/>
      <c r="C281" s="538"/>
      <c r="D281" s="425"/>
      <c r="E281" s="385"/>
      <c r="F281" s="1255">
        <f>IF(INDEX('Calc-Gantt'!$A$4:$AB$1604,Gantt!H277+1,10)="","",INDEX('Calc-Gantt'!$A$4:$AB$1604,Gantt!H277+1,10))</f>
        <v>42704</v>
      </c>
      <c r="G281" s="1255">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9"/>
      <c r="B282" s="1260"/>
      <c r="C282" s="538"/>
      <c r="D282" s="425"/>
      <c r="E282" s="385"/>
      <c r="F282" s="1256"/>
      <c r="G282" s="1256"/>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61"/>
      <c r="B283" s="1262"/>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7" t="str">
        <f>INDEX('Calc-Gantt'!$A$4:$AB$1604,Gantt!H285+1,1)</f>
        <v>1.4.3 - Google Drive</v>
      </c>
      <c r="B284" s="1258"/>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9"/>
      <c r="B285" s="1260"/>
      <c r="C285" s="538"/>
      <c r="D285" s="425"/>
      <c r="E285" s="385"/>
      <c r="F285" s="1255">
        <f>IF(INDEX('Calc-Gantt'!$A$4:$AB$1604,Gantt!H285+1,8)="","",INDEX('Calc-Gantt'!$A$4:$AB$1604,Gantt!H285+1,8))</f>
        <v>42753</v>
      </c>
      <c r="G285" s="1255">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9"/>
      <c r="B286" s="1260"/>
      <c r="C286" s="538"/>
      <c r="D286" s="425"/>
      <c r="E286" s="385"/>
      <c r="F286" s="1255"/>
      <c r="G286" s="1255"/>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9"/>
      <c r="B287" s="1260"/>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9"/>
      <c r="B288" s="1260"/>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9"/>
      <c r="B289" s="1260"/>
      <c r="C289" s="538"/>
      <c r="D289" s="425"/>
      <c r="E289" s="385"/>
      <c r="F289" s="1255">
        <f>IF(INDEX('Calc-Gantt'!$A$4:$AB$1604,Gantt!H285+1,10)="","",INDEX('Calc-Gantt'!$A$4:$AB$1604,Gantt!H285+1,10))</f>
        <v>42753</v>
      </c>
      <c r="G289" s="1255">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9"/>
      <c r="B290" s="1260"/>
      <c r="C290" s="538"/>
      <c r="D290" s="425"/>
      <c r="E290" s="385"/>
      <c r="F290" s="1256"/>
      <c r="G290" s="1256"/>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61"/>
      <c r="B291" s="1262"/>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81" t="str">
        <f>INDEX('Calc-Gantt'!$A$4:$AB$1604,Gantt!H293+1,1)</f>
        <v>1.5 - Datenbank</v>
      </c>
      <c r="B292" s="1282"/>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83"/>
      <c r="B293" s="1284"/>
      <c r="C293" s="538"/>
      <c r="D293" s="425"/>
      <c r="E293" s="385"/>
      <c r="F293" s="1255">
        <f>IF(INDEX('Calc-Gantt'!$A$4:$AB$1604,Gantt!H293+1,8)="","",INDEX('Calc-Gantt'!$A$4:$AB$1604,Gantt!H293+1,8))</f>
        <v>42704</v>
      </c>
      <c r="G293" s="1255">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83"/>
      <c r="B294" s="1284"/>
      <c r="C294" s="538"/>
      <c r="D294" s="425"/>
      <c r="E294" s="385"/>
      <c r="F294" s="1255"/>
      <c r="G294" s="1255"/>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83"/>
      <c r="B295" s="1284"/>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83"/>
      <c r="B296" s="1284"/>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83"/>
      <c r="B297" s="1284"/>
      <c r="C297" s="538"/>
      <c r="D297" s="425"/>
      <c r="E297" s="385"/>
      <c r="F297" s="1255">
        <f>IF(INDEX('Calc-Gantt'!$A$4:$AB$1604,Gantt!H293+1,10)="","",INDEX('Calc-Gantt'!$A$4:$AB$1604,Gantt!H293+1,10))</f>
        <v>42704</v>
      </c>
      <c r="G297" s="1255">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83"/>
      <c r="B298" s="1284"/>
      <c r="C298" s="538"/>
      <c r="D298" s="425"/>
      <c r="E298" s="385"/>
      <c r="F298" s="1256"/>
      <c r="G298" s="1256"/>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85"/>
      <c r="B299" s="1286"/>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7" t="str">
        <f>INDEX('Calc-Gantt'!$A$4:$AB$1604,Gantt!H301+1,1)</f>
        <v>1.5.1 - Datenbank Administration</v>
      </c>
      <c r="B300" s="1258"/>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9"/>
      <c r="B301" s="1260"/>
      <c r="C301" s="538"/>
      <c r="D301" s="425"/>
      <c r="E301" s="385"/>
      <c r="F301" s="1255">
        <f>IF(INDEX('Calc-Gantt'!$A$4:$AB$1604,Gantt!H301+1,8)="","",INDEX('Calc-Gantt'!$A$4:$AB$1604,Gantt!H301+1,8))</f>
        <v>42704</v>
      </c>
      <c r="G301" s="1255">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9"/>
      <c r="B302" s="1260"/>
      <c r="C302" s="538"/>
      <c r="D302" s="425"/>
      <c r="E302" s="385"/>
      <c r="F302" s="1255"/>
      <c r="G302" s="1255"/>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9"/>
      <c r="B303" s="1260"/>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9"/>
      <c r="B304" s="1260"/>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9"/>
      <c r="B305" s="1260"/>
      <c r="C305" s="538"/>
      <c r="D305" s="425"/>
      <c r="E305" s="385"/>
      <c r="F305" s="1255">
        <f>IF(INDEX('Calc-Gantt'!$A$4:$AB$1604,Gantt!H301+1,10)="","",INDEX('Calc-Gantt'!$A$4:$AB$1604,Gantt!H301+1,10))</f>
        <v>42704</v>
      </c>
      <c r="G305" s="1255">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9"/>
      <c r="B306" s="1260"/>
      <c r="C306" s="538"/>
      <c r="D306" s="425"/>
      <c r="E306" s="385"/>
      <c r="F306" s="1256"/>
      <c r="G306" s="1256"/>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61"/>
      <c r="B307" s="1262"/>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81" t="str">
        <f>INDEX('Calc-Gantt'!$A$4:$AB$1604,Gantt!H309+1,1)</f>
        <v>1.6 - Nacharbeiten</v>
      </c>
      <c r="B308" s="1282"/>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83"/>
      <c r="B309" s="1284"/>
      <c r="C309" s="538"/>
      <c r="D309" s="425"/>
      <c r="E309" s="385"/>
      <c r="F309" s="1255">
        <f>IF(INDEX('Calc-Gantt'!$A$4:$AB$1604,Gantt!H309+1,8)="","",INDEX('Calc-Gantt'!$A$4:$AB$1604,Gantt!H309+1,8))</f>
        <v>42810</v>
      </c>
      <c r="G309" s="1255">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83"/>
      <c r="B310" s="1284"/>
      <c r="C310" s="538"/>
      <c r="D310" s="425"/>
      <c r="E310" s="385"/>
      <c r="F310" s="1255"/>
      <c r="G310" s="1255"/>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83"/>
      <c r="B311" s="1284"/>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83"/>
      <c r="B312" s="1284"/>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83"/>
      <c r="B313" s="1284"/>
      <c r="C313" s="538"/>
      <c r="D313" s="425"/>
      <c r="E313" s="385"/>
      <c r="F313" s="1255">
        <f>IF(INDEX('Calc-Gantt'!$A$4:$AB$1604,Gantt!H309+1,10)="","",INDEX('Calc-Gantt'!$A$4:$AB$1604,Gantt!H309+1,10))</f>
        <v>42810</v>
      </c>
      <c r="G313" s="1255">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83"/>
      <c r="B314" s="1284"/>
      <c r="C314" s="538"/>
      <c r="D314" s="425"/>
      <c r="E314" s="385"/>
      <c r="F314" s="1256"/>
      <c r="G314" s="1256"/>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85"/>
      <c r="B315" s="1286"/>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7" t="str">
        <f>INDEX('Calc-Gantt'!$A$4:$AB$1604,Gantt!H317+1,1)</f>
        <v>1.6.1 - Fehlerbehebungen</v>
      </c>
      <c r="B316" s="1258"/>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9"/>
      <c r="B317" s="1260"/>
      <c r="C317" s="538"/>
      <c r="D317" s="425"/>
      <c r="E317" s="385"/>
      <c r="F317" s="1255">
        <f>IF(INDEX('Calc-Gantt'!$A$4:$AB$1604,Gantt!H317+1,8)="","",INDEX('Calc-Gantt'!$A$4:$AB$1604,Gantt!H317+1,8))</f>
        <v>42810</v>
      </c>
      <c r="G317" s="1255">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9"/>
      <c r="B318" s="1260"/>
      <c r="C318" s="538"/>
      <c r="D318" s="425"/>
      <c r="E318" s="385"/>
      <c r="F318" s="1255"/>
      <c r="G318" s="1255"/>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9"/>
      <c r="B319" s="1260"/>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9"/>
      <c r="B320" s="1260"/>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9"/>
      <c r="B321" s="1260"/>
      <c r="C321" s="538"/>
      <c r="D321" s="425"/>
      <c r="E321" s="385"/>
      <c r="F321" s="1255">
        <f>IF(INDEX('Calc-Gantt'!$A$4:$AB$1604,Gantt!H317+1,10)="","",INDEX('Calc-Gantt'!$A$4:$AB$1604,Gantt!H317+1,10))</f>
        <v>42810</v>
      </c>
      <c r="G321" s="1255">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9"/>
      <c r="B322" s="1260"/>
      <c r="C322" s="538"/>
      <c r="D322" s="425"/>
      <c r="E322" s="385"/>
      <c r="F322" s="1256"/>
      <c r="G322" s="1256"/>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61"/>
      <c r="B323" s="1262"/>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81" t="str">
        <f>INDEX('Calc-Gantt'!$A$4:$AB$1604,Gantt!H325+1,1)</f>
        <v>1.7 - Bereits geleistete Stunden vor Neuplanung</v>
      </c>
      <c r="B324" s="1282"/>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83"/>
      <c r="B325" s="1284"/>
      <c r="C325" s="538"/>
      <c r="D325" s="425"/>
      <c r="E325" s="385"/>
      <c r="F325" s="1255">
        <f>IF(INDEX('Calc-Gantt'!$A$4:$AB$1604,Gantt!H325+1,8)="","",INDEX('Calc-Gantt'!$A$4:$AB$1604,Gantt!H325+1,8))</f>
        <v>42635</v>
      </c>
      <c r="G325" s="1255">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83"/>
      <c r="B326" s="1284"/>
      <c r="C326" s="538"/>
      <c r="D326" s="425"/>
      <c r="E326" s="385"/>
      <c r="F326" s="1255"/>
      <c r="G326" s="1255"/>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83"/>
      <c r="B327" s="1284"/>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83"/>
      <c r="B328" s="1284"/>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83"/>
      <c r="B329" s="1284"/>
      <c r="C329" s="538"/>
      <c r="D329" s="425"/>
      <c r="E329" s="385"/>
      <c r="F329" s="1255">
        <f>IF(INDEX('Calc-Gantt'!$A$4:$AB$1604,Gantt!H325+1,10)="","",INDEX('Calc-Gantt'!$A$4:$AB$1604,Gantt!H325+1,10))</f>
        <v>42635</v>
      </c>
      <c r="G329" s="1255">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83"/>
      <c r="B330" s="1284"/>
      <c r="C330" s="538"/>
      <c r="D330" s="425"/>
      <c r="E330" s="385"/>
      <c r="F330" s="1256"/>
      <c r="G330" s="1256"/>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85"/>
      <c r="B331" s="1286"/>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7" t="str">
        <f>INDEX('Calc-Gantt'!$A$4:$AB$1604,Gantt!H333+1,1)</f>
        <v>1.7.1 - Mandl</v>
      </c>
      <c r="B332" s="1258"/>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9"/>
      <c r="B333" s="1260"/>
      <c r="C333" s="538"/>
      <c r="D333" s="425"/>
      <c r="E333" s="385"/>
      <c r="F333" s="1255">
        <f>IF(INDEX('Calc-Gantt'!$A$4:$AB$1604,Gantt!H333+1,8)="","",INDEX('Calc-Gantt'!$A$4:$AB$1604,Gantt!H333+1,8))</f>
        <v>42635</v>
      </c>
      <c r="G333" s="1255">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9"/>
      <c r="B334" s="1260"/>
      <c r="C334" s="538"/>
      <c r="D334" s="425"/>
      <c r="E334" s="385"/>
      <c r="F334" s="1255"/>
      <c r="G334" s="1255"/>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9"/>
      <c r="B335" s="1260"/>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9"/>
      <c r="B336" s="1260"/>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9"/>
      <c r="B337" s="1260"/>
      <c r="C337" s="538"/>
      <c r="D337" s="425"/>
      <c r="E337" s="385"/>
      <c r="F337" s="1255">
        <f>IF(INDEX('Calc-Gantt'!$A$4:$AB$1604,Gantt!H333+1,10)="","",INDEX('Calc-Gantt'!$A$4:$AB$1604,Gantt!H333+1,10))</f>
        <v>42635</v>
      </c>
      <c r="G337" s="1255">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9"/>
      <c r="B338" s="1260"/>
      <c r="C338" s="538"/>
      <c r="D338" s="425"/>
      <c r="E338" s="385"/>
      <c r="F338" s="1256"/>
      <c r="G338" s="1256"/>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61"/>
      <c r="B339" s="1262"/>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7" t="str">
        <f>INDEX('Calc-Gantt'!$A$4:$AB$1604,Gantt!H341+1,1)</f>
        <v>1.7.2 - Graf</v>
      </c>
      <c r="B340" s="1258"/>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9"/>
      <c r="B341" s="1260"/>
      <c r="C341" s="538"/>
      <c r="D341" s="425"/>
      <c r="E341" s="385"/>
      <c r="F341" s="1255">
        <f>IF(INDEX('Calc-Gantt'!$A$4:$AB$1604,Gantt!H341+1,8)="","",INDEX('Calc-Gantt'!$A$4:$AB$1604,Gantt!H341+1,8))</f>
        <v>42635</v>
      </c>
      <c r="G341" s="1255">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9"/>
      <c r="B342" s="1260"/>
      <c r="C342" s="538"/>
      <c r="D342" s="425"/>
      <c r="E342" s="385"/>
      <c r="F342" s="1255"/>
      <c r="G342" s="1255"/>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9"/>
      <c r="B343" s="1260"/>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9"/>
      <c r="B344" s="1260"/>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9"/>
      <c r="B345" s="1260"/>
      <c r="C345" s="538"/>
      <c r="D345" s="425"/>
      <c r="E345" s="385"/>
      <c r="F345" s="1255">
        <f>IF(INDEX('Calc-Gantt'!$A$4:$AB$1604,Gantt!H341+1,10)="","",INDEX('Calc-Gantt'!$A$4:$AB$1604,Gantt!H341+1,10))</f>
        <v>42635</v>
      </c>
      <c r="G345" s="1255">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9"/>
      <c r="B346" s="1260"/>
      <c r="C346" s="538"/>
      <c r="D346" s="425"/>
      <c r="E346" s="385"/>
      <c r="F346" s="1256"/>
      <c r="G346" s="1256"/>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61"/>
      <c r="B347" s="1262"/>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A340:B347"/>
    <mergeCell ref="F341:F342"/>
    <mergeCell ref="G341:G342"/>
    <mergeCell ref="F345:F346"/>
    <mergeCell ref="G345:G346"/>
    <mergeCell ref="A332:B339"/>
    <mergeCell ref="F333:F334"/>
    <mergeCell ref="G333:G334"/>
    <mergeCell ref="F337:F338"/>
    <mergeCell ref="G337:G338"/>
    <mergeCell ref="A324:B331"/>
    <mergeCell ref="F325:F326"/>
    <mergeCell ref="G325:G326"/>
    <mergeCell ref="F329:F330"/>
    <mergeCell ref="G329:G330"/>
    <mergeCell ref="A316:B323"/>
    <mergeCell ref="F317:F318"/>
    <mergeCell ref="G317:G318"/>
    <mergeCell ref="F321:F322"/>
    <mergeCell ref="G321:G322"/>
    <mergeCell ref="A308:B315"/>
    <mergeCell ref="F309:F310"/>
    <mergeCell ref="G309:G310"/>
    <mergeCell ref="F313:F314"/>
    <mergeCell ref="G313:G314"/>
    <mergeCell ref="A300:B307"/>
    <mergeCell ref="F301:F302"/>
    <mergeCell ref="G301:G302"/>
    <mergeCell ref="F305:F306"/>
    <mergeCell ref="G305:G306"/>
    <mergeCell ref="A292:B299"/>
    <mergeCell ref="F293:F294"/>
    <mergeCell ref="G293:G294"/>
    <mergeCell ref="F297:F298"/>
    <mergeCell ref="G297:G298"/>
    <mergeCell ref="A284:B291"/>
    <mergeCell ref="F285:F286"/>
    <mergeCell ref="G285:G286"/>
    <mergeCell ref="F289:F290"/>
    <mergeCell ref="G289:G290"/>
    <mergeCell ref="A276:B283"/>
    <mergeCell ref="F277:F278"/>
    <mergeCell ref="G277:G278"/>
    <mergeCell ref="F281:F282"/>
    <mergeCell ref="G281:G282"/>
    <mergeCell ref="A268:B275"/>
    <mergeCell ref="F269:F270"/>
    <mergeCell ref="G269:G270"/>
    <mergeCell ref="F273:F274"/>
    <mergeCell ref="G273:G274"/>
    <mergeCell ref="A260:B267"/>
    <mergeCell ref="F261:F262"/>
    <mergeCell ref="G261:G262"/>
    <mergeCell ref="F265:F266"/>
    <mergeCell ref="G265:G266"/>
    <mergeCell ref="A252:B259"/>
    <mergeCell ref="F253:F254"/>
    <mergeCell ref="G253:G254"/>
    <mergeCell ref="F257:F258"/>
    <mergeCell ref="G257:G258"/>
    <mergeCell ref="A244:B251"/>
    <mergeCell ref="F245:F246"/>
    <mergeCell ref="G245:G246"/>
    <mergeCell ref="F249:F250"/>
    <mergeCell ref="G249:G250"/>
    <mergeCell ref="A236:B243"/>
    <mergeCell ref="F237:F238"/>
    <mergeCell ref="G237:G238"/>
    <mergeCell ref="F241:F242"/>
    <mergeCell ref="G241:G242"/>
    <mergeCell ref="A228:B235"/>
    <mergeCell ref="F229:F230"/>
    <mergeCell ref="G229:G230"/>
    <mergeCell ref="F233:F234"/>
    <mergeCell ref="G233:G234"/>
    <mergeCell ref="A220:B227"/>
    <mergeCell ref="F221:F222"/>
    <mergeCell ref="G221:G222"/>
    <mergeCell ref="F225:F226"/>
    <mergeCell ref="G225:G226"/>
    <mergeCell ref="A212:B219"/>
    <mergeCell ref="F213:F214"/>
    <mergeCell ref="G213:G214"/>
    <mergeCell ref="F217:F218"/>
    <mergeCell ref="G217:G218"/>
    <mergeCell ref="A204:B211"/>
    <mergeCell ref="F205:F206"/>
    <mergeCell ref="G205:G206"/>
    <mergeCell ref="F209:F210"/>
    <mergeCell ref="G209:G210"/>
    <mergeCell ref="A196:B203"/>
    <mergeCell ref="F197:F198"/>
    <mergeCell ref="G197:G198"/>
    <mergeCell ref="F201:F202"/>
    <mergeCell ref="G201:G202"/>
    <mergeCell ref="A188:B195"/>
    <mergeCell ref="F189:F190"/>
    <mergeCell ref="G189:G190"/>
    <mergeCell ref="F193:F194"/>
    <mergeCell ref="G193:G194"/>
    <mergeCell ref="A180:B187"/>
    <mergeCell ref="F181:F182"/>
    <mergeCell ref="G181:G182"/>
    <mergeCell ref="F185:F186"/>
    <mergeCell ref="G185:G186"/>
    <mergeCell ref="A172:B179"/>
    <mergeCell ref="F173:F174"/>
    <mergeCell ref="G173:G174"/>
    <mergeCell ref="F177:F178"/>
    <mergeCell ref="G177:G178"/>
    <mergeCell ref="A164:B171"/>
    <mergeCell ref="F165:F166"/>
    <mergeCell ref="G165:G166"/>
    <mergeCell ref="F169:F170"/>
    <mergeCell ref="G169:G170"/>
    <mergeCell ref="A156:B163"/>
    <mergeCell ref="F157:F158"/>
    <mergeCell ref="G157:G158"/>
    <mergeCell ref="F161:F162"/>
    <mergeCell ref="G161:G162"/>
    <mergeCell ref="A148:B155"/>
    <mergeCell ref="F149:F150"/>
    <mergeCell ref="G149:G150"/>
    <mergeCell ref="F153:F154"/>
    <mergeCell ref="G153:G154"/>
    <mergeCell ref="A140:B147"/>
    <mergeCell ref="F141:F142"/>
    <mergeCell ref="G141:G142"/>
    <mergeCell ref="F145:F146"/>
    <mergeCell ref="G145:G146"/>
    <mergeCell ref="A132:B139"/>
    <mergeCell ref="F133:F134"/>
    <mergeCell ref="G133:G134"/>
    <mergeCell ref="F137:F138"/>
    <mergeCell ref="G137:G138"/>
    <mergeCell ref="A124:B131"/>
    <mergeCell ref="F125:F126"/>
    <mergeCell ref="G125:G126"/>
    <mergeCell ref="F129:F130"/>
    <mergeCell ref="G129:G130"/>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H13:H14"/>
    <mergeCell ref="F26:G26"/>
    <mergeCell ref="G33:G34"/>
    <mergeCell ref="A13:B20"/>
    <mergeCell ref="C13:C14"/>
    <mergeCell ref="F14:F15"/>
    <mergeCell ref="G14:G15"/>
    <mergeCell ref="F18:F19"/>
    <mergeCell ref="G18:G19"/>
    <mergeCell ref="A28:B35"/>
    <mergeCell ref="F29:F30"/>
    <mergeCell ref="G29:G30"/>
    <mergeCell ref="F33:F34"/>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30" t="str">
        <f>nlc_Language(Language!$E$3,"personnel") &amp;" &amp; "&amp; nlc_Language(Language!$E$3,"costs")</f>
        <v>Ressourcen &amp; Kosten</v>
      </c>
      <c r="B2" s="1322"/>
      <c r="C2" s="1322"/>
      <c r="D2" s="1322"/>
      <c r="E2" s="1322"/>
      <c r="F2" s="1322"/>
      <c r="G2" s="1322"/>
      <c r="H2" s="1322"/>
      <c r="I2" s="1322"/>
      <c r="J2" s="1322"/>
      <c r="K2" s="1322"/>
      <c r="L2" s="1322"/>
      <c r="M2" s="1322"/>
      <c r="N2" s="1322"/>
      <c r="O2" s="1322"/>
      <c r="P2" s="1322"/>
      <c r="Q2" s="1322"/>
      <c r="R2" s="1323"/>
    </row>
    <row r="3" spans="1:18" s="49" customFormat="1" ht="18" x14ac:dyDescent="0.25">
      <c r="A3" s="1041" t="str">
        <f>'Calc-Master'!AQ11</f>
        <v>HP Chor Pollham mit Notenarchiv</v>
      </c>
      <c r="B3" s="1324"/>
      <c r="C3" s="1324"/>
      <c r="D3" s="1324"/>
      <c r="E3" s="1324"/>
      <c r="F3" s="1324"/>
      <c r="G3" s="1324"/>
      <c r="H3" s="1324"/>
      <c r="I3" s="1324"/>
      <c r="J3" s="1324"/>
      <c r="K3" s="1324"/>
      <c r="L3" s="1324"/>
      <c r="M3" s="1324"/>
      <c r="N3" s="1324"/>
      <c r="O3" s="1324"/>
      <c r="P3" s="1324"/>
      <c r="Q3" s="1324"/>
      <c r="R3" s="1325"/>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287" t="str">
        <f>nlc_Language(Language!$E$3,"res_overview") &amp; " (" &amp; 'Calc-Master'!AW19&amp; ")"</f>
        <v>Ressourcenübersicht (PT)</v>
      </c>
      <c r="C6" s="1288"/>
      <c r="D6" s="1288"/>
      <c r="E6" s="1289"/>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28" t="str">
        <f>VLOOKUP("base2",sprachtabelle,4,FALSE)</f>
        <v>Basis</v>
      </c>
      <c r="D8" s="1329"/>
      <c r="E8" s="1330"/>
      <c r="F8" s="254"/>
      <c r="G8" s="1326">
        <f>basis_res</f>
        <v>254</v>
      </c>
      <c r="H8" s="1327"/>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31" t="str">
        <f>VLOOKUP("actual (1)",sprachtabelle,4,FALSE)</f>
        <v>Ist</v>
      </c>
      <c r="D10" s="1332"/>
      <c r="E10" s="1333"/>
      <c r="F10" s="254"/>
      <c r="G10" s="1334">
        <f>ist_res</f>
        <v>105.5</v>
      </c>
      <c r="H10" s="1335"/>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38" t="str">
        <f>VLOOKUP("to complete",sprachtabelle,4,FALSE)</f>
        <v>Rest</v>
      </c>
      <c r="D12" s="1339"/>
      <c r="E12" s="1340"/>
      <c r="F12" s="254"/>
      <c r="G12" s="1336">
        <f>G14-G10</f>
        <v>148.5</v>
      </c>
      <c r="H12" s="1337"/>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41" t="str">
        <f>VLOOKUP("current plan",sprachtabelle,4,FALSE)</f>
        <v>Aktueller Plan</v>
      </c>
      <c r="D14" s="1342"/>
      <c r="E14" s="1343"/>
      <c r="F14" s="254"/>
      <c r="G14" s="1318">
        <f>akt_res</f>
        <v>254</v>
      </c>
      <c r="H14" s="1319"/>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315" t="str">
        <f>VLOOKUP("deviation",sprachtabelle,4,FALSE)</f>
        <v>Abweichung</v>
      </c>
      <c r="D16" s="1316"/>
      <c r="E16" s="1317"/>
      <c r="F16" s="254"/>
      <c r="G16" s="1320">
        <f>G14-G8</f>
        <v>0</v>
      </c>
      <c r="H16" s="1321"/>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287" t="str">
        <f>VLOOKUP("res_distr",sprachtabelle,4,FALSE) &amp; " (" &amp; 'Calc-Master'!AW19&amp; ")"</f>
        <v>Ressourcenverteilung (PT)</v>
      </c>
      <c r="C19" s="1288"/>
      <c r="D19" s="1288"/>
      <c r="E19" s="1289"/>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287" t="str">
        <f>nlc_Language(Language!$E$3,"cost_overview") &amp; " ("&amp;'Calc-Master'!AW20&amp;")"</f>
        <v>Kostenübersicht (€)</v>
      </c>
      <c r="C24" s="1288"/>
      <c r="D24" s="1288"/>
      <c r="E24" s="1289"/>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05" t="str">
        <f>C8</f>
        <v>Basis</v>
      </c>
      <c r="D26" s="1306"/>
      <c r="E26" s="1307"/>
      <c r="F26" s="248"/>
      <c r="G26" s="1308">
        <f>basis_cost</f>
        <v>8890</v>
      </c>
      <c r="H26" s="1309"/>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10" t="str">
        <f>C10</f>
        <v>Ist</v>
      </c>
      <c r="D28" s="1311"/>
      <c r="E28" s="1312"/>
      <c r="F28" s="248"/>
      <c r="G28" s="1313">
        <f>ist_cost</f>
        <v>3692.5</v>
      </c>
      <c r="H28" s="1314"/>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295" t="str">
        <f>C12</f>
        <v>Rest</v>
      </c>
      <c r="D30" s="1296"/>
      <c r="E30" s="1297"/>
      <c r="F30" s="248"/>
      <c r="G30" s="1298">
        <f>G32-G28</f>
        <v>5197.5</v>
      </c>
      <c r="H30" s="1299"/>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00" t="str">
        <f>C14</f>
        <v>Aktueller Plan</v>
      </c>
      <c r="D32" s="1301"/>
      <c r="E32" s="1302"/>
      <c r="F32" s="248"/>
      <c r="G32" s="1303">
        <f>akt_cost</f>
        <v>8890</v>
      </c>
      <c r="H32" s="1304"/>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290" t="str">
        <f>C16</f>
        <v>Abweichung</v>
      </c>
      <c r="D34" s="1291"/>
      <c r="E34" s="1292"/>
      <c r="F34" s="248"/>
      <c r="G34" s="1293">
        <f>G32-G26</f>
        <v>0</v>
      </c>
      <c r="H34" s="1294"/>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287" t="str">
        <f>nlc_Language(Language!$E$3,"cost_distr")&amp; " ("&amp;'Calc-Master'!AW20&amp;")"</f>
        <v>Kostenverteilung (€)</v>
      </c>
      <c r="C37" s="1288"/>
      <c r="D37" s="1288"/>
      <c r="E37" s="1289"/>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C16:E16"/>
    <mergeCell ref="G14:H14"/>
    <mergeCell ref="G16:H16"/>
    <mergeCell ref="A2:R2"/>
    <mergeCell ref="A3:R3"/>
    <mergeCell ref="G8:H8"/>
    <mergeCell ref="C8:E8"/>
    <mergeCell ref="C10:E10"/>
    <mergeCell ref="B6:E6"/>
    <mergeCell ref="G10:H10"/>
    <mergeCell ref="G12:H12"/>
    <mergeCell ref="C12:E12"/>
    <mergeCell ref="C14:E14"/>
    <mergeCell ref="B19:E19"/>
    <mergeCell ref="C34:E34"/>
    <mergeCell ref="G34:H34"/>
    <mergeCell ref="B37:E37"/>
    <mergeCell ref="C30:E30"/>
    <mergeCell ref="G30:H30"/>
    <mergeCell ref="C32:E32"/>
    <mergeCell ref="G32:H32"/>
    <mergeCell ref="B24:E24"/>
    <mergeCell ref="C26:E26"/>
    <mergeCell ref="G26:H26"/>
    <mergeCell ref="C28:E28"/>
    <mergeCell ref="G28:H28"/>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42754</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6"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7" t="str">
        <f>'Calc-Master'!AQ11 &amp; " " &amp; nlc_Language(Language!$E$3,"at") &amp; "- " &amp; nlc_date_txt(Q9)</f>
        <v>HP Chor Pollham mit Notenarchiv - 30.11.2016</v>
      </c>
      <c r="B3" s="1358"/>
      <c r="C3" s="1358"/>
      <c r="D3" s="1358"/>
      <c r="E3" s="1358"/>
      <c r="F3" s="1358"/>
      <c r="G3" s="1358"/>
      <c r="H3" s="1358"/>
      <c r="I3" s="1358"/>
      <c r="J3" s="1358"/>
      <c r="K3" s="1358"/>
      <c r="L3" s="1358"/>
      <c r="M3" s="1358"/>
      <c r="N3" s="1359"/>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60"/>
      <c r="D6" s="1361"/>
      <c r="E6" s="1361"/>
      <c r="F6" s="1361"/>
      <c r="G6" s="1361"/>
      <c r="H6" s="1361"/>
      <c r="I6" s="1361"/>
      <c r="J6" s="1361"/>
      <c r="K6" s="1361"/>
      <c r="L6" s="1361"/>
      <c r="M6" s="1362"/>
      <c r="N6" s="11"/>
      <c r="P6" s="216" t="s">
        <v>392</v>
      </c>
      <c r="Q6" s="216" t="s">
        <v>392</v>
      </c>
      <c r="S6"/>
      <c r="T6"/>
      <c r="U6"/>
      <c r="V6"/>
      <c r="W6"/>
      <c r="X6"/>
      <c r="Y6"/>
      <c r="Z6"/>
      <c r="AA6"/>
      <c r="AB6"/>
      <c r="AC6"/>
    </row>
    <row r="7" spans="1:30" ht="18" customHeight="1" x14ac:dyDescent="0.2">
      <c r="A7" s="15"/>
      <c r="C7" s="1363"/>
      <c r="D7" s="1364"/>
      <c r="E7" s="1364"/>
      <c r="F7" s="1364"/>
      <c r="G7" s="1364"/>
      <c r="H7" s="1364"/>
      <c r="I7" s="1364"/>
      <c r="J7" s="1364"/>
      <c r="K7" s="1364"/>
      <c r="L7" s="1364"/>
      <c r="M7" s="1365"/>
      <c r="N7" s="11"/>
      <c r="P7" s="225" t="str">
        <f>nlc_task(IF($R$4-1=$R$3,C6,Q7))</f>
        <v/>
      </c>
      <c r="Q7" s="582"/>
      <c r="S7"/>
      <c r="T7"/>
      <c r="U7"/>
      <c r="V7"/>
      <c r="W7"/>
      <c r="X7"/>
      <c r="Y7"/>
      <c r="Z7"/>
      <c r="AA7"/>
      <c r="AB7"/>
      <c r="AC7"/>
    </row>
    <row r="8" spans="1:30" ht="18" customHeight="1" x14ac:dyDescent="0.2">
      <c r="A8" s="15"/>
      <c r="B8" s="10"/>
      <c r="C8" s="1363"/>
      <c r="D8" s="1364"/>
      <c r="E8" s="1364"/>
      <c r="F8" s="1364"/>
      <c r="G8" s="1364"/>
      <c r="H8" s="1364"/>
      <c r="I8" s="1364"/>
      <c r="J8" s="1364"/>
      <c r="K8" s="1364"/>
      <c r="L8" s="1364"/>
      <c r="M8" s="1365"/>
      <c r="N8" s="11"/>
      <c r="T8" s="174"/>
      <c r="W8" s="175"/>
    </row>
    <row r="9" spans="1:30" ht="18" customHeight="1" x14ac:dyDescent="0.2">
      <c r="A9" s="15"/>
      <c r="C9" s="1363"/>
      <c r="D9" s="1364"/>
      <c r="E9" s="1364"/>
      <c r="F9" s="1364"/>
      <c r="G9" s="1364"/>
      <c r="H9" s="1364"/>
      <c r="I9" s="1364"/>
      <c r="J9" s="1364"/>
      <c r="K9" s="1364"/>
      <c r="L9" s="1364"/>
      <c r="M9" s="1365"/>
      <c r="N9" s="11"/>
      <c r="P9" s="232" t="s">
        <v>143</v>
      </c>
      <c r="Q9" s="314">
        <v>42704</v>
      </c>
      <c r="T9" s="181"/>
      <c r="U9" s="181"/>
      <c r="V9" s="181"/>
      <c r="W9" s="181"/>
    </row>
    <row r="10" spans="1:30" ht="18" customHeight="1" x14ac:dyDescent="0.2">
      <c r="A10" s="15"/>
      <c r="C10" s="1363"/>
      <c r="D10" s="1364"/>
      <c r="E10" s="1364"/>
      <c r="F10" s="1364"/>
      <c r="G10" s="1364"/>
      <c r="H10" s="1364"/>
      <c r="I10" s="1364"/>
      <c r="J10" s="1364"/>
      <c r="K10" s="1364"/>
      <c r="L10" s="1364"/>
      <c r="M10" s="1365"/>
      <c r="N10" s="11"/>
      <c r="R10" s="209"/>
    </row>
    <row r="11" spans="1:30" ht="18" customHeight="1" x14ac:dyDescent="0.2">
      <c r="A11" s="15"/>
      <c r="C11" s="1363"/>
      <c r="D11" s="1364"/>
      <c r="E11" s="1364"/>
      <c r="F11" s="1364"/>
      <c r="G11" s="1364"/>
      <c r="H11" s="1364"/>
      <c r="I11" s="1364"/>
      <c r="J11" s="1364"/>
      <c r="K11" s="1364"/>
      <c r="L11" s="1364"/>
      <c r="M11" s="1365"/>
      <c r="N11" s="11"/>
      <c r="P11" s="244" t="s">
        <v>1792</v>
      </c>
      <c r="Q11" s="245" t="str">
        <f>IF(status=green,"green",IF(status=yellow,"yellow",IF(status=red,"red","")))</f>
        <v>green</v>
      </c>
    </row>
    <row r="12" spans="1:30" ht="18" customHeight="1" x14ac:dyDescent="0.2">
      <c r="A12" s="15"/>
      <c r="B12" s="10"/>
      <c r="C12" s="1363"/>
      <c r="D12" s="1364"/>
      <c r="E12" s="1364"/>
      <c r="F12" s="1364"/>
      <c r="G12" s="1364"/>
      <c r="H12" s="1364"/>
      <c r="I12" s="1364"/>
      <c r="J12" s="1364"/>
      <c r="K12" s="1364"/>
      <c r="L12" s="1364"/>
      <c r="M12" s="1365"/>
      <c r="N12" s="11"/>
    </row>
    <row r="13" spans="1:30" ht="18" customHeight="1" x14ac:dyDescent="0.2">
      <c r="A13" s="15"/>
      <c r="C13" s="1363"/>
      <c r="D13" s="1364"/>
      <c r="E13" s="1364"/>
      <c r="F13" s="1364"/>
      <c r="G13" s="1364"/>
      <c r="H13" s="1364"/>
      <c r="I13" s="1364"/>
      <c r="J13" s="1364"/>
      <c r="K13" s="1364"/>
      <c r="L13" s="1364"/>
      <c r="M13" s="1365"/>
      <c r="N13" s="11"/>
    </row>
    <row r="14" spans="1:30" ht="18" customHeight="1" x14ac:dyDescent="0.2">
      <c r="A14" s="15"/>
      <c r="C14" s="1363"/>
      <c r="D14" s="1364"/>
      <c r="E14" s="1364"/>
      <c r="F14" s="1364"/>
      <c r="G14" s="1364"/>
      <c r="H14" s="1364"/>
      <c r="I14" s="1364"/>
      <c r="J14" s="1364"/>
      <c r="K14" s="1364"/>
      <c r="L14" s="1364"/>
      <c r="M14" s="1365"/>
      <c r="N14" s="11"/>
    </row>
    <row r="15" spans="1:30" ht="18" customHeight="1" x14ac:dyDescent="0.2">
      <c r="A15" s="15"/>
      <c r="C15" s="1366"/>
      <c r="D15" s="1367"/>
      <c r="E15" s="1367"/>
      <c r="F15" s="1367"/>
      <c r="G15" s="1367"/>
      <c r="H15" s="1367"/>
      <c r="I15" s="1367"/>
      <c r="J15" s="1367"/>
      <c r="K15" s="1367"/>
      <c r="L15" s="1367"/>
      <c r="M15" s="1368"/>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0.13095238095238096</v>
      </c>
      <c r="N20" s="21"/>
      <c r="P20" s="201"/>
      <c r="Q20" s="201"/>
      <c r="R20" s="201"/>
      <c r="S20" s="201"/>
      <c r="T20" s="210"/>
      <c r="U20" s="210"/>
      <c r="V20" s="211">
        <f>progress</f>
        <v>0.32247899159663868</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0.35204081632653061</v>
      </c>
      <c r="N22" s="21"/>
      <c r="P22" s="201"/>
      <c r="Q22" s="201"/>
      <c r="R22" s="201"/>
      <c r="S22" s="201"/>
      <c r="T22" s="210">
        <f>IF(OR(akt_ende="",akt_start=""),0,akt_ende-akt_start)</f>
        <v>196</v>
      </c>
      <c r="U22" s="210">
        <f ca="1">IF(akt_start="",0,Deckblatt!C56-akt_start)</f>
        <v>119</v>
      </c>
      <c r="V22" s="211">
        <f ca="1">IF(T22=0,0,IF((U22/T22)&lt;0,0,IF(U22/T22&gt;1,1,U22/T22)))</f>
        <v>0.6071428571428571</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0.25600000000000001</v>
      </c>
      <c r="N24" s="21"/>
      <c r="P24" s="201"/>
      <c r="Q24" s="201"/>
      <c r="R24" s="201"/>
      <c r="S24" s="201"/>
      <c r="T24" s="210">
        <f>akt_res</f>
        <v>254</v>
      </c>
      <c r="U24" s="210">
        <f>ist_res</f>
        <v>105.5</v>
      </c>
      <c r="V24" s="211">
        <f>IF(T24=0,0,IF((U24/T24)&lt;0,0,U24/T24))</f>
        <v>0.4153543307086614</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0.25600000000000001</v>
      </c>
      <c r="N26" s="21"/>
      <c r="P26" s="201"/>
      <c r="Q26" s="201"/>
      <c r="R26" s="201"/>
      <c r="S26" s="201"/>
      <c r="T26" s="210">
        <f>akt_cost</f>
        <v>8890</v>
      </c>
      <c r="U26" s="210">
        <f>ist_cost</f>
        <v>3692.5</v>
      </c>
      <c r="V26" s="211">
        <f>IF(T26=0,0,IF((U26/T26)&lt;0,0,U26/T26))</f>
        <v>0.4153543307086614</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COUNTIF(Daten!$H$40:$H81,"AP")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42831</v>
      </c>
      <c r="V34" s="236">
        <f>IF(OR(T34="",U34=""),0,U34-T34)</f>
        <v>196</v>
      </c>
      <c r="W34" s="238">
        <f>akt_start</f>
        <v>42635</v>
      </c>
      <c r="X34" s="238">
        <f>akt_ende</f>
        <v>42831</v>
      </c>
      <c r="Y34" s="236">
        <f>IF(OR(W34="",X34=""),0,X34-W34)</f>
        <v>196</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254</v>
      </c>
      <c r="W36" s="236"/>
      <c r="X36" s="236"/>
      <c r="Y36" s="236">
        <f>akt_res</f>
        <v>254</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8890</v>
      </c>
      <c r="W38" s="236"/>
      <c r="X38" s="236"/>
      <c r="Y38" s="236">
        <f>akt_cost</f>
        <v>8890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69"/>
      <c r="C43" s="1370"/>
      <c r="D43" s="1370"/>
      <c r="E43" s="1370"/>
      <c r="F43" s="1371"/>
      <c r="G43" s="1369"/>
      <c r="H43" s="1370"/>
      <c r="I43" s="1370"/>
      <c r="J43" s="1371"/>
      <c r="K43" s="1372"/>
      <c r="L43" s="1373"/>
      <c r="M43" s="1374"/>
      <c r="N43" s="11"/>
    </row>
    <row r="44" spans="1:29" ht="14.1" customHeight="1" x14ac:dyDescent="0.2">
      <c r="A44" s="15"/>
      <c r="B44" s="1369"/>
      <c r="C44" s="1370"/>
      <c r="D44" s="1370"/>
      <c r="E44" s="1370"/>
      <c r="F44" s="1371"/>
      <c r="G44" s="1369"/>
      <c r="H44" s="1370"/>
      <c r="I44" s="1370"/>
      <c r="J44" s="1371"/>
      <c r="K44" s="1372"/>
      <c r="L44" s="1373"/>
      <c r="M44" s="1374"/>
      <c r="N44" s="11"/>
    </row>
    <row r="45" spans="1:29" ht="14.1" customHeight="1" x14ac:dyDescent="0.2">
      <c r="A45" s="15"/>
      <c r="B45" s="1369"/>
      <c r="C45" s="1370"/>
      <c r="D45" s="1370"/>
      <c r="E45" s="1370"/>
      <c r="F45" s="1371"/>
      <c r="G45" s="1369"/>
      <c r="H45" s="1370"/>
      <c r="I45" s="1370"/>
      <c r="J45" s="1371"/>
      <c r="K45" s="1372"/>
      <c r="L45" s="1373"/>
      <c r="M45" s="1374"/>
      <c r="N45" s="11"/>
    </row>
    <row r="46" spans="1:29" ht="14.1" customHeight="1" x14ac:dyDescent="0.2">
      <c r="A46" s="15"/>
      <c r="B46" s="1369"/>
      <c r="C46" s="1370"/>
      <c r="D46" s="1370"/>
      <c r="E46" s="1370"/>
      <c r="F46" s="1371"/>
      <c r="G46" s="1369"/>
      <c r="H46" s="1370"/>
      <c r="I46" s="1370"/>
      <c r="J46" s="1371"/>
      <c r="K46" s="1372"/>
      <c r="L46" s="1373"/>
      <c r="M46" s="1374"/>
      <c r="N46" s="11"/>
    </row>
    <row r="47" spans="1:29" ht="14.1" customHeight="1" x14ac:dyDescent="0.2">
      <c r="A47" s="15"/>
      <c r="B47" s="1369"/>
      <c r="C47" s="1370"/>
      <c r="D47" s="1370"/>
      <c r="E47" s="1370"/>
      <c r="F47" s="1371"/>
      <c r="G47" s="1369"/>
      <c r="H47" s="1370"/>
      <c r="I47" s="1370"/>
      <c r="J47" s="1371"/>
      <c r="K47" s="1372"/>
      <c r="L47" s="1373"/>
      <c r="M47" s="1374"/>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55"/>
      <c r="B49" s="1347"/>
      <c r="C49" s="1347"/>
      <c r="D49" s="1347"/>
      <c r="E49" s="1347"/>
      <c r="F49" s="1347"/>
      <c r="G49" s="1347"/>
      <c r="H49" s="1347"/>
      <c r="I49" s="1347"/>
      <c r="J49" s="1347"/>
      <c r="K49" s="1347"/>
      <c r="L49" s="1347"/>
      <c r="M49" s="1347"/>
      <c r="N49" s="1348"/>
    </row>
    <row r="50" spans="1:14" s="50" customFormat="1" ht="4.5" customHeight="1" x14ac:dyDescent="0.2">
      <c r="A50" s="1354" t="s">
        <v>2757</v>
      </c>
      <c r="B50" s="1349"/>
      <c r="C50" s="1349"/>
      <c r="D50" s="1349"/>
      <c r="E50" s="1349"/>
      <c r="F50" s="1349"/>
      <c r="G50" s="1349" t="s">
        <v>2757</v>
      </c>
      <c r="H50" s="1349"/>
      <c r="I50" s="1349"/>
      <c r="J50" s="1349"/>
      <c r="K50" s="1349"/>
      <c r="L50" s="1349"/>
      <c r="M50" s="1349"/>
      <c r="N50" s="1350"/>
    </row>
    <row r="51" spans="1:14" s="50" customFormat="1" ht="15" customHeight="1" x14ac:dyDescent="0.2">
      <c r="A51" s="1353" t="str">
        <f>Auftrag!A82</f>
        <v>N.N., (Projektauftraggeber)</v>
      </c>
      <c r="B51" s="1351"/>
      <c r="C51" s="1351"/>
      <c r="D51" s="1351"/>
      <c r="E51" s="1351"/>
      <c r="F51" s="1351"/>
      <c r="G51" s="1351" t="str">
        <f>Auftrag!F82</f>
        <v>N.N., (Projektleiter)</v>
      </c>
      <c r="H51" s="1351"/>
      <c r="I51" s="1351"/>
      <c r="J51" s="1351"/>
      <c r="K51" s="1351"/>
      <c r="L51" s="1351"/>
      <c r="M51" s="1351"/>
      <c r="N51" s="1352"/>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iObR8IHZJCI6C6OlsxLmYeaw+C8u/WR3tspYpsv2nBLHBoWGve7lzYZBfYsTMYFguzai/ESJdNkai9S64sWocA==" saltValue="Irh3VlUkahBzSetvmX5cSQ==" spinCount="100000" sheet="1" objects="1" scenarios="1"/>
  <mergeCells count="24">
    <mergeCell ref="B46:F46"/>
    <mergeCell ref="G46:J46"/>
    <mergeCell ref="K46:M46"/>
    <mergeCell ref="G47:J47"/>
    <mergeCell ref="K47:M47"/>
    <mergeCell ref="B47:F47"/>
    <mergeCell ref="K44:M44"/>
    <mergeCell ref="G45:J45"/>
    <mergeCell ref="K45:M45"/>
    <mergeCell ref="B45:F45"/>
    <mergeCell ref="B44:F44"/>
    <mergeCell ref="G44:J44"/>
    <mergeCell ref="A2:N2"/>
    <mergeCell ref="A3:N3"/>
    <mergeCell ref="C6:M15"/>
    <mergeCell ref="G43:J43"/>
    <mergeCell ref="K43:M43"/>
    <mergeCell ref="B43:F43"/>
    <mergeCell ref="G49:N49"/>
    <mergeCell ref="G50:N50"/>
    <mergeCell ref="G51:N51"/>
    <mergeCell ref="A51:F51"/>
    <mergeCell ref="A50:F50"/>
    <mergeCell ref="A49:F49"/>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30" t="str">
        <f>VLOOKUP("close down report",sprachtabelle,4,FALSE)</f>
        <v>Projekt-Abschlussbericht</v>
      </c>
      <c r="B2" s="1031"/>
      <c r="C2" s="1031"/>
      <c r="D2" s="1031"/>
      <c r="E2" s="1031"/>
      <c r="F2" s="1031"/>
      <c r="G2" s="1031"/>
      <c r="H2" s="1031"/>
      <c r="I2" s="1031"/>
      <c r="J2" s="1031"/>
      <c r="K2" s="1032"/>
    </row>
    <row r="3" spans="1:13" s="136" customFormat="1" ht="18" x14ac:dyDescent="0.25">
      <c r="A3" s="1041" t="str">
        <f>'Calc-Master'!AQ11</f>
        <v>HP Chor Pollham mit Notenarchiv</v>
      </c>
      <c r="B3" s="1400"/>
      <c r="C3" s="1400"/>
      <c r="D3" s="1400"/>
      <c r="E3" s="1400"/>
      <c r="F3" s="1400"/>
      <c r="G3" s="1400"/>
      <c r="H3" s="1400"/>
      <c r="I3" s="1400"/>
      <c r="J3" s="1400"/>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287" t="str">
        <f>VLOOKUP("overall impression",sprachtabelle,4,FALSE)</f>
        <v>Gesamteindruck</v>
      </c>
      <c r="C6" s="1289"/>
      <c r="D6" s="49"/>
      <c r="E6" s="49"/>
      <c r="F6" s="49"/>
      <c r="G6" s="49"/>
      <c r="H6" s="49"/>
      <c r="I6" s="49"/>
      <c r="J6" s="49"/>
      <c r="K6" s="51"/>
      <c r="L6"/>
      <c r="M6"/>
    </row>
    <row r="7" spans="1:13" s="50" customFormat="1" x14ac:dyDescent="0.2">
      <c r="A7" s="48"/>
      <c r="B7" s="393" t="str">
        <f t="shared" ref="B7:B12" si="0">nlc_point(C7)</f>
        <v/>
      </c>
      <c r="C7" s="1395"/>
      <c r="D7" s="1395"/>
      <c r="E7" s="1395"/>
      <c r="F7" s="1395"/>
      <c r="G7" s="1395"/>
      <c r="H7" s="1395"/>
      <c r="I7" s="1395"/>
      <c r="J7" s="1396"/>
      <c r="K7" s="51"/>
      <c r="L7"/>
      <c r="M7"/>
    </row>
    <row r="8" spans="1:13" s="50" customFormat="1" x14ac:dyDescent="0.2">
      <c r="A8" s="48"/>
      <c r="B8" s="394" t="str">
        <f t="shared" si="0"/>
        <v/>
      </c>
      <c r="C8" s="994"/>
      <c r="D8" s="994"/>
      <c r="E8" s="994"/>
      <c r="F8" s="994"/>
      <c r="G8" s="994"/>
      <c r="H8" s="994"/>
      <c r="I8" s="994"/>
      <c r="J8" s="1002"/>
      <c r="K8" s="51"/>
      <c r="L8"/>
      <c r="M8"/>
    </row>
    <row r="9" spans="1:13" s="50" customFormat="1" x14ac:dyDescent="0.2">
      <c r="A9" s="48"/>
      <c r="B9" s="394" t="str">
        <f t="shared" si="0"/>
        <v/>
      </c>
      <c r="C9" s="994"/>
      <c r="D9" s="994"/>
      <c r="E9" s="994"/>
      <c r="F9" s="994"/>
      <c r="G9" s="994"/>
      <c r="H9" s="994"/>
      <c r="I9" s="994"/>
      <c r="J9" s="1002"/>
      <c r="K9" s="51"/>
      <c r="L9"/>
      <c r="M9"/>
    </row>
    <row r="10" spans="1:13" s="50" customFormat="1" x14ac:dyDescent="0.2">
      <c r="A10" s="48"/>
      <c r="B10" s="394" t="str">
        <f t="shared" si="0"/>
        <v/>
      </c>
      <c r="C10" s="994"/>
      <c r="D10" s="994"/>
      <c r="E10" s="994"/>
      <c r="F10" s="994"/>
      <c r="G10" s="994"/>
      <c r="H10" s="994"/>
      <c r="I10" s="994"/>
      <c r="J10" s="1002"/>
      <c r="K10" s="51"/>
      <c r="L10"/>
      <c r="M10"/>
    </row>
    <row r="11" spans="1:13" s="50" customFormat="1" x14ac:dyDescent="0.2">
      <c r="A11" s="48"/>
      <c r="B11" s="394" t="str">
        <f t="shared" si="0"/>
        <v/>
      </c>
      <c r="C11" s="994"/>
      <c r="D11" s="994"/>
      <c r="E11" s="994"/>
      <c r="F11" s="994"/>
      <c r="G11" s="994"/>
      <c r="H11" s="994"/>
      <c r="I11" s="994"/>
      <c r="J11" s="1002"/>
      <c r="K11" s="51"/>
      <c r="L11"/>
      <c r="M11"/>
    </row>
    <row r="12" spans="1:13" s="50" customFormat="1" x14ac:dyDescent="0.2">
      <c r="A12" s="48"/>
      <c r="B12" s="395" t="str">
        <f t="shared" si="0"/>
        <v/>
      </c>
      <c r="C12" s="1389"/>
      <c r="D12" s="1389"/>
      <c r="E12" s="1389"/>
      <c r="F12" s="1389"/>
      <c r="G12" s="1389"/>
      <c r="H12" s="1389"/>
      <c r="I12" s="1389"/>
      <c r="J12" s="1390"/>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85" t="str">
        <f>VLOOKUP("reflection",sprachtabelle,4,FALSE) &amp; ": " &amp; VLOOKUP("objectives",sprachtabelle,4,FALSE)</f>
        <v>Reflexion: Ziele</v>
      </c>
      <c r="C14" s="1399"/>
      <c r="D14" s="49"/>
      <c r="E14" s="49"/>
      <c r="F14" s="49"/>
      <c r="G14" s="49"/>
      <c r="H14" s="49"/>
      <c r="I14" s="49"/>
      <c r="J14" s="49"/>
      <c r="K14" s="51"/>
      <c r="L14"/>
      <c r="M14"/>
    </row>
    <row r="15" spans="1:13" s="50" customFormat="1" ht="12" customHeight="1" x14ac:dyDescent="0.2">
      <c r="A15" s="48"/>
      <c r="B15" s="1401" t="str">
        <f>VLOOKUP("objectives of the project assignment",sprachtabelle,4,FALSE)</f>
        <v>Ziele des Projektauftrags</v>
      </c>
      <c r="C15" s="1402"/>
      <c r="D15" s="1402"/>
      <c r="E15" s="1402"/>
      <c r="F15" s="1403"/>
      <c r="G15" s="715" t="s">
        <v>2211</v>
      </c>
      <c r="H15" s="716" t="s">
        <v>2212</v>
      </c>
      <c r="I15" s="716" t="s">
        <v>1042</v>
      </c>
      <c r="J15" s="715" t="s">
        <v>2213</v>
      </c>
      <c r="K15" s="51"/>
      <c r="L15"/>
      <c r="M15"/>
    </row>
    <row r="16" spans="1:13" s="50" customFormat="1" ht="14.1" customHeight="1" x14ac:dyDescent="0.2">
      <c r="A16" s="48"/>
      <c r="B16" s="495">
        <f>IF(C16="","",1)</f>
        <v>1</v>
      </c>
      <c r="C16" s="1382" t="str">
        <f>IF(LEN(Auftrag!B17)&gt;70,LEFT(Auftrag!B17,65) &amp; " ...", nlc_task(Auftrag!B17))</f>
        <v>Für den Kirchenchor dynamische HP mit Userverwaltung und Notenarchiv.</v>
      </c>
      <c r="D16" s="1382"/>
      <c r="E16" s="1382"/>
      <c r="F16" s="1382"/>
      <c r="G16" s="730"/>
      <c r="H16" s="730"/>
      <c r="I16" s="730"/>
      <c r="J16" s="730"/>
      <c r="K16" s="51"/>
      <c r="L16"/>
      <c r="M16"/>
    </row>
    <row r="17" spans="1:17" s="50" customFormat="1" ht="14.1" customHeight="1" x14ac:dyDescent="0.2">
      <c r="A17" s="48"/>
      <c r="B17" s="495">
        <f>IF(C17="","",2)</f>
        <v>2</v>
      </c>
      <c r="C17" s="1382" t="str">
        <f>IF(LEN(Auftrag!B18)&gt;70,LEFT(Auftrag!B18,65) &amp; " ...", nlc_task(Auftrag!B18))</f>
        <v xml:space="preserve">Userverwaltung für Admin </v>
      </c>
      <c r="D17" s="1382"/>
      <c r="E17" s="1382"/>
      <c r="F17" s="1382"/>
      <c r="G17" s="730"/>
      <c r="H17" s="730"/>
      <c r="I17" s="730"/>
      <c r="J17" s="730"/>
      <c r="K17" s="51"/>
      <c r="L17"/>
      <c r="M17"/>
    </row>
    <row r="18" spans="1:17" s="50" customFormat="1" ht="14.1" customHeight="1" x14ac:dyDescent="0.2">
      <c r="A18" s="48"/>
      <c r="B18" s="495">
        <f>IF(C18="","",3)</f>
        <v>3</v>
      </c>
      <c r="C18" s="1382" t="str">
        <f>IF(LEN(Auftrag!B19)&gt;70,LEFT(Auftrag!B19,65) &amp; " ...", nlc_task(Auftrag!B19))</f>
        <v>Senden von E-Mails an Chormitglieder vom Admin (Subadmin)</v>
      </c>
      <c r="D18" s="1382"/>
      <c r="E18" s="1382"/>
      <c r="F18" s="1382"/>
      <c r="G18" s="730"/>
      <c r="H18" s="730"/>
      <c r="I18" s="730"/>
      <c r="J18" s="730"/>
      <c r="K18" s="51"/>
      <c r="L18"/>
      <c r="M18"/>
    </row>
    <row r="19" spans="1:17" s="50" customFormat="1" ht="14.1" customHeight="1" x14ac:dyDescent="0.2">
      <c r="A19" s="48"/>
      <c r="B19" s="495">
        <f>IF(C19="","",4)</f>
        <v>4</v>
      </c>
      <c r="C19" s="1382" t="str">
        <f>IF(LEN(Auftrag!B20)&gt;70,LEFT(Auftrag!B20,65) &amp; " ...", nlc_task(Auftrag!B20))</f>
        <v>Anmeldung für Chormitglieder</v>
      </c>
      <c r="D19" s="1382"/>
      <c r="E19" s="1382"/>
      <c r="F19" s="1382"/>
      <c r="G19" s="730"/>
      <c r="H19" s="730"/>
      <c r="I19" s="730"/>
      <c r="J19" s="730"/>
      <c r="K19" s="51"/>
      <c r="L19"/>
      <c r="M19"/>
    </row>
    <row r="20" spans="1:17" s="50" customFormat="1" ht="14.1" customHeight="1" x14ac:dyDescent="0.2">
      <c r="A20" s="48"/>
      <c r="B20" s="495">
        <f>IF(C20="","",5)</f>
        <v>5</v>
      </c>
      <c r="C20" s="1382" t="str">
        <f>IF(LEN(Auftrag!B21)&gt;70,LEFT(Auftrag!B21,65) &amp; " ...", nlc_task(Auftrag!B21))</f>
        <v>Sehen von Terminen</v>
      </c>
      <c r="D20" s="1382"/>
      <c r="E20" s="1382"/>
      <c r="F20" s="1382"/>
      <c r="G20" s="730"/>
      <c r="H20" s="730"/>
      <c r="I20" s="730"/>
      <c r="J20" s="730"/>
      <c r="K20" s="51"/>
      <c r="L20"/>
      <c r="M20"/>
    </row>
    <row r="21" spans="1:17" s="50" customFormat="1" ht="14.1" customHeight="1" x14ac:dyDescent="0.2">
      <c r="A21" s="48"/>
      <c r="B21" s="495">
        <f>IF(C21="","",6)</f>
        <v>6</v>
      </c>
      <c r="C21" s="1382" t="str">
        <f>IF(LEN(Auftrag!B22)&gt;70,LEFT(Auftrag!B22,65) &amp; " ...", nlc_task(Auftrag!B22))</f>
        <v>Download von Dokumenten und Medien</v>
      </c>
      <c r="D21" s="1382"/>
      <c r="E21" s="1382"/>
      <c r="F21" s="1382"/>
      <c r="G21" s="730"/>
      <c r="H21" s="730"/>
      <c r="I21" s="730"/>
      <c r="J21" s="730"/>
      <c r="K21" s="51"/>
      <c r="L21"/>
      <c r="M21"/>
    </row>
    <row r="22" spans="1:17" s="50" customFormat="1" ht="14.1" customHeight="1" x14ac:dyDescent="0.2">
      <c r="A22" s="48"/>
      <c r="B22" s="495">
        <f>IF(C22="","",7)</f>
        <v>7</v>
      </c>
      <c r="C22" s="1382" t="str">
        <f>IF(LEN(Auftrag!B23)&gt;70,LEFT(Auftrag!B23,65) &amp; " ...", nlc_task(Auftrag!B23))</f>
        <v>Homepagebesucherbereich mit Newsfeed, allgemeinen Informationen u ...</v>
      </c>
      <c r="D22" s="1382"/>
      <c r="E22" s="1382"/>
      <c r="F22" s="1382"/>
      <c r="G22" s="730"/>
      <c r="H22" s="730"/>
      <c r="I22" s="730"/>
      <c r="J22" s="730"/>
      <c r="K22" s="51"/>
      <c r="L22"/>
      <c r="M22"/>
    </row>
    <row r="23" spans="1:17" s="50" customFormat="1" ht="14.1" customHeight="1" x14ac:dyDescent="0.2">
      <c r="A23" s="48"/>
      <c r="B23" s="495">
        <f>IF(C23="","",8)</f>
        <v>8</v>
      </c>
      <c r="C23" s="1382" t="str">
        <f>IF(LEN(Auftrag!B24)&gt;70,LEFT(Auftrag!B24,65) &amp; " ...", nlc_task(Auftrag!B24))</f>
        <v>Admin kann Medien und Dokumente hochladen/bearbeiten/löschen und  ...</v>
      </c>
      <c r="D23" s="1382"/>
      <c r="E23" s="1382"/>
      <c r="F23" s="1382"/>
      <c r="G23" s="730"/>
      <c r="H23" s="730"/>
      <c r="I23" s="730"/>
      <c r="J23" s="730"/>
      <c r="K23" s="51"/>
      <c r="L23"/>
      <c r="M23"/>
    </row>
    <row r="24" spans="1:17" s="50" customFormat="1" ht="14.1" customHeight="1" x14ac:dyDescent="0.2">
      <c r="A24" s="48"/>
      <c r="B24" s="495">
        <f>IF(C24="","",9)</f>
        <v>9</v>
      </c>
      <c r="C24" s="1382" t="str">
        <f>IF(LEN(Auftrag!B25)&gt;70,LEFT(Auftrag!B25,65) &amp; " ...", nlc_task(Auftrag!B25))</f>
        <v>Integrieren von Google-Diensten</v>
      </c>
      <c r="D24" s="1382"/>
      <c r="E24" s="1382"/>
      <c r="F24" s="1382"/>
      <c r="G24" s="730"/>
      <c r="H24" s="730"/>
      <c r="I24" s="730"/>
      <c r="J24" s="730"/>
      <c r="K24" s="51"/>
      <c r="L24"/>
      <c r="M24"/>
    </row>
    <row r="25" spans="1:17" s="50" customFormat="1" ht="14.1" customHeight="1" x14ac:dyDescent="0.2">
      <c r="A25" s="48"/>
      <c r="B25" s="496">
        <f>IF(C25="","",10)</f>
        <v>10</v>
      </c>
      <c r="C25" s="1383" t="str">
        <f>IF(LEN(Auftrag!B26)&gt;70,LEFT(Auftrag!B26,65) &amp; " ...", nlc_task(Auftrag!B26))</f>
        <v>Anhören/Ansehen der Medien auf Homepage</v>
      </c>
      <c r="D25" s="1383"/>
      <c r="E25" s="1383"/>
      <c r="F25" s="1384"/>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287" t="str">
        <f>VLOOKUP("reflection",sprachtabelle,4,FALSE) &amp; ": " &amp; VLOOKUP("management",sprachtabelle,4,FALSE)</f>
        <v>Reflexion: Management</v>
      </c>
      <c r="C27" s="1289"/>
      <c r="D27" s="49"/>
      <c r="E27" s="49"/>
      <c r="F27" s="1385" t="str">
        <f>VLOOKUP("reflection",sprachtabelle,4,FALSE) &amp; ": " &amp; VLOOKUP("scope",sprachtabelle,4,FALSE) &amp; "/" &amp; VLOOKUP("dates",sprachtabelle,4,FALSE)</f>
        <v>Reflexion: Leistungen/Termine</v>
      </c>
      <c r="G27" s="1386"/>
      <c r="H27" s="1387"/>
      <c r="I27" s="1388"/>
      <c r="J27" s="49"/>
      <c r="K27" s="51"/>
      <c r="L27"/>
      <c r="M27"/>
    </row>
    <row r="28" spans="1:17" s="50" customFormat="1" ht="26.1" customHeight="1" x14ac:dyDescent="0.2">
      <c r="A28" s="48"/>
      <c r="B28" s="396" t="str">
        <f>nlc_point(C28)</f>
        <v/>
      </c>
      <c r="C28" s="1395"/>
      <c r="D28" s="1396"/>
      <c r="E28" s="107"/>
      <c r="F28" s="393" t="str">
        <f>nlc_point(G28)</f>
        <v/>
      </c>
      <c r="G28" s="1395"/>
      <c r="H28" s="1395"/>
      <c r="I28" s="1395"/>
      <c r="J28" s="1396"/>
      <c r="K28" s="51"/>
      <c r="L28"/>
      <c r="M28"/>
    </row>
    <row r="29" spans="1:17" s="50" customFormat="1" ht="26.1" customHeight="1" x14ac:dyDescent="0.2">
      <c r="A29" s="48"/>
      <c r="B29" s="377" t="str">
        <f>nlc_point(C29)</f>
        <v/>
      </c>
      <c r="C29" s="994"/>
      <c r="D29" s="1002"/>
      <c r="E29" s="107"/>
      <c r="F29" s="394" t="str">
        <f>nlc_point(G29)</f>
        <v/>
      </c>
      <c r="G29" s="994"/>
      <c r="H29" s="994"/>
      <c r="I29" s="994"/>
      <c r="J29" s="1002"/>
      <c r="K29" s="51"/>
      <c r="L29"/>
      <c r="M29"/>
    </row>
    <row r="30" spans="1:17" s="50" customFormat="1" ht="26.1" customHeight="1" x14ac:dyDescent="0.2">
      <c r="A30" s="48"/>
      <c r="B30" s="377" t="str">
        <f>nlc_point(C30)</f>
        <v/>
      </c>
      <c r="C30" s="994"/>
      <c r="D30" s="1002"/>
      <c r="E30" s="107"/>
      <c r="F30" s="394" t="str">
        <f>nlc_point(G30)</f>
        <v/>
      </c>
      <c r="G30" s="994"/>
      <c r="H30" s="994"/>
      <c r="I30" s="994"/>
      <c r="J30" s="1002"/>
      <c r="K30" s="51"/>
      <c r="L30"/>
      <c r="M30"/>
    </row>
    <row r="31" spans="1:17" s="50" customFormat="1" ht="26.1" customHeight="1" x14ac:dyDescent="0.2">
      <c r="A31" s="48"/>
      <c r="B31" s="377" t="str">
        <f>nlc_point(C31)</f>
        <v/>
      </c>
      <c r="C31" s="994"/>
      <c r="D31" s="1002"/>
      <c r="E31" s="107"/>
      <c r="F31" s="394" t="str">
        <f>nlc_point(G31)</f>
        <v/>
      </c>
      <c r="G31" s="994"/>
      <c r="H31" s="994"/>
      <c r="I31" s="994"/>
      <c r="J31" s="1002"/>
      <c r="K31" s="51"/>
      <c r="L31"/>
      <c r="M31"/>
    </row>
    <row r="32" spans="1:17" s="50" customFormat="1" ht="26.1" customHeight="1" x14ac:dyDescent="0.2">
      <c r="A32" s="48"/>
      <c r="B32" s="397" t="str">
        <f>nlc_point(C32)</f>
        <v/>
      </c>
      <c r="C32" s="1389"/>
      <c r="D32" s="1390"/>
      <c r="E32" s="107"/>
      <c r="F32" s="395" t="str">
        <f>nlc_point(G32)</f>
        <v/>
      </c>
      <c r="G32" s="1389"/>
      <c r="H32" s="1389"/>
      <c r="I32" s="1389"/>
      <c r="J32" s="1390"/>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287" t="str">
        <f>VLOOKUP("reflection",sprachtabelle,4,FALSE) &amp; ": " &amp; VLOOKUP("resources",sprachtabelle,4,FALSE) &amp; "/" &amp; VLOOKUP("costs",sprachtabelle,4,FALSE)</f>
        <v>Reflexion: Ressourcen/Kosten</v>
      </c>
      <c r="C34" s="1289"/>
      <c r="D34" s="49"/>
      <c r="E34" s="49"/>
      <c r="F34" s="1287" t="str">
        <f>VLOOKUP("reflection",sprachtabelle,4,FALSE) &amp; ": " &amp; VLOOKUP("organisation",sprachtabelle,4,FALSE) &amp; "/" &amp; VLOOKUP("communication",sprachtabelle,4,FALSE)</f>
        <v>Reflexion: Organisation/Kommunikation</v>
      </c>
      <c r="G34" s="1397"/>
      <c r="H34" s="1288"/>
      <c r="I34" s="1398"/>
      <c r="J34" s="49"/>
      <c r="K34" s="51"/>
      <c r="L34"/>
      <c r="M34"/>
    </row>
    <row r="35" spans="1:13" s="50" customFormat="1" ht="26.1" customHeight="1" x14ac:dyDescent="0.2">
      <c r="A35" s="48"/>
      <c r="B35" s="396" t="str">
        <f>nlc_point(C35)</f>
        <v/>
      </c>
      <c r="C35" s="1395"/>
      <c r="D35" s="1396"/>
      <c r="E35" s="107"/>
      <c r="F35" s="393" t="str">
        <f>nlc_point(G35)</f>
        <v/>
      </c>
      <c r="G35" s="1395"/>
      <c r="H35" s="1395"/>
      <c r="I35" s="1395"/>
      <c r="J35" s="1396"/>
      <c r="K35" s="51"/>
      <c r="L35"/>
      <c r="M35"/>
    </row>
    <row r="36" spans="1:13" s="50" customFormat="1" ht="26.1" customHeight="1" x14ac:dyDescent="0.2">
      <c r="A36" s="48"/>
      <c r="B36" s="377" t="str">
        <f>nlc_point(C36)</f>
        <v/>
      </c>
      <c r="C36" s="994"/>
      <c r="D36" s="1002"/>
      <c r="E36" s="107"/>
      <c r="F36" s="394" t="str">
        <f>nlc_point(G36)</f>
        <v/>
      </c>
      <c r="G36" s="994"/>
      <c r="H36" s="994"/>
      <c r="I36" s="994"/>
      <c r="J36" s="1002"/>
      <c r="K36" s="51"/>
      <c r="L36"/>
      <c r="M36"/>
    </row>
    <row r="37" spans="1:13" s="50" customFormat="1" ht="26.1" customHeight="1" x14ac:dyDescent="0.2">
      <c r="A37" s="48"/>
      <c r="B37" s="377" t="str">
        <f>nlc_point(C37)</f>
        <v/>
      </c>
      <c r="C37" s="994"/>
      <c r="D37" s="1002"/>
      <c r="E37" s="107"/>
      <c r="F37" s="394" t="str">
        <f>nlc_point(G37)</f>
        <v/>
      </c>
      <c r="G37" s="994"/>
      <c r="H37" s="994"/>
      <c r="I37" s="994"/>
      <c r="J37" s="1002"/>
      <c r="K37" s="51"/>
      <c r="L37"/>
      <c r="M37"/>
    </row>
    <row r="38" spans="1:13" s="50" customFormat="1" ht="26.1" customHeight="1" x14ac:dyDescent="0.2">
      <c r="A38" s="48"/>
      <c r="B38" s="377" t="str">
        <f>nlc_point(C38)</f>
        <v/>
      </c>
      <c r="C38" s="994"/>
      <c r="D38" s="1002"/>
      <c r="E38" s="107"/>
      <c r="F38" s="394" t="str">
        <f>nlc_point(G38)</f>
        <v/>
      </c>
      <c r="G38" s="994"/>
      <c r="H38" s="994"/>
      <c r="I38" s="994"/>
      <c r="J38" s="1002"/>
      <c r="K38" s="51"/>
      <c r="L38"/>
      <c r="M38"/>
    </row>
    <row r="39" spans="1:13" s="50" customFormat="1" ht="26.1" customHeight="1" x14ac:dyDescent="0.2">
      <c r="A39" s="48"/>
      <c r="B39" s="397" t="str">
        <f>nlc_point(C39)</f>
        <v/>
      </c>
      <c r="C39" s="1389"/>
      <c r="D39" s="1390"/>
      <c r="E39" s="137"/>
      <c r="F39" s="395" t="str">
        <f>nlc_point(G39)</f>
        <v/>
      </c>
      <c r="G39" s="1389"/>
      <c r="H39" s="1389"/>
      <c r="I39" s="1389"/>
      <c r="J39" s="1390"/>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287" t="str">
        <f>VLOOKUP("performance review",sprachtabelle,4,FALSE)</f>
        <v>Leistungsbeurteilung</v>
      </c>
      <c r="C41" s="1391"/>
      <c r="D41" s="49"/>
      <c r="E41" s="49"/>
      <c r="F41" s="1287" t="str">
        <f>VLOOKUP("lessons learned",sprachtabelle,4,FALSE)</f>
        <v>Lessons learned</v>
      </c>
      <c r="G41" s="1397"/>
      <c r="H41" s="1288"/>
      <c r="I41" s="1398"/>
      <c r="J41" s="49"/>
      <c r="K41" s="6"/>
      <c r="L41"/>
      <c r="M41"/>
    </row>
    <row r="42" spans="1:13" s="50" customFormat="1" ht="26.1" customHeight="1" x14ac:dyDescent="0.2">
      <c r="A42" s="4"/>
      <c r="B42" s="396" t="str">
        <f>nlc_point(C42)</f>
        <v/>
      </c>
      <c r="C42" s="1395"/>
      <c r="D42" s="1396"/>
      <c r="E42" s="107"/>
      <c r="F42" s="393" t="str">
        <f>nlc_point(G42)</f>
        <v/>
      </c>
      <c r="G42" s="1395"/>
      <c r="H42" s="1395"/>
      <c r="I42" s="1395"/>
      <c r="J42" s="1396"/>
      <c r="K42" s="6"/>
      <c r="L42"/>
      <c r="M42"/>
    </row>
    <row r="43" spans="1:13" s="50" customFormat="1" ht="26.1" customHeight="1" x14ac:dyDescent="0.2">
      <c r="A43" s="4"/>
      <c r="B43" s="377" t="str">
        <f>nlc_point(C43)</f>
        <v/>
      </c>
      <c r="C43" s="994"/>
      <c r="D43" s="1002"/>
      <c r="E43" s="107"/>
      <c r="F43" s="394" t="str">
        <f>nlc_point(G43)</f>
        <v/>
      </c>
      <c r="G43" s="994"/>
      <c r="H43" s="994"/>
      <c r="I43" s="994"/>
      <c r="J43" s="1002"/>
      <c r="K43" s="6"/>
      <c r="L43"/>
      <c r="M43"/>
    </row>
    <row r="44" spans="1:13" s="50" customFormat="1" ht="26.1" customHeight="1" x14ac:dyDescent="0.2">
      <c r="A44" s="4"/>
      <c r="B44" s="377" t="str">
        <f>nlc_point(C44)</f>
        <v/>
      </c>
      <c r="C44" s="994"/>
      <c r="D44" s="1002"/>
      <c r="E44" s="107"/>
      <c r="F44" s="394" t="str">
        <f>nlc_point(G44)</f>
        <v/>
      </c>
      <c r="G44" s="994"/>
      <c r="H44" s="994"/>
      <c r="I44" s="994"/>
      <c r="J44" s="1002"/>
      <c r="K44" s="6"/>
      <c r="L44"/>
      <c r="M44"/>
    </row>
    <row r="45" spans="1:13" s="50" customFormat="1" ht="26.1" customHeight="1" x14ac:dyDescent="0.2">
      <c r="A45" s="4"/>
      <c r="B45" s="377" t="str">
        <f>nlc_point(C45)</f>
        <v/>
      </c>
      <c r="C45" s="994"/>
      <c r="D45" s="1002"/>
      <c r="E45" s="107"/>
      <c r="F45" s="394" t="str">
        <f>nlc_point(G45)</f>
        <v/>
      </c>
      <c r="G45" s="994"/>
      <c r="H45" s="994"/>
      <c r="I45" s="994"/>
      <c r="J45" s="1002"/>
      <c r="K45" s="6"/>
      <c r="L45"/>
      <c r="M45"/>
    </row>
    <row r="46" spans="1:13" s="50" customFormat="1" ht="26.1" customHeight="1" x14ac:dyDescent="0.2">
      <c r="A46" s="4"/>
      <c r="B46" s="397" t="str">
        <f>nlc_point(C46)</f>
        <v/>
      </c>
      <c r="C46" s="1389"/>
      <c r="D46" s="1390"/>
      <c r="E46" s="107"/>
      <c r="F46" s="395" t="str">
        <f>nlc_point(G46)</f>
        <v/>
      </c>
      <c r="G46" s="1389"/>
      <c r="H46" s="1389"/>
      <c r="I46" s="1389"/>
      <c r="J46" s="1390"/>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287" t="str">
        <f>VLOOKUP("planning of remaining tasks and post project activities",sprachtabelle,4,FALSE)</f>
        <v>Planung Nachprojektphase, Restaufgaben</v>
      </c>
      <c r="C48" s="1391"/>
      <c r="D48" s="55"/>
      <c r="E48" s="55"/>
      <c r="F48" s="55"/>
      <c r="G48" s="55"/>
      <c r="H48" s="55"/>
      <c r="I48" s="55"/>
      <c r="J48" s="49"/>
      <c r="K48" s="51"/>
      <c r="L48"/>
      <c r="M48"/>
    </row>
    <row r="49" spans="1:13" s="50" customFormat="1" x14ac:dyDescent="0.2">
      <c r="A49" s="48"/>
      <c r="B49" s="1392" t="str">
        <f>VLOOKUP("to do",sprachtabelle,4,FALSE)</f>
        <v>To-Do</v>
      </c>
      <c r="C49" s="1393"/>
      <c r="D49" s="1393"/>
      <c r="E49" s="1393"/>
      <c r="F49" s="1393"/>
      <c r="G49" s="1393"/>
      <c r="H49" s="1394"/>
      <c r="I49" s="717" t="str">
        <f>VLOOKUP("responsibility",sprachtabelle,4,FALSE)</f>
        <v>Verantwortlichkeit</v>
      </c>
      <c r="J49" s="717" t="str">
        <f>VLOOKUP("dates",sprachtabelle,4,FALSE)</f>
        <v>Termine</v>
      </c>
      <c r="K49" s="51"/>
      <c r="L49"/>
      <c r="M49"/>
    </row>
    <row r="50" spans="1:13" s="50" customFormat="1" x14ac:dyDescent="0.2">
      <c r="A50" s="48"/>
      <c r="B50" s="1375"/>
      <c r="C50" s="1376"/>
      <c r="D50" s="1376"/>
      <c r="E50" s="1376"/>
      <c r="F50" s="1376"/>
      <c r="G50" s="1376"/>
      <c r="H50" s="1377"/>
      <c r="I50" s="728"/>
      <c r="J50" s="729"/>
      <c r="K50" s="51"/>
      <c r="L50"/>
      <c r="M50"/>
    </row>
    <row r="51" spans="1:13" s="50" customFormat="1" x14ac:dyDescent="0.2">
      <c r="A51" s="48"/>
      <c r="B51" s="1375"/>
      <c r="C51" s="1376"/>
      <c r="D51" s="1376"/>
      <c r="E51" s="1376"/>
      <c r="F51" s="1376"/>
      <c r="G51" s="1376"/>
      <c r="H51" s="1377"/>
      <c r="I51" s="728"/>
      <c r="J51" s="729"/>
      <c r="K51" s="51"/>
      <c r="L51"/>
      <c r="M51"/>
    </row>
    <row r="52" spans="1:13" s="50" customFormat="1" x14ac:dyDescent="0.2">
      <c r="A52" s="48"/>
      <c r="B52" s="1375"/>
      <c r="C52" s="1376"/>
      <c r="D52" s="1376"/>
      <c r="E52" s="1376"/>
      <c r="F52" s="1376"/>
      <c r="G52" s="1376"/>
      <c r="H52" s="1377"/>
      <c r="I52" s="728"/>
      <c r="J52" s="729"/>
      <c r="K52" s="51"/>
      <c r="L52"/>
      <c r="M52"/>
    </row>
    <row r="53" spans="1:13" s="50" customFormat="1" x14ac:dyDescent="0.2">
      <c r="A53" s="48"/>
      <c r="B53" s="1375"/>
      <c r="C53" s="1376"/>
      <c r="D53" s="1376"/>
      <c r="E53" s="1376"/>
      <c r="F53" s="1376"/>
      <c r="G53" s="1376"/>
      <c r="H53" s="1377"/>
      <c r="I53" s="728"/>
      <c r="J53" s="729"/>
      <c r="K53" s="51"/>
      <c r="L53"/>
      <c r="M53"/>
    </row>
    <row r="54" spans="1:13" s="50" customFormat="1" x14ac:dyDescent="0.2">
      <c r="A54" s="48"/>
      <c r="B54" s="1375"/>
      <c r="C54" s="1376"/>
      <c r="D54" s="1376"/>
      <c r="E54" s="1376"/>
      <c r="F54" s="1376"/>
      <c r="G54" s="1376"/>
      <c r="H54" s="1377"/>
      <c r="I54" s="728"/>
      <c r="J54" s="729"/>
      <c r="K54" s="51"/>
      <c r="L54"/>
      <c r="M54"/>
    </row>
    <row r="55" spans="1:13" s="50" customFormat="1" x14ac:dyDescent="0.2">
      <c r="A55" s="48"/>
      <c r="B55" s="1375"/>
      <c r="C55" s="1376"/>
      <c r="D55" s="1376"/>
      <c r="E55" s="1376"/>
      <c r="F55" s="1376"/>
      <c r="G55" s="1376"/>
      <c r="H55" s="1377"/>
      <c r="I55" s="728"/>
      <c r="J55" s="729"/>
      <c r="K55" s="51"/>
      <c r="L55"/>
      <c r="M55"/>
    </row>
    <row r="56" spans="1:13" s="50" customFormat="1" x14ac:dyDescent="0.2">
      <c r="A56" s="48"/>
      <c r="B56" s="1375"/>
      <c r="C56" s="1376"/>
      <c r="D56" s="1376"/>
      <c r="E56" s="1376"/>
      <c r="F56" s="1376"/>
      <c r="G56" s="1376"/>
      <c r="H56" s="1377"/>
      <c r="I56" s="728"/>
      <c r="J56" s="729"/>
      <c r="K56" s="51"/>
      <c r="L56"/>
      <c r="M56"/>
    </row>
    <row r="57" spans="1:13" s="50" customFormat="1" x14ac:dyDescent="0.2">
      <c r="A57" s="48"/>
      <c r="B57" s="1375"/>
      <c r="C57" s="1376"/>
      <c r="D57" s="1376"/>
      <c r="E57" s="1376"/>
      <c r="F57" s="1376"/>
      <c r="G57" s="1376"/>
      <c r="H57" s="1377"/>
      <c r="I57" s="728"/>
      <c r="J57" s="729"/>
      <c r="K57" s="51"/>
      <c r="L57"/>
      <c r="M57"/>
    </row>
    <row r="58" spans="1:13" s="50" customFormat="1" x14ac:dyDescent="0.2">
      <c r="A58" s="48"/>
      <c r="B58" s="1375"/>
      <c r="C58" s="1376"/>
      <c r="D58" s="1376"/>
      <c r="E58" s="1376"/>
      <c r="F58" s="1376"/>
      <c r="G58" s="1376"/>
      <c r="H58" s="1377"/>
      <c r="I58" s="728"/>
      <c r="J58" s="729"/>
      <c r="K58" s="51"/>
      <c r="L58"/>
      <c r="M58"/>
    </row>
    <row r="59" spans="1:13" x14ac:dyDescent="0.2">
      <c r="A59" s="4"/>
      <c r="B59" s="1375"/>
      <c r="C59" s="1376"/>
      <c r="D59" s="1376"/>
      <c r="E59" s="1376"/>
      <c r="F59" s="1376"/>
      <c r="G59" s="1376"/>
      <c r="H59" s="1377"/>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15"/>
      <c r="B61" s="1017"/>
      <c r="C61" s="1017"/>
      <c r="D61" s="1017"/>
      <c r="E61" s="1017"/>
      <c r="F61" s="1017"/>
      <c r="G61" s="1017"/>
      <c r="H61" s="1017"/>
      <c r="I61" s="1017"/>
      <c r="J61" s="1017"/>
      <c r="K61" s="1381"/>
      <c r="L61" s="49"/>
      <c r="M61" s="49"/>
    </row>
    <row r="62" spans="1:13" s="50" customFormat="1" ht="4.5" customHeight="1" x14ac:dyDescent="0.2">
      <c r="A62" s="1354" t="s">
        <v>2757</v>
      </c>
      <c r="B62" s="1349"/>
      <c r="C62" s="1349"/>
      <c r="D62" s="1349"/>
      <c r="E62" s="1349"/>
      <c r="F62" s="1349" t="s">
        <v>2757</v>
      </c>
      <c r="G62" s="1349"/>
      <c r="H62" s="1349"/>
      <c r="I62" s="1349"/>
      <c r="J62" s="1349"/>
      <c r="K62" s="1350"/>
      <c r="L62" s="49"/>
      <c r="M62" s="49"/>
    </row>
    <row r="63" spans="1:13" s="50" customFormat="1" ht="15" customHeight="1" x14ac:dyDescent="0.2">
      <c r="A63" s="1353" t="str">
        <f>Auftrag!A82</f>
        <v>N.N., (Projektauftraggeber)</v>
      </c>
      <c r="B63" s="1351"/>
      <c r="C63" s="1351"/>
      <c r="D63" s="1351"/>
      <c r="E63" s="1351"/>
      <c r="F63" s="1351" t="str">
        <f>Auftrag!F82</f>
        <v>N.N., (Projektleiter)</v>
      </c>
      <c r="G63" s="1351"/>
      <c r="H63" s="1351"/>
      <c r="I63" s="1351"/>
      <c r="J63" s="1351"/>
      <c r="K63" s="1352"/>
      <c r="L63" s="49"/>
      <c r="M63" s="49"/>
    </row>
    <row r="64" spans="1:13" s="50" customFormat="1" ht="10.5" customHeight="1" x14ac:dyDescent="0.2">
      <c r="A64" s="1378"/>
      <c r="B64" s="1379"/>
      <c r="C64" s="1379"/>
      <c r="D64" s="1379"/>
      <c r="E64" s="1379"/>
      <c r="F64" s="1379"/>
      <c r="G64" s="1379"/>
      <c r="H64" s="1379"/>
      <c r="I64" s="1379"/>
      <c r="J64" s="1379"/>
      <c r="K64" s="1380"/>
      <c r="L64" s="49"/>
      <c r="M64" s="49"/>
    </row>
  </sheetData>
  <sheetProtection password="F5D5" sheet="1" objects="1" scenarios="1"/>
  <mergeCells count="76">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A64:K64"/>
    <mergeCell ref="A63:E63"/>
    <mergeCell ref="F63:K63"/>
    <mergeCell ref="B59:H59"/>
    <mergeCell ref="A61:E61"/>
    <mergeCell ref="F61:K61"/>
    <mergeCell ref="B56:H56"/>
    <mergeCell ref="B53:H53"/>
    <mergeCell ref="A62:E62"/>
    <mergeCell ref="F62:K62"/>
    <mergeCell ref="B57:H57"/>
    <mergeCell ref="B58:H58"/>
    <mergeCell ref="B55:H55"/>
    <mergeCell ref="B54:H54"/>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30"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25%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42831</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42831</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42754</v>
      </c>
    </row>
    <row r="115" spans="5:8" x14ac:dyDescent="0.2">
      <c r="E115" s="219">
        <v>114</v>
      </c>
      <c r="F115" s="219" t="s">
        <v>840</v>
      </c>
      <c r="G115" s="219" t="s">
        <v>1488</v>
      </c>
      <c r="H115" s="222" t="s">
        <v>845</v>
      </c>
    </row>
    <row r="116" spans="5:8" x14ac:dyDescent="0.2">
      <c r="E116" s="219">
        <v>115</v>
      </c>
      <c r="F116" s="219" t="s">
        <v>841</v>
      </c>
      <c r="G116" s="219" t="s">
        <v>844</v>
      </c>
      <c r="H116" s="222">
        <f ca="1">TODAY()</f>
        <v>42754</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20" t="s">
        <v>2457</v>
      </c>
      <c r="K1" s="1420"/>
      <c r="L1" s="1420"/>
    </row>
    <row r="2" spans="1:17" ht="12.75" customHeight="1" x14ac:dyDescent="0.2">
      <c r="B2" s="853" t="s">
        <v>1917</v>
      </c>
      <c r="C2" s="718" t="s">
        <v>2758</v>
      </c>
      <c r="E2" s="853" t="s">
        <v>848</v>
      </c>
      <c r="F2" s="718" t="str">
        <f>"nlc_phb_xl"</f>
        <v>nlc_phb_xl</v>
      </c>
      <c r="J2" s="1413" t="s">
        <v>205</v>
      </c>
      <c r="K2" s="1405" t="s">
        <v>2455</v>
      </c>
      <c r="L2" s="1405" t="s">
        <v>2454</v>
      </c>
      <c r="M2" s="1405" t="s">
        <v>2486</v>
      </c>
      <c r="N2" s="1405" t="s">
        <v>2486</v>
      </c>
      <c r="O2" s="1405" t="s">
        <v>2486</v>
      </c>
      <c r="P2" s="1407" t="s">
        <v>2459</v>
      </c>
      <c r="Q2" s="1408" t="s">
        <v>2590</v>
      </c>
    </row>
    <row r="3" spans="1:17" ht="12.75" customHeight="1" x14ac:dyDescent="0.2">
      <c r="B3" s="853" t="s">
        <v>1916</v>
      </c>
      <c r="C3" s="718" t="str">
        <f>IF(C4="NO","",C2)</f>
        <v>pa$$w0rd</v>
      </c>
      <c r="E3" s="853" t="s">
        <v>849</v>
      </c>
      <c r="F3" s="718" t="str">
        <f>Deckblatt!B12</f>
        <v>HP Chor Pollham mit Notenarchiv</v>
      </c>
      <c r="J3" s="1413"/>
      <c r="K3" s="1405"/>
      <c r="L3" s="1405"/>
      <c r="M3" s="1405"/>
      <c r="N3" s="1405"/>
      <c r="O3" s="1405"/>
      <c r="P3" s="1405"/>
      <c r="Q3" s="1408"/>
    </row>
    <row r="4" spans="1:17" ht="12.75" customHeight="1" x14ac:dyDescent="0.2">
      <c r="B4" s="853" t="s">
        <v>850</v>
      </c>
      <c r="C4" s="718" t="s">
        <v>452</v>
      </c>
      <c r="E4" s="853" t="s">
        <v>863</v>
      </c>
      <c r="F4" s="718" t="str">
        <f>Language!E3</f>
        <v>deutsch</v>
      </c>
      <c r="J4" s="1413"/>
      <c r="K4" s="1405"/>
      <c r="L4" s="1405"/>
      <c r="M4" s="1405"/>
      <c r="N4" s="1405"/>
      <c r="O4" s="1405"/>
      <c r="P4" s="1405"/>
      <c r="Q4" s="1408"/>
    </row>
    <row r="5" spans="1:17" ht="12.75" customHeight="1" x14ac:dyDescent="0.2">
      <c r="B5" s="853" t="s">
        <v>852</v>
      </c>
      <c r="C5" s="718" t="s">
        <v>727</v>
      </c>
      <c r="E5" s="853" t="s">
        <v>851</v>
      </c>
      <c r="F5" s="720">
        <f ca="1">Deckblatt!C56</f>
        <v>42754</v>
      </c>
      <c r="J5" s="1413"/>
      <c r="K5" s="1405"/>
      <c r="L5" s="1405"/>
      <c r="M5" s="1405"/>
      <c r="N5" s="1405"/>
      <c r="O5" s="1405"/>
      <c r="P5" s="1405"/>
      <c r="Q5" s="1408"/>
    </row>
    <row r="6" spans="1:17" s="430" customFormat="1" ht="12.75" customHeight="1" thickBot="1" x14ac:dyDescent="0.25">
      <c r="B6" s="918"/>
      <c r="C6" s="919"/>
      <c r="J6" s="1413"/>
      <c r="K6" s="1405"/>
      <c r="L6" s="1405"/>
      <c r="M6" s="1405"/>
      <c r="N6" s="1405"/>
      <c r="O6" s="1405"/>
      <c r="P6" s="1405"/>
      <c r="Q6" s="1408"/>
    </row>
    <row r="7" spans="1:17" s="431" customFormat="1" ht="12.75" customHeight="1" x14ac:dyDescent="0.25">
      <c r="B7" s="916" t="s">
        <v>768</v>
      </c>
      <c r="C7" s="917" t="s">
        <v>2736</v>
      </c>
      <c r="E7" s="853" t="s">
        <v>1896</v>
      </c>
      <c r="F7" s="721" t="s">
        <v>728</v>
      </c>
      <c r="J7" s="1413"/>
      <c r="K7" s="1405"/>
      <c r="L7" s="1405"/>
      <c r="M7" s="1405"/>
      <c r="N7" s="1405"/>
      <c r="O7" s="1405"/>
      <c r="P7" s="1405"/>
      <c r="Q7" s="1408"/>
    </row>
    <row r="8" spans="1:17" s="430" customFormat="1" ht="12.75" customHeight="1" x14ac:dyDescent="0.2">
      <c r="B8" s="853" t="s">
        <v>1012</v>
      </c>
      <c r="C8" s="719" t="s">
        <v>730</v>
      </c>
      <c r="E8" s="853" t="s">
        <v>1897</v>
      </c>
      <c r="F8" s="721"/>
      <c r="J8" s="1413"/>
      <c r="K8" s="1405"/>
      <c r="L8" s="1405"/>
      <c r="M8" s="1405"/>
      <c r="N8" s="1405"/>
      <c r="O8" s="1405"/>
      <c r="P8" s="1405"/>
      <c r="Q8" s="1408"/>
    </row>
    <row r="9" spans="1:17" s="434" customFormat="1" ht="12.75" customHeight="1" x14ac:dyDescent="0.2">
      <c r="B9" s="432"/>
      <c r="C9" s="432"/>
      <c r="D9" s="433"/>
      <c r="E9" s="853" t="s">
        <v>675</v>
      </c>
      <c r="F9" s="722" t="s">
        <v>2784</v>
      </c>
      <c r="J9" s="1413"/>
      <c r="K9" s="1405"/>
      <c r="L9" s="1405"/>
      <c r="M9" s="1405"/>
      <c r="N9" s="1405"/>
      <c r="O9" s="1405"/>
      <c r="P9" s="1405"/>
      <c r="Q9" s="1408"/>
    </row>
    <row r="10" spans="1:17" s="436" customFormat="1" ht="12.75" customHeight="1" x14ac:dyDescent="0.2">
      <c r="B10" s="853" t="s">
        <v>1013</v>
      </c>
      <c r="C10" s="719" t="s">
        <v>2194</v>
      </c>
      <c r="D10" s="429"/>
      <c r="E10" s="435"/>
      <c r="J10" s="1414"/>
      <c r="K10" s="1406"/>
      <c r="L10" s="1406"/>
      <c r="M10" s="1406"/>
      <c r="N10" s="1406"/>
      <c r="O10" s="1406"/>
      <c r="P10" s="1406"/>
      <c r="Q10" s="1409"/>
    </row>
    <row r="11" spans="1:17" ht="12.75" customHeight="1" x14ac:dyDescent="0.2">
      <c r="B11" s="853" t="s">
        <v>1014</v>
      </c>
      <c r="C11" s="719" t="s">
        <v>2736</v>
      </c>
      <c r="E11" s="853" t="s">
        <v>1752</v>
      </c>
      <c r="F11" s="428">
        <v>0</v>
      </c>
      <c r="H11" s="1410"/>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0"/>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0"/>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1"/>
      <c r="I14" s="807" t="s">
        <v>1091</v>
      </c>
      <c r="J14" s="833">
        <v>0</v>
      </c>
      <c r="K14" s="834">
        <v>0</v>
      </c>
      <c r="L14" s="835">
        <v>0</v>
      </c>
      <c r="M14" s="836"/>
      <c r="N14" s="837"/>
      <c r="O14" s="838"/>
      <c r="P14" s="839"/>
      <c r="Q14" s="840">
        <v>255</v>
      </c>
    </row>
    <row r="15" spans="1:17" s="433" customFormat="1" x14ac:dyDescent="0.2">
      <c r="B15" s="432"/>
      <c r="C15" s="432"/>
      <c r="H15" s="1412"/>
      <c r="I15" s="808" t="s">
        <v>683</v>
      </c>
      <c r="J15" s="841">
        <v>81</v>
      </c>
      <c r="K15" s="842">
        <v>81</v>
      </c>
      <c r="L15" s="843">
        <v>81</v>
      </c>
      <c r="M15" s="844"/>
      <c r="N15" s="845"/>
      <c r="O15" s="846"/>
      <c r="P15" s="847"/>
      <c r="Q15" s="848">
        <v>255</v>
      </c>
    </row>
    <row r="16" spans="1:17" s="433" customFormat="1" x14ac:dyDescent="0.2">
      <c r="B16" s="853" t="s">
        <v>1824</v>
      </c>
      <c r="C16" s="470"/>
      <c r="H16" s="1412"/>
      <c r="I16" s="808" t="s">
        <v>684</v>
      </c>
      <c r="J16" s="476">
        <v>126</v>
      </c>
      <c r="K16" s="800">
        <v>126</v>
      </c>
      <c r="L16" s="801">
        <v>126</v>
      </c>
      <c r="M16" s="802"/>
      <c r="N16" s="803"/>
      <c r="O16" s="804"/>
      <c r="P16" s="805"/>
      <c r="Q16" s="806">
        <v>255</v>
      </c>
    </row>
    <row r="17" spans="2:17" s="433" customFormat="1" x14ac:dyDescent="0.2">
      <c r="B17" s="429"/>
      <c r="C17" s="429"/>
      <c r="J17" s="1417" t="s">
        <v>2452</v>
      </c>
      <c r="K17" s="1415" t="s">
        <v>2453</v>
      </c>
      <c r="L17" s="1415" t="s">
        <v>2456</v>
      </c>
      <c r="M17" s="1415" t="s">
        <v>2486</v>
      </c>
      <c r="N17" s="1415" t="s">
        <v>2486</v>
      </c>
      <c r="O17" s="1415" t="s">
        <v>2486</v>
      </c>
      <c r="P17" s="1415" t="s">
        <v>2486</v>
      </c>
      <c r="Q17" s="1416" t="s">
        <v>2604</v>
      </c>
    </row>
    <row r="18" spans="2:17" s="433" customFormat="1" ht="65.25" customHeight="1" x14ac:dyDescent="0.2">
      <c r="B18" s="1421" t="s">
        <v>422</v>
      </c>
      <c r="C18" s="1421"/>
      <c r="J18" s="1413"/>
      <c r="K18" s="1405"/>
      <c r="L18" s="1405"/>
      <c r="M18" s="1405"/>
      <c r="N18" s="1405"/>
      <c r="O18" s="1405"/>
      <c r="P18" s="1405"/>
      <c r="Q18" s="1408"/>
    </row>
    <row r="19" spans="2:17" s="433" customFormat="1" x14ac:dyDescent="0.2">
      <c r="B19" s="942"/>
      <c r="C19" s="942"/>
      <c r="J19" s="1413"/>
      <c r="K19" s="1405"/>
      <c r="L19" s="1405"/>
      <c r="M19" s="1405"/>
      <c r="N19" s="1405"/>
      <c r="O19" s="1405"/>
      <c r="P19" s="1405"/>
      <c r="Q19" s="1408"/>
    </row>
    <row r="20" spans="2:17" s="433" customFormat="1" x14ac:dyDescent="0.2">
      <c r="B20" s="942" t="s">
        <v>416</v>
      </c>
      <c r="C20" s="942" t="s">
        <v>417</v>
      </c>
      <c r="J20" s="1413"/>
      <c r="K20" s="1405"/>
      <c r="L20" s="1405"/>
      <c r="M20" s="1405"/>
      <c r="N20" s="1405"/>
      <c r="O20" s="1405"/>
      <c r="P20" s="1405"/>
      <c r="Q20" s="1408"/>
    </row>
    <row r="21" spans="2:17" s="433" customFormat="1" x14ac:dyDescent="0.2">
      <c r="B21" s="942" t="s">
        <v>418</v>
      </c>
      <c r="C21" s="942" t="s">
        <v>419</v>
      </c>
      <c r="I21" s="429"/>
      <c r="J21" s="1413"/>
      <c r="K21" s="1405"/>
      <c r="L21" s="1405"/>
      <c r="M21" s="1405"/>
      <c r="N21" s="1405"/>
      <c r="O21" s="1405"/>
      <c r="P21" s="1405"/>
      <c r="Q21" s="1408"/>
    </row>
    <row r="22" spans="2:17" x14ac:dyDescent="0.2">
      <c r="B22" s="942" t="s">
        <v>421</v>
      </c>
      <c r="C22" s="942" t="s">
        <v>420</v>
      </c>
      <c r="J22" s="1413"/>
      <c r="K22" s="1405"/>
      <c r="L22" s="1405"/>
      <c r="M22" s="1405"/>
      <c r="N22" s="1405"/>
      <c r="O22" s="1405"/>
      <c r="P22" s="1405"/>
      <c r="Q22" s="1408"/>
    </row>
    <row r="23" spans="2:17" x14ac:dyDescent="0.2">
      <c r="J23" s="1413"/>
      <c r="K23" s="1405"/>
      <c r="L23" s="1405"/>
      <c r="M23" s="1405"/>
      <c r="N23" s="1405"/>
      <c r="O23" s="1405"/>
      <c r="P23" s="1405"/>
      <c r="Q23" s="1408"/>
    </row>
    <row r="24" spans="2:17" x14ac:dyDescent="0.2">
      <c r="J24" s="1413"/>
      <c r="K24" s="1405"/>
      <c r="L24" s="1405"/>
      <c r="M24" s="1405"/>
      <c r="N24" s="1405"/>
      <c r="O24" s="1405"/>
      <c r="P24" s="1405"/>
      <c r="Q24" s="1408"/>
    </row>
    <row r="25" spans="2:17" x14ac:dyDescent="0.2">
      <c r="J25" s="1413"/>
      <c r="K25" s="1405"/>
      <c r="L25" s="1405"/>
      <c r="M25" s="1405"/>
      <c r="N25" s="1405"/>
      <c r="O25" s="1405"/>
      <c r="P25" s="1405"/>
      <c r="Q25" s="1408"/>
    </row>
    <row r="26" spans="2:17" x14ac:dyDescent="0.2">
      <c r="J26" s="1420" t="s">
        <v>2458</v>
      </c>
      <c r="K26" s="1420"/>
      <c r="L26" s="1420"/>
    </row>
    <row r="27" spans="2:17" x14ac:dyDescent="0.2">
      <c r="B27" s="853" t="s">
        <v>875</v>
      </c>
      <c r="C27" s="718" t="s">
        <v>248</v>
      </c>
    </row>
    <row r="28" spans="2:17" x14ac:dyDescent="0.2">
      <c r="B28" s="1418" t="s">
        <v>246</v>
      </c>
      <c r="C28" s="920">
        <v>10</v>
      </c>
    </row>
    <row r="29" spans="2:17" x14ac:dyDescent="0.2">
      <c r="B29" s="1419"/>
    </row>
  </sheetData>
  <mergeCells count="22">
    <mergeCell ref="J17:J25"/>
    <mergeCell ref="K17:K25"/>
    <mergeCell ref="B28:B29"/>
    <mergeCell ref="J26:L26"/>
    <mergeCell ref="J1:L1"/>
    <mergeCell ref="L17:L25"/>
    <mergeCell ref="B18:C18"/>
    <mergeCell ref="L2:L10"/>
    <mergeCell ref="P17:P25"/>
    <mergeCell ref="Q17:Q25"/>
    <mergeCell ref="N17:N25"/>
    <mergeCell ref="O17:O25"/>
    <mergeCell ref="M17:M25"/>
    <mergeCell ref="M2:M10"/>
    <mergeCell ref="P2:P10"/>
    <mergeCell ref="Q2:Q10"/>
    <mergeCell ref="H11:H13"/>
    <mergeCell ref="H14:H16"/>
    <mergeCell ref="J2:J10"/>
    <mergeCell ref="K2:K10"/>
    <mergeCell ref="N2:N10"/>
    <mergeCell ref="O2:O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B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2:58" ht="18" x14ac:dyDescent="0.2">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2:58" x14ac:dyDescent="0.2">
      <c r="G2"/>
      <c r="H2"/>
      <c r="I2" s="458"/>
      <c r="J2"/>
      <c r="K2"/>
      <c r="L2"/>
      <c r="M2" s="458"/>
      <c r="N2"/>
    </row>
    <row r="3" spans="2: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2: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2: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0.13095238095238096</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2:58" x14ac:dyDescent="0.2">
      <c r="B6" s="559" t="s">
        <v>2184</v>
      </c>
      <c r="C6" s="560" t="s">
        <v>1651</v>
      </c>
      <c r="D6" s="560"/>
      <c r="E6" s="561"/>
      <c r="O6" s="366"/>
      <c r="P6" s="366"/>
      <c r="Q6" s="605"/>
      <c r="R6" s="612"/>
      <c r="S6" s="606"/>
      <c r="T6" s="605"/>
      <c r="U6" s="606"/>
      <c r="V6" s="366"/>
      <c r="W6" s="366"/>
      <c r="Y6" s="232" t="str">
        <f>Status!B22</f>
        <v>Termine</v>
      </c>
      <c r="Z6" s="467">
        <f>Status!M22</f>
        <v>0.35204081632653061</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2: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0.25600000000000001</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2: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0.25600000000000001</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2: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2: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42754</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2:58" x14ac:dyDescent="0.2">
      <c r="B11" s="559" t="s">
        <v>749</v>
      </c>
      <c r="C11" s="566" t="s">
        <v>1081</v>
      </c>
      <c r="D11" s="560" t="s">
        <v>2568</v>
      </c>
      <c r="E11" s="561" t="s">
        <v>1570</v>
      </c>
      <c r="O11" s="367" t="s">
        <v>1095</v>
      </c>
      <c r="P11" s="468"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2: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2:58" x14ac:dyDescent="0.2">
      <c r="B13" s="559" t="s">
        <v>751</v>
      </c>
      <c r="C13" s="566" t="s">
        <v>2130</v>
      </c>
      <c r="D13" s="560" t="s">
        <v>2568</v>
      </c>
      <c r="E13" s="561" t="s">
        <v>1575</v>
      </c>
      <c r="O13" s="367" t="s">
        <v>1097</v>
      </c>
      <c r="P13" s="468"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2:58" x14ac:dyDescent="0.2">
      <c r="B14" s="559" t="s">
        <v>744</v>
      </c>
      <c r="C14" s="566" t="s">
        <v>2543</v>
      </c>
      <c r="D14" s="560" t="s">
        <v>2568</v>
      </c>
      <c r="E14" s="561" t="s">
        <v>1576</v>
      </c>
      <c r="O14" s="367" t="s">
        <v>2799</v>
      </c>
      <c r="P14" s="367"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2: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2: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25</v>
      </c>
    </row>
    <row r="26" spans="2:58" x14ac:dyDescent="0.2">
      <c r="B26" s="559" t="s">
        <v>1700</v>
      </c>
      <c r="C26" s="566" t="s">
        <v>1586</v>
      </c>
      <c r="D26" s="560"/>
      <c r="E26" s="565"/>
      <c r="G26"/>
      <c r="H26"/>
      <c r="K26"/>
      <c r="L26"/>
      <c r="O26" s="307" t="s">
        <v>2837</v>
      </c>
      <c r="P26" s="579"/>
      <c r="Q26" s="307" t="s">
        <v>2940</v>
      </c>
      <c r="R26" s="307">
        <v>25</v>
      </c>
      <c r="S26" s="307">
        <v>19</v>
      </c>
      <c r="AH26" s="227"/>
      <c r="AI26" s="218"/>
      <c r="AJ26" s="218"/>
      <c r="AK26" s="218"/>
    </row>
    <row r="27" spans="2:58" x14ac:dyDescent="0.2">
      <c r="B27" s="559" t="s">
        <v>1698</v>
      </c>
      <c r="C27" s="566" t="s">
        <v>1704</v>
      </c>
      <c r="D27" s="560"/>
      <c r="E27" s="565"/>
      <c r="G27"/>
      <c r="H27"/>
      <c r="K27"/>
      <c r="L27"/>
      <c r="O27" s="307" t="s">
        <v>2838</v>
      </c>
      <c r="P27" s="579"/>
      <c r="Q27" s="307" t="s">
        <v>2941</v>
      </c>
      <c r="R27" s="307">
        <v>66</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2942</v>
      </c>
      <c r="R28" s="307">
        <v>68</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2943</v>
      </c>
      <c r="R29" s="307">
        <v>65</v>
      </c>
      <c r="S29" s="307">
        <v>22</v>
      </c>
      <c r="Y29" s="309"/>
      <c r="AF29" s="218"/>
      <c r="AG29" s="218"/>
      <c r="AH29" s="227"/>
      <c r="AI29" s="218"/>
      <c r="AJ29" s="218"/>
      <c r="AK29" s="218"/>
    </row>
    <row r="30" spans="2:58" x14ac:dyDescent="0.2">
      <c r="B30" s="562" t="s">
        <v>1698</v>
      </c>
      <c r="C30" s="563" t="s">
        <v>1705</v>
      </c>
      <c r="D30" s="563"/>
      <c r="E30" s="571"/>
      <c r="O30" s="307" t="s">
        <v>2846</v>
      </c>
      <c r="P30" s="579"/>
      <c r="Q30" s="307" t="s">
        <v>2944</v>
      </c>
      <c r="R30" s="307">
        <v>64</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2945</v>
      </c>
      <c r="R31" s="307">
        <v>63</v>
      </c>
      <c r="S31" s="307">
        <v>24</v>
      </c>
      <c r="Y31" s="309"/>
      <c r="AM31" s="618">
        <v>29</v>
      </c>
    </row>
    <row r="32" spans="2:58" x14ac:dyDescent="0.2">
      <c r="B32" s="562" t="s">
        <v>1700</v>
      </c>
      <c r="C32" s="563" t="s">
        <v>1588</v>
      </c>
      <c r="D32" s="563"/>
      <c r="E32" s="571"/>
      <c r="O32" s="307" t="s">
        <v>2852</v>
      </c>
      <c r="P32" s="579"/>
      <c r="Q32" s="307" t="s">
        <v>2946</v>
      </c>
      <c r="R32" s="307">
        <v>62</v>
      </c>
      <c r="S32" s="307">
        <v>25</v>
      </c>
      <c r="Y32" s="309"/>
    </row>
    <row r="33" spans="2:25" x14ac:dyDescent="0.2">
      <c r="B33" s="562" t="s">
        <v>1698</v>
      </c>
      <c r="C33" s="563" t="s">
        <v>1706</v>
      </c>
      <c r="D33" s="563"/>
      <c r="E33" s="571"/>
      <c r="O33" s="307" t="s">
        <v>2907</v>
      </c>
      <c r="P33" s="579"/>
      <c r="Q33" s="307" t="s">
        <v>2947</v>
      </c>
      <c r="R33" s="307">
        <v>61</v>
      </c>
      <c r="S33" s="307">
        <v>26</v>
      </c>
      <c r="Y33" s="309"/>
    </row>
    <row r="34" spans="2:25" x14ac:dyDescent="0.2">
      <c r="B34" s="562" t="s">
        <v>1699</v>
      </c>
      <c r="C34" s="563" t="s">
        <v>1721</v>
      </c>
      <c r="D34" s="563"/>
      <c r="E34" s="571"/>
      <c r="O34" s="307" t="s">
        <v>2827</v>
      </c>
      <c r="P34" s="579"/>
      <c r="Q34" s="307" t="s">
        <v>2962</v>
      </c>
      <c r="R34" s="307">
        <v>71</v>
      </c>
      <c r="S34" s="307">
        <v>28</v>
      </c>
      <c r="Y34" s="309"/>
    </row>
    <row r="35" spans="2:25" x14ac:dyDescent="0.2">
      <c r="B35" s="562" t="s">
        <v>1700</v>
      </c>
      <c r="C35" s="563" t="s">
        <v>1589</v>
      </c>
      <c r="D35" s="563"/>
      <c r="E35" s="571"/>
      <c r="O35" s="307" t="s">
        <v>2853</v>
      </c>
      <c r="P35" s="579"/>
      <c r="Q35" s="307" t="s">
        <v>2948</v>
      </c>
      <c r="R35" s="307">
        <v>70</v>
      </c>
      <c r="S35" s="307">
        <v>29</v>
      </c>
      <c r="Y35" s="309"/>
    </row>
    <row r="36" spans="2:25" x14ac:dyDescent="0.2">
      <c r="B36" s="562" t="s">
        <v>1698</v>
      </c>
      <c r="C36" s="563" t="s">
        <v>1707</v>
      </c>
      <c r="D36" s="563"/>
      <c r="E36" s="571"/>
      <c r="O36" s="307" t="s">
        <v>2829</v>
      </c>
      <c r="P36" s="579"/>
      <c r="Q36" s="307" t="s">
        <v>2949</v>
      </c>
      <c r="R36" s="307">
        <v>60</v>
      </c>
      <c r="S36" s="307">
        <v>31</v>
      </c>
      <c r="Y36" s="309"/>
    </row>
    <row r="37" spans="2:25" x14ac:dyDescent="0.2">
      <c r="B37" s="562" t="s">
        <v>1699</v>
      </c>
      <c r="C37" s="563" t="s">
        <v>1722</v>
      </c>
      <c r="D37" s="563"/>
      <c r="E37" s="571"/>
      <c r="O37" s="307" t="s">
        <v>2830</v>
      </c>
      <c r="Q37" s="307" t="s">
        <v>2959</v>
      </c>
      <c r="R37" s="307">
        <v>59</v>
      </c>
      <c r="S37" s="307">
        <v>32</v>
      </c>
      <c r="Y37" s="309"/>
    </row>
    <row r="38" spans="2:25" x14ac:dyDescent="0.2">
      <c r="B38" s="562" t="s">
        <v>1700</v>
      </c>
      <c r="C38" s="563" t="s">
        <v>1590</v>
      </c>
      <c r="D38" s="563"/>
      <c r="E38" s="571"/>
      <c r="O38" s="307" t="s">
        <v>2854</v>
      </c>
      <c r="P38" s="579"/>
      <c r="Q38" s="307" t="s">
        <v>2960</v>
      </c>
      <c r="R38" s="307">
        <v>75</v>
      </c>
      <c r="S38" s="307">
        <v>33</v>
      </c>
      <c r="Y38" s="309"/>
    </row>
    <row r="39" spans="2:25" x14ac:dyDescent="0.2">
      <c r="B39" s="562" t="s">
        <v>1698</v>
      </c>
      <c r="C39" s="563" t="s">
        <v>1708</v>
      </c>
      <c r="D39" s="563"/>
      <c r="E39" s="571"/>
      <c r="O39" s="307" t="s">
        <v>2856</v>
      </c>
      <c r="Q39" s="307" t="s">
        <v>2950</v>
      </c>
      <c r="R39" s="307">
        <v>73</v>
      </c>
      <c r="S39" s="307">
        <v>35</v>
      </c>
      <c r="Y39" s="309"/>
    </row>
    <row r="40" spans="2:25" x14ac:dyDescent="0.2">
      <c r="B40" s="562" t="s">
        <v>1699</v>
      </c>
      <c r="C40" s="563" t="s">
        <v>1723</v>
      </c>
      <c r="D40" s="563"/>
      <c r="E40" s="571"/>
      <c r="O40" s="307" t="s">
        <v>2927</v>
      </c>
      <c r="P40" s="579"/>
      <c r="Q40" s="307" t="s">
        <v>2951</v>
      </c>
      <c r="R40" s="307">
        <v>77</v>
      </c>
      <c r="S40" s="307">
        <v>37</v>
      </c>
      <c r="Y40" s="309"/>
    </row>
    <row r="41" spans="2:25" x14ac:dyDescent="0.2">
      <c r="B41" s="562" t="s">
        <v>1700</v>
      </c>
      <c r="C41" s="563" t="s">
        <v>1591</v>
      </c>
      <c r="D41" s="563"/>
      <c r="E41" s="571"/>
      <c r="O41" s="307" t="s">
        <v>2930</v>
      </c>
      <c r="Q41" s="307" t="s">
        <v>2954</v>
      </c>
      <c r="R41" s="307">
        <v>82</v>
      </c>
      <c r="S41" s="307">
        <v>39</v>
      </c>
      <c r="Y41" s="309"/>
    </row>
    <row r="42" spans="2:25" x14ac:dyDescent="0.2">
      <c r="B42" s="562" t="s">
        <v>1698</v>
      </c>
      <c r="C42" s="563" t="s">
        <v>1709</v>
      </c>
      <c r="D42" s="563"/>
      <c r="E42" s="571"/>
      <c r="O42" s="307" t="s">
        <v>2931</v>
      </c>
      <c r="P42" s="579"/>
      <c r="Q42" s="307" t="s">
        <v>2955</v>
      </c>
      <c r="R42" s="307">
        <v>81</v>
      </c>
      <c r="S42" s="307">
        <v>40</v>
      </c>
      <c r="Y42" s="309"/>
    </row>
    <row r="43" spans="2:25" x14ac:dyDescent="0.2">
      <c r="B43" s="562" t="s">
        <v>1699</v>
      </c>
      <c r="C43" s="563" t="s">
        <v>1724</v>
      </c>
      <c r="D43" s="563"/>
      <c r="E43" s="571"/>
      <c r="O43" s="307" t="s">
        <v>2952</v>
      </c>
      <c r="Q43" s="307" t="s">
        <v>2956</v>
      </c>
      <c r="R43" s="307">
        <v>79</v>
      </c>
      <c r="S43" s="307">
        <v>41</v>
      </c>
      <c r="Y43" s="309"/>
    </row>
    <row r="44" spans="2:25" x14ac:dyDescent="0.2">
      <c r="B44" s="562" t="s">
        <v>1700</v>
      </c>
      <c r="C44" s="563" t="s">
        <v>1592</v>
      </c>
      <c r="D44" s="563"/>
      <c r="E44" s="571"/>
      <c r="Y44" s="309"/>
    </row>
    <row r="45" spans="2:25" x14ac:dyDescent="0.2">
      <c r="B45" s="562" t="s">
        <v>1698</v>
      </c>
      <c r="C45" s="563" t="s">
        <v>1710</v>
      </c>
      <c r="D45" s="563"/>
      <c r="E45" s="571"/>
      <c r="Y45" s="309"/>
    </row>
    <row r="46" spans="2:25" x14ac:dyDescent="0.2">
      <c r="B46" s="562" t="s">
        <v>1699</v>
      </c>
      <c r="C46" s="563" t="s">
        <v>735</v>
      </c>
      <c r="D46" s="563"/>
      <c r="E46" s="571"/>
      <c r="Y46" s="309"/>
    </row>
    <row r="47" spans="2:25" x14ac:dyDescent="0.2">
      <c r="B47" s="562" t="s">
        <v>1700</v>
      </c>
      <c r="C47" s="563" t="s">
        <v>1593</v>
      </c>
      <c r="D47" s="563"/>
      <c r="E47" s="571"/>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2017-01-19T08:07:37Z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