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Library/Mobile Documents/com~apple~CloudDocs/Project/Data:Analysis/"/>
    </mc:Choice>
  </mc:AlternateContent>
  <xr:revisionPtr revIDLastSave="0" documentId="13_ncr:1_{A0777274-4D84-D442-B30C-A5369A02797F}" xr6:coauthVersionLast="47" xr6:coauthVersionMax="47" xr10:uidLastSave="{00000000-0000-0000-0000-000000000000}"/>
  <bookViews>
    <workbookView xWindow="900" yWindow="500" windowWidth="24600" windowHeight="14060" firstSheet="2" activeTab="7" xr2:uid="{E2427F83-B15F-C447-AD0B-5A75AE5279B3}"/>
  </bookViews>
  <sheets>
    <sheet name="Base A" sheetId="5" r:id="rId1"/>
    <sheet name="Base B" sheetId="6" r:id="rId2"/>
    <sheet name="Base C" sheetId="18" r:id="rId3"/>
    <sheet name="Base D" sheetId="2" r:id="rId4"/>
    <sheet name="Base E" sheetId="3" r:id="rId5"/>
    <sheet name="Base F" sheetId="19" r:id="rId6"/>
    <sheet name="ClosedRing" sheetId="14" r:id="rId7"/>
    <sheet name="Gaussian" sheetId="13" r:id="rId8"/>
    <sheet name="JvsX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3" l="1"/>
  <c r="H7" i="13"/>
  <c r="I12" i="13"/>
  <c r="H5" i="13"/>
  <c r="H10" i="13"/>
  <c r="H11" i="13"/>
  <c r="G8" i="13"/>
  <c r="H9" i="13"/>
  <c r="H6" i="13"/>
  <c r="I6" i="13" s="1"/>
  <c r="H3" i="13"/>
  <c r="H2" i="13"/>
  <c r="H3" i="14"/>
  <c r="I3" i="14"/>
  <c r="H7" i="14"/>
  <c r="I7" i="14"/>
  <c r="H11" i="14"/>
  <c r="I11" i="14"/>
  <c r="H12" i="14"/>
  <c r="I12" i="14"/>
  <c r="H16" i="14"/>
  <c r="I16" i="14"/>
  <c r="K16" i="14" s="1"/>
  <c r="N16" i="14" s="1"/>
  <c r="H17" i="14"/>
  <c r="I17" i="14"/>
  <c r="I2" i="14"/>
  <c r="H2" i="14"/>
  <c r="J2" i="14" s="1"/>
  <c r="M2" i="14" s="1"/>
  <c r="H3" i="19"/>
  <c r="J3" i="19" s="1"/>
  <c r="M3" i="19" s="1"/>
  <c r="I3" i="19"/>
  <c r="H4" i="19"/>
  <c r="I4" i="19"/>
  <c r="H5" i="19"/>
  <c r="J5" i="19" s="1"/>
  <c r="M5" i="19" s="1"/>
  <c r="I5" i="19"/>
  <c r="H9" i="19"/>
  <c r="J9" i="19" s="1"/>
  <c r="M9" i="19" s="1"/>
  <c r="I9" i="19"/>
  <c r="H10" i="19"/>
  <c r="I10" i="19"/>
  <c r="H14" i="19"/>
  <c r="I14" i="19"/>
  <c r="H15" i="19"/>
  <c r="J15" i="19" s="1"/>
  <c r="M15" i="19" s="1"/>
  <c r="I15" i="19"/>
  <c r="H16" i="19"/>
  <c r="I16" i="19"/>
  <c r="H17" i="19"/>
  <c r="I17" i="19"/>
  <c r="H18" i="19"/>
  <c r="I18" i="19"/>
  <c r="H22" i="19"/>
  <c r="I22" i="19"/>
  <c r="I2" i="19"/>
  <c r="H2" i="19"/>
  <c r="H3" i="3"/>
  <c r="I3" i="3"/>
  <c r="K3" i="3" s="1"/>
  <c r="N3" i="3" s="1"/>
  <c r="H4" i="3"/>
  <c r="I4" i="3"/>
  <c r="K4" i="3" s="1"/>
  <c r="N4" i="3" s="1"/>
  <c r="H5" i="3"/>
  <c r="I5" i="3"/>
  <c r="K5" i="3" s="1"/>
  <c r="N5" i="3" s="1"/>
  <c r="H9" i="3"/>
  <c r="I9" i="3"/>
  <c r="H10" i="3"/>
  <c r="I10" i="3"/>
  <c r="H11" i="3"/>
  <c r="I11" i="3"/>
  <c r="K11" i="3" s="1"/>
  <c r="N11" i="3" s="1"/>
  <c r="H15" i="3"/>
  <c r="I15" i="3"/>
  <c r="K15" i="3" s="1"/>
  <c r="N15" i="3" s="1"/>
  <c r="H16" i="3"/>
  <c r="I16" i="3"/>
  <c r="H17" i="3"/>
  <c r="I17" i="3"/>
  <c r="H18" i="3"/>
  <c r="I18" i="3"/>
  <c r="K18" i="3" s="1"/>
  <c r="N18" i="3" s="1"/>
  <c r="H22" i="3"/>
  <c r="I22" i="3"/>
  <c r="H23" i="3"/>
  <c r="I23" i="3"/>
  <c r="K23" i="3" s="1"/>
  <c r="N23" i="3" s="1"/>
  <c r="H24" i="3"/>
  <c r="I24" i="3"/>
  <c r="H25" i="3"/>
  <c r="I25" i="3"/>
  <c r="K25" i="3" s="1"/>
  <c r="N25" i="3" s="1"/>
  <c r="H26" i="3"/>
  <c r="I26" i="3"/>
  <c r="H27" i="3"/>
  <c r="I27" i="3"/>
  <c r="K27" i="3" s="1"/>
  <c r="N27" i="3" s="1"/>
  <c r="H31" i="3"/>
  <c r="I31" i="3"/>
  <c r="K31" i="3" s="1"/>
  <c r="N31" i="3" s="1"/>
  <c r="H32" i="3"/>
  <c r="I32" i="3"/>
  <c r="H33" i="3"/>
  <c r="I33" i="3"/>
  <c r="H37" i="3"/>
  <c r="I37" i="3"/>
  <c r="K37" i="3" s="1"/>
  <c r="N37" i="3" s="1"/>
  <c r="N38" i="3" s="1"/>
  <c r="U7" i="3" s="1"/>
  <c r="I2" i="3"/>
  <c r="H2" i="3"/>
  <c r="J2" i="3" s="1"/>
  <c r="M2" i="3" s="1"/>
  <c r="H3" i="2"/>
  <c r="I3" i="2"/>
  <c r="K3" i="2" s="1"/>
  <c r="N3" i="2" s="1"/>
  <c r="H4" i="2"/>
  <c r="I4" i="2"/>
  <c r="H5" i="2"/>
  <c r="I5" i="2"/>
  <c r="K5" i="2" s="1"/>
  <c r="N5" i="2" s="1"/>
  <c r="H6" i="2"/>
  <c r="I6" i="2"/>
  <c r="H7" i="2"/>
  <c r="I7" i="2"/>
  <c r="K7" i="2" s="1"/>
  <c r="N7" i="2" s="1"/>
  <c r="H11" i="2"/>
  <c r="I11" i="2"/>
  <c r="K11" i="2" s="1"/>
  <c r="N11" i="2" s="1"/>
  <c r="H12" i="2"/>
  <c r="I12" i="2"/>
  <c r="H13" i="2"/>
  <c r="I13" i="2"/>
  <c r="K13" i="2" s="1"/>
  <c r="N13" i="2" s="1"/>
  <c r="H14" i="2"/>
  <c r="I14" i="2"/>
  <c r="H15" i="2"/>
  <c r="I15" i="2"/>
  <c r="K15" i="2" s="1"/>
  <c r="N15" i="2" s="1"/>
  <c r="H16" i="2"/>
  <c r="I16" i="2"/>
  <c r="H20" i="2"/>
  <c r="I20" i="2"/>
  <c r="H21" i="2"/>
  <c r="I21" i="2"/>
  <c r="K21" i="2" s="1"/>
  <c r="N21" i="2" s="1"/>
  <c r="H22" i="2"/>
  <c r="J22" i="2" s="1"/>
  <c r="M22" i="2" s="1"/>
  <c r="I22" i="2"/>
  <c r="H26" i="2"/>
  <c r="I26" i="2"/>
  <c r="H27" i="2"/>
  <c r="I27" i="2"/>
  <c r="K27" i="2" s="1"/>
  <c r="N27" i="2" s="1"/>
  <c r="H28" i="2"/>
  <c r="I28" i="2"/>
  <c r="H29" i="2"/>
  <c r="I29" i="2"/>
  <c r="K29" i="2" s="1"/>
  <c r="N29" i="2" s="1"/>
  <c r="H33" i="2"/>
  <c r="I33" i="2"/>
  <c r="K33" i="2" s="1"/>
  <c r="N33" i="2" s="1"/>
  <c r="H34" i="2"/>
  <c r="I34" i="2"/>
  <c r="H35" i="2"/>
  <c r="I35" i="2"/>
  <c r="H36" i="2"/>
  <c r="I36" i="2"/>
  <c r="I2" i="2"/>
  <c r="H2" i="2"/>
  <c r="J2" i="2" s="1"/>
  <c r="M2" i="2" s="1"/>
  <c r="H3" i="18"/>
  <c r="I3" i="18"/>
  <c r="H4" i="18"/>
  <c r="I4" i="18"/>
  <c r="H5" i="18"/>
  <c r="I5" i="18"/>
  <c r="H9" i="18"/>
  <c r="I9" i="18"/>
  <c r="H10" i="18"/>
  <c r="I10" i="18"/>
  <c r="I2" i="18"/>
  <c r="H2" i="18"/>
  <c r="H3" i="6"/>
  <c r="I3" i="6"/>
  <c r="H4" i="6"/>
  <c r="I4" i="6"/>
  <c r="K4" i="6" s="1"/>
  <c r="N4" i="6" s="1"/>
  <c r="H8" i="6"/>
  <c r="I8" i="6"/>
  <c r="H9" i="6"/>
  <c r="I9" i="6"/>
  <c r="H10" i="6"/>
  <c r="I10" i="6"/>
  <c r="K10" i="6" s="1"/>
  <c r="N10" i="6" s="1"/>
  <c r="H14" i="6"/>
  <c r="I14" i="6"/>
  <c r="K14" i="6" s="1"/>
  <c r="N14" i="6" s="1"/>
  <c r="H15" i="6"/>
  <c r="I15" i="6"/>
  <c r="H19" i="6"/>
  <c r="I19" i="6"/>
  <c r="H23" i="6"/>
  <c r="I23" i="6"/>
  <c r="H24" i="6"/>
  <c r="I24" i="6"/>
  <c r="K24" i="6" s="1"/>
  <c r="N24" i="6" s="1"/>
  <c r="N27" i="6" s="1"/>
  <c r="W6" i="6" s="1"/>
  <c r="H25" i="6"/>
  <c r="I25" i="6"/>
  <c r="I2" i="6"/>
  <c r="H2" i="6"/>
  <c r="I2" i="5"/>
  <c r="I3" i="5"/>
  <c r="K3" i="5" s="1"/>
  <c r="N3" i="5" s="1"/>
  <c r="I4" i="5"/>
  <c r="I5" i="5"/>
  <c r="K5" i="5"/>
  <c r="N5" i="5" s="1"/>
  <c r="H4" i="5"/>
  <c r="H5" i="5"/>
  <c r="H2" i="5"/>
  <c r="J2" i="5" s="1"/>
  <c r="M2" i="5" s="1"/>
  <c r="H3" i="5"/>
  <c r="H9" i="5"/>
  <c r="I9" i="5"/>
  <c r="K9" i="5" s="1"/>
  <c r="N9" i="5" s="1"/>
  <c r="H10" i="5"/>
  <c r="I10" i="5"/>
  <c r="H14" i="5"/>
  <c r="I14" i="5"/>
  <c r="H18" i="5"/>
  <c r="I18" i="5"/>
  <c r="H19" i="5"/>
  <c r="I19" i="5"/>
  <c r="H20" i="5"/>
  <c r="I20" i="5"/>
  <c r="H24" i="5"/>
  <c r="I24" i="5"/>
  <c r="H25" i="5"/>
  <c r="I25" i="5"/>
  <c r="H26" i="5"/>
  <c r="I26" i="5"/>
  <c r="H27" i="5"/>
  <c r="I27" i="5"/>
  <c r="K27" i="5" s="1"/>
  <c r="N27" i="5" s="1"/>
  <c r="H31" i="5"/>
  <c r="I31" i="5"/>
  <c r="K31" i="5" s="1"/>
  <c r="N31" i="5" s="1"/>
  <c r="H32" i="5"/>
  <c r="I32" i="5"/>
  <c r="H33" i="5"/>
  <c r="I33" i="5"/>
  <c r="H34" i="5"/>
  <c r="I34" i="5"/>
  <c r="H35" i="5"/>
  <c r="I35" i="5"/>
  <c r="K35" i="5" s="1"/>
  <c r="N35" i="5" s="1"/>
  <c r="H39" i="5"/>
  <c r="I39" i="5"/>
  <c r="H43" i="5"/>
  <c r="I43" i="5"/>
  <c r="K43" i="5" s="1"/>
  <c r="N43" i="5" s="1"/>
  <c r="H44" i="5"/>
  <c r="I44" i="5"/>
  <c r="H48" i="5"/>
  <c r="I48" i="5"/>
  <c r="H49" i="5"/>
  <c r="I49" i="5"/>
  <c r="K49" i="5" s="1"/>
  <c r="N49" i="5" s="1"/>
  <c r="H50" i="5"/>
  <c r="I50" i="5"/>
  <c r="H54" i="5"/>
  <c r="I54" i="5"/>
  <c r="K2" i="5"/>
  <c r="N2" i="5" s="1"/>
  <c r="J16" i="19"/>
  <c r="M16" i="19" s="1"/>
  <c r="J14" i="19"/>
  <c r="M14" i="19" s="1"/>
  <c r="J32" i="3"/>
  <c r="M32" i="3" s="1"/>
  <c r="J27" i="3"/>
  <c r="M27" i="3" s="1"/>
  <c r="J16" i="3"/>
  <c r="M16" i="3" s="1"/>
  <c r="J11" i="3"/>
  <c r="M11" i="3" s="1"/>
  <c r="J9" i="3"/>
  <c r="M9" i="3" s="1"/>
  <c r="J4" i="3"/>
  <c r="M4" i="3" s="1"/>
  <c r="J27" i="2"/>
  <c r="M27" i="2" s="1"/>
  <c r="J20" i="2"/>
  <c r="M20" i="2" s="1"/>
  <c r="J13" i="2"/>
  <c r="M13" i="2" s="1"/>
  <c r="J11" i="2"/>
  <c r="M11" i="2" s="1"/>
  <c r="J6" i="2"/>
  <c r="M6" i="2" s="1"/>
  <c r="J4" i="2"/>
  <c r="M4" i="2" s="1"/>
  <c r="J23" i="6"/>
  <c r="M23" i="6" s="1"/>
  <c r="J15" i="6"/>
  <c r="M15" i="6" s="1"/>
  <c r="J10" i="6"/>
  <c r="M10" i="6" s="1"/>
  <c r="J8" i="6"/>
  <c r="M8" i="6" s="1"/>
  <c r="J50" i="5"/>
  <c r="M50" i="5" s="1"/>
  <c r="J48" i="5"/>
  <c r="M48" i="5" s="1"/>
  <c r="J43" i="5"/>
  <c r="M43" i="5" s="1"/>
  <c r="J35" i="5"/>
  <c r="M35" i="5" s="1"/>
  <c r="J33" i="5"/>
  <c r="M33" i="5" s="1"/>
  <c r="J31" i="5"/>
  <c r="M31" i="5" s="1"/>
  <c r="J26" i="5"/>
  <c r="M26" i="5" s="1"/>
  <c r="J24" i="5"/>
  <c r="M24" i="5" s="1"/>
  <c r="J19" i="5"/>
  <c r="M19" i="5" s="1"/>
  <c r="J14" i="5"/>
  <c r="M14" i="5" s="1"/>
  <c r="M16" i="5" s="1"/>
  <c r="J9" i="5"/>
  <c r="M9" i="5" s="1"/>
  <c r="I14" i="18"/>
  <c r="H14" i="18"/>
  <c r="J14" i="18" s="1"/>
  <c r="M14" i="18" s="1"/>
  <c r="J36" i="2"/>
  <c r="M36" i="2" s="1"/>
  <c r="J34" i="2"/>
  <c r="M34" i="2" s="1"/>
  <c r="J37" i="3"/>
  <c r="M37" i="3" s="1"/>
  <c r="M39" i="3" s="1"/>
  <c r="J22" i="19"/>
  <c r="M22" i="19" s="1"/>
  <c r="M24" i="19" s="1"/>
  <c r="J24" i="6"/>
  <c r="M24" i="6" s="1"/>
  <c r="J10" i="18"/>
  <c r="M10" i="18" s="1"/>
  <c r="J18" i="19"/>
  <c r="M18" i="19" s="1"/>
  <c r="J16" i="14"/>
  <c r="M16" i="14" s="1"/>
  <c r="G12" i="13"/>
  <c r="F12" i="13"/>
  <c r="I2" i="13"/>
  <c r="G2" i="13"/>
  <c r="F2" i="13"/>
  <c r="G14" i="14"/>
  <c r="F14" i="14"/>
  <c r="E14" i="14"/>
  <c r="D14" i="14"/>
  <c r="G13" i="14"/>
  <c r="F13" i="14"/>
  <c r="E13" i="14"/>
  <c r="D13" i="14"/>
  <c r="K12" i="14"/>
  <c r="N12" i="14" s="1"/>
  <c r="J12" i="14"/>
  <c r="M12" i="14" s="1"/>
  <c r="K11" i="14"/>
  <c r="N11" i="14" s="1"/>
  <c r="J11" i="14"/>
  <c r="M11" i="14" s="1"/>
  <c r="K7" i="14"/>
  <c r="N7" i="14" s="1"/>
  <c r="J7" i="14"/>
  <c r="M7" i="14" s="1"/>
  <c r="G5" i="14"/>
  <c r="F5" i="14"/>
  <c r="E5" i="14"/>
  <c r="D5" i="14"/>
  <c r="G4" i="14"/>
  <c r="F4" i="14"/>
  <c r="E4" i="14"/>
  <c r="D4" i="14"/>
  <c r="K3" i="14"/>
  <c r="N3" i="14" s="1"/>
  <c r="J3" i="14"/>
  <c r="M3" i="14" s="1"/>
  <c r="K2" i="14"/>
  <c r="N2" i="14" s="1"/>
  <c r="G23" i="19"/>
  <c r="F23" i="19"/>
  <c r="E23" i="19"/>
  <c r="D23" i="19"/>
  <c r="K22" i="19"/>
  <c r="N22" i="19" s="1"/>
  <c r="K18" i="19"/>
  <c r="N18" i="19" s="1"/>
  <c r="K17" i="19"/>
  <c r="N17" i="19" s="1"/>
  <c r="J17" i="19"/>
  <c r="M17" i="19" s="1"/>
  <c r="K16" i="19"/>
  <c r="N16" i="19" s="1"/>
  <c r="K15" i="19"/>
  <c r="N15" i="19" s="1"/>
  <c r="K14" i="19"/>
  <c r="N14" i="19" s="1"/>
  <c r="N10" i="19"/>
  <c r="K10" i="19"/>
  <c r="J10" i="19"/>
  <c r="M10" i="19" s="1"/>
  <c r="K9" i="19"/>
  <c r="N9" i="19" s="1"/>
  <c r="G7" i="19"/>
  <c r="F7" i="19"/>
  <c r="E7" i="19"/>
  <c r="D7" i="19"/>
  <c r="G6" i="19"/>
  <c r="F6" i="19"/>
  <c r="E6" i="19"/>
  <c r="D6" i="19"/>
  <c r="AD5" i="19"/>
  <c r="Z5" i="19"/>
  <c r="K5" i="19"/>
  <c r="N5" i="19" s="1"/>
  <c r="K4" i="19"/>
  <c r="N4" i="19" s="1"/>
  <c r="J4" i="19"/>
  <c r="M4" i="19" s="1"/>
  <c r="AE3" i="19"/>
  <c r="AA3" i="19"/>
  <c r="K3" i="19"/>
  <c r="N3" i="19" s="1"/>
  <c r="K2" i="19"/>
  <c r="N2" i="19" s="1"/>
  <c r="J2" i="19"/>
  <c r="M2" i="19" s="1"/>
  <c r="K33" i="3"/>
  <c r="N33" i="3" s="1"/>
  <c r="J33" i="3"/>
  <c r="M33" i="3" s="1"/>
  <c r="K32" i="3"/>
  <c r="N32" i="3" s="1"/>
  <c r="J31" i="3"/>
  <c r="M31" i="3" s="1"/>
  <c r="G29" i="3"/>
  <c r="F29" i="3"/>
  <c r="Z5" i="3" s="1"/>
  <c r="E29" i="3"/>
  <c r="D29" i="3"/>
  <c r="G28" i="3"/>
  <c r="F28" i="3"/>
  <c r="E28" i="3"/>
  <c r="D28" i="3"/>
  <c r="K26" i="3"/>
  <c r="N26" i="3" s="1"/>
  <c r="J26" i="3"/>
  <c r="M26" i="3" s="1"/>
  <c r="J25" i="3"/>
  <c r="M25" i="3" s="1"/>
  <c r="K24" i="3"/>
  <c r="N24" i="3" s="1"/>
  <c r="J24" i="3"/>
  <c r="M24" i="3" s="1"/>
  <c r="J23" i="3"/>
  <c r="M23" i="3" s="1"/>
  <c r="K22" i="3"/>
  <c r="N22" i="3" s="1"/>
  <c r="J22" i="3"/>
  <c r="M22" i="3" s="1"/>
  <c r="J18" i="3"/>
  <c r="M18" i="3" s="1"/>
  <c r="K17" i="3"/>
  <c r="N17" i="3" s="1"/>
  <c r="J17" i="3"/>
  <c r="M17" i="3" s="1"/>
  <c r="K16" i="3"/>
  <c r="N16" i="3" s="1"/>
  <c r="J15" i="3"/>
  <c r="M15" i="3" s="1"/>
  <c r="K10" i="3"/>
  <c r="N10" i="3" s="1"/>
  <c r="J10" i="3"/>
  <c r="M10" i="3" s="1"/>
  <c r="K9" i="3"/>
  <c r="N9" i="3" s="1"/>
  <c r="G7" i="3"/>
  <c r="F7" i="3"/>
  <c r="E7" i="3"/>
  <c r="D7" i="3"/>
  <c r="G6" i="3"/>
  <c r="F6" i="3"/>
  <c r="E6" i="3"/>
  <c r="D6" i="3"/>
  <c r="AJ5" i="3"/>
  <c r="AG5" i="3"/>
  <c r="AD5" i="3"/>
  <c r="AC5" i="3"/>
  <c r="Y5" i="3"/>
  <c r="J5" i="3"/>
  <c r="M5" i="3" s="1"/>
  <c r="AD4" i="3"/>
  <c r="AC3" i="3"/>
  <c r="J3" i="3"/>
  <c r="M3" i="3" s="1"/>
  <c r="K2" i="3"/>
  <c r="N2" i="3" s="1"/>
  <c r="K35" i="2"/>
  <c r="N35" i="2" s="1"/>
  <c r="J35" i="2"/>
  <c r="M35" i="2" s="1"/>
  <c r="K34" i="2"/>
  <c r="N34" i="2" s="1"/>
  <c r="J33" i="2"/>
  <c r="M33" i="2" s="1"/>
  <c r="G31" i="2"/>
  <c r="F31" i="2"/>
  <c r="E31" i="2"/>
  <c r="D31" i="2"/>
  <c r="G30" i="2"/>
  <c r="F30" i="2"/>
  <c r="E30" i="2"/>
  <c r="D30" i="2"/>
  <c r="J29" i="2"/>
  <c r="M29" i="2" s="1"/>
  <c r="K28" i="2"/>
  <c r="N28" i="2" s="1"/>
  <c r="J28" i="2"/>
  <c r="M28" i="2" s="1"/>
  <c r="K26" i="2"/>
  <c r="N26" i="2" s="1"/>
  <c r="J26" i="2"/>
  <c r="M26" i="2" s="1"/>
  <c r="G24" i="2"/>
  <c r="F24" i="2"/>
  <c r="E24" i="2"/>
  <c r="D24" i="2"/>
  <c r="G23" i="2"/>
  <c r="F23" i="2"/>
  <c r="E23" i="2"/>
  <c r="D23" i="2"/>
  <c r="AG4" i="2" s="1"/>
  <c r="K22" i="2"/>
  <c r="N22" i="2" s="1"/>
  <c r="J21" i="2"/>
  <c r="M21" i="2" s="1"/>
  <c r="K20" i="2"/>
  <c r="N20" i="2" s="1"/>
  <c r="K16" i="2"/>
  <c r="N16" i="2" s="1"/>
  <c r="J16" i="2"/>
  <c r="M16" i="2" s="1"/>
  <c r="J15" i="2"/>
  <c r="M15" i="2" s="1"/>
  <c r="K14" i="2"/>
  <c r="N14" i="2" s="1"/>
  <c r="J14" i="2"/>
  <c r="M14" i="2" s="1"/>
  <c r="K12" i="2"/>
  <c r="N12" i="2" s="1"/>
  <c r="J12" i="2"/>
  <c r="M12" i="2" s="1"/>
  <c r="G9" i="2"/>
  <c r="F9" i="2"/>
  <c r="E9" i="2"/>
  <c r="D9" i="2"/>
  <c r="G8" i="2"/>
  <c r="F8" i="2"/>
  <c r="E8" i="2"/>
  <c r="D8" i="2"/>
  <c r="J7" i="2"/>
  <c r="M7" i="2" s="1"/>
  <c r="K6" i="2"/>
  <c r="N6" i="2" s="1"/>
  <c r="J5" i="2"/>
  <c r="M5" i="2" s="1"/>
  <c r="AJ4" i="2"/>
  <c r="AD4" i="2"/>
  <c r="AC4" i="2"/>
  <c r="Z4" i="2"/>
  <c r="Y4" i="2"/>
  <c r="K4" i="2"/>
  <c r="N4" i="2" s="1"/>
  <c r="J3" i="2"/>
  <c r="M3" i="2" s="1"/>
  <c r="K2" i="2"/>
  <c r="N2" i="2" s="1"/>
  <c r="K10" i="18"/>
  <c r="N10" i="18" s="1"/>
  <c r="K9" i="18"/>
  <c r="N9" i="18" s="1"/>
  <c r="J9" i="18"/>
  <c r="M9" i="18" s="1"/>
  <c r="G7" i="18"/>
  <c r="F7" i="18"/>
  <c r="E7" i="18"/>
  <c r="D7" i="18"/>
  <c r="G6" i="18"/>
  <c r="F6" i="18"/>
  <c r="E6" i="18"/>
  <c r="D6" i="18"/>
  <c r="J5" i="18"/>
  <c r="M5" i="18" s="1"/>
  <c r="K5" i="18"/>
  <c r="N5" i="18" s="1"/>
  <c r="K4" i="18"/>
  <c r="N4" i="18" s="1"/>
  <c r="J4" i="18"/>
  <c r="M4" i="18" s="1"/>
  <c r="AK3" i="18"/>
  <c r="AH3" i="18"/>
  <c r="AE3" i="18"/>
  <c r="K3" i="18"/>
  <c r="N3" i="18" s="1"/>
  <c r="J3" i="18"/>
  <c r="M3" i="18" s="1"/>
  <c r="AK2" i="18"/>
  <c r="AH2" i="18"/>
  <c r="K2" i="18"/>
  <c r="N2" i="18" s="1"/>
  <c r="J2" i="18"/>
  <c r="M2" i="18" s="1"/>
  <c r="E27" i="6"/>
  <c r="D27" i="6"/>
  <c r="G26" i="6"/>
  <c r="AD6" i="6" s="1"/>
  <c r="F26" i="6"/>
  <c r="E26" i="6"/>
  <c r="D26" i="6"/>
  <c r="K25" i="6"/>
  <c r="N25" i="6" s="1"/>
  <c r="J25" i="6"/>
  <c r="M25" i="6" s="1"/>
  <c r="K23" i="6"/>
  <c r="N23" i="6" s="1"/>
  <c r="K19" i="6"/>
  <c r="N19" i="6" s="1"/>
  <c r="N21" i="6" s="1"/>
  <c r="J19" i="6"/>
  <c r="M19" i="6" s="1"/>
  <c r="M21" i="6" s="1"/>
  <c r="K15" i="6"/>
  <c r="N15" i="6" s="1"/>
  <c r="J14" i="6"/>
  <c r="M14" i="6" s="1"/>
  <c r="K9" i="6"/>
  <c r="N9" i="6" s="1"/>
  <c r="J9" i="6"/>
  <c r="M9" i="6" s="1"/>
  <c r="K8" i="6"/>
  <c r="N8" i="6" s="1"/>
  <c r="AK6" i="6"/>
  <c r="AH6" i="6"/>
  <c r="Z6" i="6"/>
  <c r="G6" i="6"/>
  <c r="F6" i="6"/>
  <c r="E6" i="6"/>
  <c r="D6" i="6"/>
  <c r="AD5" i="6"/>
  <c r="Z5" i="6"/>
  <c r="G5" i="6"/>
  <c r="F5" i="6"/>
  <c r="E5" i="6"/>
  <c r="D5" i="6"/>
  <c r="J4" i="6"/>
  <c r="M4" i="6" s="1"/>
  <c r="K3" i="6"/>
  <c r="N3" i="6" s="1"/>
  <c r="J3" i="6"/>
  <c r="M3" i="6" s="1"/>
  <c r="K2" i="6"/>
  <c r="N2" i="6" s="1"/>
  <c r="J2" i="6"/>
  <c r="M2" i="6" s="1"/>
  <c r="J54" i="5"/>
  <c r="M54" i="5" s="1"/>
  <c r="M55" i="5" s="1"/>
  <c r="R10" i="5" s="1"/>
  <c r="K54" i="5"/>
  <c r="N54" i="5" s="1"/>
  <c r="N56" i="5" s="1"/>
  <c r="K50" i="5"/>
  <c r="N50" i="5" s="1"/>
  <c r="J49" i="5"/>
  <c r="M49" i="5" s="1"/>
  <c r="K48" i="5"/>
  <c r="N48" i="5" s="1"/>
  <c r="J44" i="5"/>
  <c r="M44" i="5" s="1"/>
  <c r="K44" i="5"/>
  <c r="N44" i="5" s="1"/>
  <c r="J39" i="5"/>
  <c r="M39" i="5" s="1"/>
  <c r="M41" i="5" s="1"/>
  <c r="K39" i="5"/>
  <c r="N39" i="5" s="1"/>
  <c r="N41" i="5" s="1"/>
  <c r="J34" i="5"/>
  <c r="M34" i="5" s="1"/>
  <c r="K34" i="5"/>
  <c r="N34" i="5" s="1"/>
  <c r="K33" i="5"/>
  <c r="N33" i="5" s="1"/>
  <c r="J32" i="5"/>
  <c r="M32" i="5" s="1"/>
  <c r="K32" i="5"/>
  <c r="N32" i="5" s="1"/>
  <c r="G29" i="5"/>
  <c r="F29" i="5"/>
  <c r="E29" i="5"/>
  <c r="D29" i="5"/>
  <c r="G28" i="5"/>
  <c r="F28" i="5"/>
  <c r="E28" i="5"/>
  <c r="D28" i="5"/>
  <c r="J27" i="5"/>
  <c r="M27" i="5" s="1"/>
  <c r="K26" i="5"/>
  <c r="N26" i="5" s="1"/>
  <c r="J25" i="5"/>
  <c r="M25" i="5" s="1"/>
  <c r="K25" i="5"/>
  <c r="N25" i="5" s="1"/>
  <c r="K24" i="5"/>
  <c r="N24" i="5" s="1"/>
  <c r="G22" i="5"/>
  <c r="F22" i="5"/>
  <c r="E22" i="5"/>
  <c r="D22" i="5"/>
  <c r="G21" i="5"/>
  <c r="F21" i="5"/>
  <c r="E21" i="5"/>
  <c r="D21" i="5"/>
  <c r="J20" i="5"/>
  <c r="M20" i="5" s="1"/>
  <c r="K20" i="5"/>
  <c r="N20" i="5" s="1"/>
  <c r="K19" i="5"/>
  <c r="N19" i="5" s="1"/>
  <c r="J18" i="5"/>
  <c r="M18" i="5" s="1"/>
  <c r="K18" i="5"/>
  <c r="N18" i="5" s="1"/>
  <c r="K14" i="5"/>
  <c r="N14" i="5" s="1"/>
  <c r="N16" i="5" s="1"/>
  <c r="J10" i="5"/>
  <c r="M10" i="5" s="1"/>
  <c r="K10" i="5"/>
  <c r="N10" i="5" s="1"/>
  <c r="AE9" i="5"/>
  <c r="G7" i="5"/>
  <c r="F7" i="5"/>
  <c r="E7" i="5"/>
  <c r="D7" i="5"/>
  <c r="G6" i="5"/>
  <c r="F6" i="5"/>
  <c r="E6" i="5"/>
  <c r="D6" i="5"/>
  <c r="AE5" i="5" a="1"/>
  <c r="AE5" i="5" s="1"/>
  <c r="AD5" i="5" a="1"/>
  <c r="AD5" i="5"/>
  <c r="AA5" i="5" a="1"/>
  <c r="AA5" i="5" s="1"/>
  <c r="Z5" i="5" a="1"/>
  <c r="Z5" i="5"/>
  <c r="J5" i="5"/>
  <c r="M5" i="5" s="1"/>
  <c r="K4" i="5"/>
  <c r="N4" i="5" s="1"/>
  <c r="J4" i="5"/>
  <c r="M4" i="5" s="1"/>
  <c r="AA3" i="5" a="1"/>
  <c r="AA3" i="5" s="1"/>
  <c r="J3" i="5"/>
  <c r="M3" i="5" s="1"/>
  <c r="G27" i="6"/>
  <c r="AE6" i="6" s="1"/>
  <c r="F27" i="6"/>
  <c r="AA6" i="6" s="1"/>
  <c r="K14" i="18"/>
  <c r="N14" i="18" s="1"/>
  <c r="K36" i="2"/>
  <c r="N36" i="2" s="1"/>
  <c r="G24" i="19"/>
  <c r="F24" i="19"/>
  <c r="E24" i="19"/>
  <c r="D24" i="19"/>
  <c r="K17" i="14"/>
  <c r="N17" i="14" s="1"/>
  <c r="J17" i="14"/>
  <c r="M17" i="14" s="1"/>
  <c r="F8" i="13"/>
  <c r="G9" i="13"/>
  <c r="F9" i="13" s="1"/>
  <c r="G10" i="13"/>
  <c r="F10" i="13"/>
  <c r="I3" i="13"/>
  <c r="I4" i="13"/>
  <c r="I5" i="13"/>
  <c r="I7" i="13"/>
  <c r="I8" i="13"/>
  <c r="I9" i="13"/>
  <c r="I10" i="13"/>
  <c r="I11" i="13"/>
  <c r="I13" i="13"/>
  <c r="I14" i="13"/>
  <c r="I15" i="13"/>
  <c r="I16" i="13"/>
  <c r="I17" i="13"/>
  <c r="E51" i="5"/>
  <c r="F51" i="5"/>
  <c r="Z9" i="5" s="1"/>
  <c r="G51" i="5"/>
  <c r="AD9" i="5" s="1"/>
  <c r="E52" i="5"/>
  <c r="F52" i="5"/>
  <c r="AA9" i="5" s="1"/>
  <c r="G52" i="5"/>
  <c r="D52" i="5"/>
  <c r="D51" i="5"/>
  <c r="F3" i="13"/>
  <c r="F13" i="13"/>
  <c r="F14" i="13"/>
  <c r="F17" i="13"/>
  <c r="G3" i="13"/>
  <c r="G4" i="13"/>
  <c r="F4" i="13" s="1"/>
  <c r="G5" i="13"/>
  <c r="F5" i="13" s="1"/>
  <c r="G6" i="13"/>
  <c r="F6" i="13" s="1"/>
  <c r="G7" i="13"/>
  <c r="F7" i="13" s="1"/>
  <c r="G11" i="13"/>
  <c r="F11" i="13" s="1"/>
  <c r="G13" i="13"/>
  <c r="G14" i="13"/>
  <c r="G15" i="13"/>
  <c r="F15" i="13" s="1"/>
  <c r="G16" i="13"/>
  <c r="F16" i="13" s="1"/>
  <c r="G17" i="13"/>
  <c r="H8" i="13"/>
  <c r="H4" i="13"/>
  <c r="G20" i="19"/>
  <c r="AE4" i="19" s="1"/>
  <c r="F20" i="19"/>
  <c r="AA4" i="19" s="1"/>
  <c r="E20" i="19"/>
  <c r="D20" i="19"/>
  <c r="G19" i="19"/>
  <c r="AD4" i="19" s="1"/>
  <c r="F19" i="19"/>
  <c r="Z4" i="19" s="1"/>
  <c r="E19" i="19"/>
  <c r="AK5" i="19" s="1"/>
  <c r="D19" i="19"/>
  <c r="AH5" i="19" s="1"/>
  <c r="G12" i="19"/>
  <c r="F12" i="19"/>
  <c r="E12" i="19"/>
  <c r="D12" i="19"/>
  <c r="G11" i="19"/>
  <c r="AD3" i="19" s="1"/>
  <c r="F11" i="19"/>
  <c r="Z3" i="19" s="1"/>
  <c r="E11" i="19"/>
  <c r="D11" i="19"/>
  <c r="AE2" i="19"/>
  <c r="AA2" i="19"/>
  <c r="AD2" i="19"/>
  <c r="Z2" i="19"/>
  <c r="AK3" i="19"/>
  <c r="AH3" i="19"/>
  <c r="AK4" i="18"/>
  <c r="AH4" i="18"/>
  <c r="Z2" i="18"/>
  <c r="L16" i="18"/>
  <c r="G16" i="18"/>
  <c r="F16" i="18"/>
  <c r="E16" i="18"/>
  <c r="D16" i="18"/>
  <c r="L15" i="18"/>
  <c r="G15" i="18"/>
  <c r="F15" i="18"/>
  <c r="E15" i="18"/>
  <c r="D15" i="18"/>
  <c r="G12" i="18"/>
  <c r="F12" i="18"/>
  <c r="AA3" i="18" s="1"/>
  <c r="E12" i="18"/>
  <c r="D12" i="18"/>
  <c r="G11" i="18"/>
  <c r="AD3" i="18" s="1"/>
  <c r="F11" i="18"/>
  <c r="Z3" i="18" s="1"/>
  <c r="E11" i="18"/>
  <c r="D11" i="18"/>
  <c r="AE2" i="18"/>
  <c r="AA2" i="18"/>
  <c r="AD2" i="18"/>
  <c r="E15" i="5"/>
  <c r="F15" i="5"/>
  <c r="Z4" i="5" s="1"/>
  <c r="G15" i="5"/>
  <c r="AD4" i="5" s="1"/>
  <c r="E16" i="5"/>
  <c r="F16" i="5"/>
  <c r="G16" i="5"/>
  <c r="D16" i="5"/>
  <c r="D15" i="5"/>
  <c r="E11" i="5"/>
  <c r="F11" i="5"/>
  <c r="Z3" i="5" s="1"/>
  <c r="G11" i="5"/>
  <c r="AD3" i="5" s="1"/>
  <c r="E12" i="5"/>
  <c r="F12" i="5"/>
  <c r="G12" i="5"/>
  <c r="AE3" i="5" s="1" a="1"/>
  <c r="AE3" i="5" s="1"/>
  <c r="D12" i="5"/>
  <c r="D11" i="5"/>
  <c r="Z2" i="5"/>
  <c r="AD2" i="5"/>
  <c r="AA2" i="5"/>
  <c r="AE2" i="5"/>
  <c r="E55" i="5"/>
  <c r="F55" i="5"/>
  <c r="Z10" i="5" s="1"/>
  <c r="G55" i="5"/>
  <c r="AD10" i="5" s="1"/>
  <c r="E56" i="5"/>
  <c r="F56" i="5"/>
  <c r="G56" i="5"/>
  <c r="D56" i="5"/>
  <c r="D55" i="5"/>
  <c r="E40" i="5"/>
  <c r="F40" i="5"/>
  <c r="Z7" i="5" s="1"/>
  <c r="G40" i="5"/>
  <c r="E41" i="5"/>
  <c r="F41" i="5"/>
  <c r="G41" i="5"/>
  <c r="D40" i="5"/>
  <c r="D41" i="5"/>
  <c r="E36" i="5"/>
  <c r="F36" i="5"/>
  <c r="Z6" i="5" s="1"/>
  <c r="G36" i="5"/>
  <c r="AD7" i="5" s="1"/>
  <c r="E37" i="5"/>
  <c r="F37" i="5"/>
  <c r="AA6" i="5" s="1"/>
  <c r="G37" i="5"/>
  <c r="AE6" i="5" s="1"/>
  <c r="D36" i="5"/>
  <c r="AC7" i="3"/>
  <c r="AC4" i="3"/>
  <c r="AJ5" i="2"/>
  <c r="AG5" i="2"/>
  <c r="AD5" i="2"/>
  <c r="AC5" i="2"/>
  <c r="Z5" i="2"/>
  <c r="Y5" i="2"/>
  <c r="E38" i="3"/>
  <c r="F38" i="3"/>
  <c r="Y7" i="3" s="1"/>
  <c r="G38" i="3"/>
  <c r="E39" i="3"/>
  <c r="F39" i="3"/>
  <c r="G39" i="3"/>
  <c r="D39" i="3"/>
  <c r="D38" i="3"/>
  <c r="AG7" i="3" s="1"/>
  <c r="E19" i="3"/>
  <c r="AJ4" i="3" s="1"/>
  <c r="F19" i="3"/>
  <c r="Y4" i="3" s="1"/>
  <c r="G19" i="3"/>
  <c r="E20" i="3"/>
  <c r="F20" i="3"/>
  <c r="Z4" i="3" s="1"/>
  <c r="G20" i="3"/>
  <c r="D20" i="3"/>
  <c r="D19" i="3"/>
  <c r="AG4" i="3" s="1"/>
  <c r="E20" i="6"/>
  <c r="AK5" i="6" s="1"/>
  <c r="F20" i="6"/>
  <c r="G20" i="6"/>
  <c r="E21" i="6"/>
  <c r="F21" i="6"/>
  <c r="G21" i="6"/>
  <c r="D21" i="6"/>
  <c r="D20" i="6"/>
  <c r="AH5" i="6" s="1"/>
  <c r="E18" i="14"/>
  <c r="AK3" i="14" s="1"/>
  <c r="F18" i="14"/>
  <c r="Y3" i="14" s="1"/>
  <c r="G18" i="14"/>
  <c r="AC3" i="14" s="1"/>
  <c r="E19" i="14"/>
  <c r="F19" i="14"/>
  <c r="Z3" i="14" s="1"/>
  <c r="G19" i="14"/>
  <c r="AD3" i="14" s="1"/>
  <c r="D19" i="14"/>
  <c r="D18" i="14"/>
  <c r="AG3" i="14" s="1"/>
  <c r="E8" i="14"/>
  <c r="F8" i="14"/>
  <c r="G8" i="14"/>
  <c r="E9" i="14"/>
  <c r="F9" i="14"/>
  <c r="G9" i="14"/>
  <c r="D9" i="14"/>
  <c r="D8" i="14"/>
  <c r="Y2" i="14"/>
  <c r="AC2" i="14"/>
  <c r="AK2" i="14"/>
  <c r="AG2" i="14"/>
  <c r="E45" i="5"/>
  <c r="F45" i="5"/>
  <c r="Z8" i="5" s="1"/>
  <c r="G45" i="5"/>
  <c r="AD8" i="5" s="1"/>
  <c r="E46" i="5"/>
  <c r="F46" i="5"/>
  <c r="AA8" i="5" s="1"/>
  <c r="G46" i="5"/>
  <c r="AE8" i="5" s="1"/>
  <c r="D46" i="5"/>
  <c r="D45" i="5"/>
  <c r="D37" i="5"/>
  <c r="G12" i="6"/>
  <c r="AE3" i="6" s="1"/>
  <c r="F12" i="6"/>
  <c r="AA3" i="6" s="1"/>
  <c r="E12" i="6"/>
  <c r="D12" i="6"/>
  <c r="G11" i="6"/>
  <c r="AD3" i="6" s="1"/>
  <c r="F11" i="6"/>
  <c r="Z3" i="6" s="1"/>
  <c r="E11" i="6"/>
  <c r="D11" i="6"/>
  <c r="AK3" i="6"/>
  <c r="AH3" i="6"/>
  <c r="Z2" i="14"/>
  <c r="Z2" i="6"/>
  <c r="AD2" i="6"/>
  <c r="AA2" i="6"/>
  <c r="AE2" i="6"/>
  <c r="F16" i="6"/>
  <c r="Z4" i="6" s="1"/>
  <c r="G16" i="6"/>
  <c r="AD4" i="6" s="1"/>
  <c r="F17" i="6"/>
  <c r="AA4" i="6" s="1"/>
  <c r="G17" i="6"/>
  <c r="AE4" i="6" s="1"/>
  <c r="E17" i="6"/>
  <c r="D17" i="6"/>
  <c r="E16" i="6"/>
  <c r="AK4" i="6" s="1"/>
  <c r="D16" i="6"/>
  <c r="AH4" i="6" s="1"/>
  <c r="AK2" i="6"/>
  <c r="AH2" i="6"/>
  <c r="E38" i="2"/>
  <c r="F38" i="2"/>
  <c r="Z6" i="2" s="1"/>
  <c r="G38" i="2"/>
  <c r="AD6" i="2" s="1"/>
  <c r="E37" i="2"/>
  <c r="AJ6" i="2" s="1"/>
  <c r="F37" i="2"/>
  <c r="G37" i="2"/>
  <c r="D38" i="2"/>
  <c r="D37" i="2"/>
  <c r="AG6" i="2" s="1"/>
  <c r="E34" i="3"/>
  <c r="AJ6" i="3" s="1"/>
  <c r="F34" i="3"/>
  <c r="Y6" i="3" s="1"/>
  <c r="G34" i="3"/>
  <c r="AC6" i="3" s="1"/>
  <c r="E35" i="3"/>
  <c r="F35" i="3"/>
  <c r="Z6" i="3" s="1"/>
  <c r="G35" i="3"/>
  <c r="AD6" i="3" s="1"/>
  <c r="D35" i="3"/>
  <c r="D34" i="3"/>
  <c r="AG6" i="3" s="1"/>
  <c r="E13" i="3"/>
  <c r="F13" i="3"/>
  <c r="Z3" i="3" s="1"/>
  <c r="G13" i="3"/>
  <c r="AD3" i="3" s="1"/>
  <c r="E12" i="3"/>
  <c r="AJ3" i="3" s="1"/>
  <c r="F12" i="3"/>
  <c r="Y3" i="3" s="1"/>
  <c r="G12" i="3"/>
  <c r="D13" i="3"/>
  <c r="D12" i="3"/>
  <c r="AG3" i="3" s="1"/>
  <c r="G18" i="2"/>
  <c r="AD3" i="2" s="1"/>
  <c r="F18" i="2"/>
  <c r="Z3" i="2" s="1"/>
  <c r="E18" i="2"/>
  <c r="D18" i="2"/>
  <c r="G17" i="2"/>
  <c r="AC3" i="2" s="1"/>
  <c r="F17" i="2"/>
  <c r="E17" i="2"/>
  <c r="AJ3" i="2" s="1"/>
  <c r="D17" i="2"/>
  <c r="AG3" i="2" s="1"/>
  <c r="AD2" i="3"/>
  <c r="Z2" i="3"/>
  <c r="AC2" i="3"/>
  <c r="Y2" i="3"/>
  <c r="AJ2" i="3"/>
  <c r="AG2" i="3"/>
  <c r="AD2" i="2"/>
  <c r="Z2" i="2"/>
  <c r="AJ2" i="2"/>
  <c r="AG2" i="2"/>
  <c r="Y2" i="2"/>
  <c r="M6" i="19" l="1"/>
  <c r="R2" i="19" s="1"/>
  <c r="N24" i="2"/>
  <c r="V4" i="2" s="1"/>
  <c r="S5" i="5"/>
  <c r="R5" i="5"/>
  <c r="N23" i="19"/>
  <c r="V5" i="19" s="1"/>
  <c r="N24" i="19"/>
  <c r="N19" i="3"/>
  <c r="U4" i="3" s="1"/>
  <c r="N6" i="19"/>
  <c r="V2" i="19" s="1"/>
  <c r="M23" i="19"/>
  <c r="R5" i="19" s="1"/>
  <c r="M23" i="2"/>
  <c r="Q4" i="2" s="1"/>
  <c r="M27" i="6"/>
  <c r="S6" i="6" s="1"/>
  <c r="N19" i="14"/>
  <c r="V3" i="14" s="1"/>
  <c r="N20" i="6"/>
  <c r="V5" i="6" s="1"/>
  <c r="N4" i="14"/>
  <c r="N26" i="6"/>
  <c r="V6" i="6" s="1"/>
  <c r="N28" i="3"/>
  <c r="U5" i="3" s="1"/>
  <c r="M7" i="5"/>
  <c r="S2" i="5" s="1"/>
  <c r="M6" i="5"/>
  <c r="N6" i="5"/>
  <c r="N7" i="5"/>
  <c r="W2" i="5" s="1"/>
  <c r="W5" i="5" a="1"/>
  <c r="W5" i="5" s="1"/>
  <c r="V5" i="5" a="1"/>
  <c r="V5" i="5" s="1"/>
  <c r="M22" i="5"/>
  <c r="M21" i="5"/>
  <c r="N6" i="6"/>
  <c r="N5" i="6"/>
  <c r="V2" i="6" s="1"/>
  <c r="M26" i="6"/>
  <c r="R6" i="6" s="1"/>
  <c r="N31" i="2"/>
  <c r="V5" i="2" s="1"/>
  <c r="N30" i="2"/>
  <c r="U5" i="2" s="1"/>
  <c r="M7" i="3"/>
  <c r="R2" i="3" s="1"/>
  <c r="M14" i="14"/>
  <c r="M13" i="14"/>
  <c r="N28" i="5"/>
  <c r="N29" i="5"/>
  <c r="N7" i="18"/>
  <c r="N6" i="18"/>
  <c r="V2" i="18" s="1"/>
  <c r="N14" i="14"/>
  <c r="N13" i="14"/>
  <c r="U2" i="14" s="1"/>
  <c r="N9" i="2"/>
  <c r="N8" i="2"/>
  <c r="U2" i="2" s="1"/>
  <c r="N7" i="3"/>
  <c r="V2" i="3" s="1"/>
  <c r="N6" i="3"/>
  <c r="U2" i="3" s="1"/>
  <c r="N21" i="5"/>
  <c r="N22" i="5"/>
  <c r="M29" i="5"/>
  <c r="M28" i="5"/>
  <c r="M6" i="6"/>
  <c r="M5" i="6"/>
  <c r="R2" i="6" s="1"/>
  <c r="M29" i="3"/>
  <c r="R5" i="3" s="1"/>
  <c r="M28" i="3"/>
  <c r="Q5" i="3" s="1"/>
  <c r="M6" i="3"/>
  <c r="M7" i="19"/>
  <c r="M4" i="14"/>
  <c r="M7" i="18"/>
  <c r="S2" i="18" s="1"/>
  <c r="M6" i="18"/>
  <c r="M8" i="2"/>
  <c r="M9" i="2"/>
  <c r="R2" i="2" s="1"/>
  <c r="N23" i="2"/>
  <c r="U4" i="2" s="1"/>
  <c r="N7" i="19"/>
  <c r="M31" i="2"/>
  <c r="R5" i="2" s="1"/>
  <c r="N29" i="3"/>
  <c r="V5" i="3" s="1"/>
  <c r="M5" i="14"/>
  <c r="M24" i="2"/>
  <c r="R4" i="2" s="1"/>
  <c r="M30" i="2"/>
  <c r="Q5" i="2" s="1"/>
  <c r="N5" i="14"/>
  <c r="AJ7" i="3"/>
  <c r="M19" i="3"/>
  <c r="Q4" i="3" s="1"/>
  <c r="M20" i="6"/>
  <c r="R5" i="6" s="1"/>
  <c r="N20" i="3"/>
  <c r="V4" i="3" s="1"/>
  <c r="M20" i="3"/>
  <c r="R4" i="3" s="1"/>
  <c r="N39" i="3"/>
  <c r="N52" i="5"/>
  <c r="W9" i="5" s="1"/>
  <c r="N51" i="5"/>
  <c r="V9" i="5" s="1"/>
  <c r="M52" i="5"/>
  <c r="S9" i="5" s="1"/>
  <c r="M51" i="5"/>
  <c r="R9" i="5" s="1"/>
  <c r="N11" i="5"/>
  <c r="V3" i="5" s="1"/>
  <c r="N12" i="5"/>
  <c r="W3" i="5" s="1" a="1"/>
  <c r="W3" i="5" s="1"/>
  <c r="AH2" i="19"/>
  <c r="AH4" i="19"/>
  <c r="AK2" i="19"/>
  <c r="AK4" i="19"/>
  <c r="S2" i="19"/>
  <c r="M19" i="19"/>
  <c r="R4" i="19" s="1"/>
  <c r="M20" i="19"/>
  <c r="S4" i="19" s="1"/>
  <c r="W2" i="19"/>
  <c r="M11" i="19"/>
  <c r="R3" i="19" s="1"/>
  <c r="M12" i="19"/>
  <c r="S3" i="19" s="1"/>
  <c r="N19" i="19"/>
  <c r="V4" i="19" s="1"/>
  <c r="N20" i="19"/>
  <c r="W4" i="19" s="1"/>
  <c r="N11" i="19"/>
  <c r="V3" i="19" s="1"/>
  <c r="N12" i="19"/>
  <c r="W3" i="19" s="1"/>
  <c r="R2" i="18"/>
  <c r="W2" i="18"/>
  <c r="N16" i="18"/>
  <c r="N15" i="18"/>
  <c r="M11" i="18"/>
  <c r="R3" i="18" s="1"/>
  <c r="M12" i="18"/>
  <c r="S3" i="18" s="1"/>
  <c r="M15" i="18"/>
  <c r="M16" i="18"/>
  <c r="N12" i="18"/>
  <c r="W3" i="18" s="1"/>
  <c r="N11" i="18"/>
  <c r="V3" i="18" s="1"/>
  <c r="M12" i="5"/>
  <c r="S3" i="5" s="1"/>
  <c r="M11" i="5"/>
  <c r="R3" i="5" s="1"/>
  <c r="V2" i="5"/>
  <c r="N15" i="5"/>
  <c r="V4" i="5" s="1"/>
  <c r="M15" i="5"/>
  <c r="R4" i="5" s="1"/>
  <c r="N55" i="5"/>
  <c r="V10" i="5" s="1"/>
  <c r="M56" i="5"/>
  <c r="N40" i="5"/>
  <c r="V7" i="5" s="1"/>
  <c r="N36" i="5"/>
  <c r="N37" i="5"/>
  <c r="W6" i="5" s="1"/>
  <c r="M40" i="5"/>
  <c r="R7" i="5" s="1"/>
  <c r="AD6" i="5"/>
  <c r="M45" i="5"/>
  <c r="R8" i="5" s="1"/>
  <c r="M46" i="5"/>
  <c r="S8" i="5" s="1"/>
  <c r="N46" i="5"/>
  <c r="W8" i="5" s="1"/>
  <c r="M38" i="3"/>
  <c r="Q7" i="3" s="1"/>
  <c r="Y3" i="2"/>
  <c r="AC6" i="2"/>
  <c r="AC2" i="2"/>
  <c r="Q2" i="3"/>
  <c r="M19" i="14"/>
  <c r="R3" i="14" s="1"/>
  <c r="N18" i="14"/>
  <c r="U3" i="14" s="1"/>
  <c r="M18" i="14"/>
  <c r="Q3" i="14" s="1"/>
  <c r="M9" i="14"/>
  <c r="M8" i="14"/>
  <c r="N8" i="14"/>
  <c r="N9" i="14"/>
  <c r="Q2" i="14"/>
  <c r="AD2" i="14"/>
  <c r="Y6" i="2"/>
  <c r="N45" i="5"/>
  <c r="V8" i="5" s="1"/>
  <c r="M12" i="6"/>
  <c r="S3" i="6" s="1"/>
  <c r="M11" i="6"/>
  <c r="R3" i="6" s="1"/>
  <c r="N12" i="6"/>
  <c r="W3" i="6" s="1"/>
  <c r="N11" i="6"/>
  <c r="V3" i="6" s="1"/>
  <c r="N17" i="6"/>
  <c r="N16" i="6"/>
  <c r="V4" i="6" s="1"/>
  <c r="W2" i="6"/>
  <c r="S2" i="6"/>
  <c r="M35" i="3"/>
  <c r="R6" i="3" s="1"/>
  <c r="M12" i="3"/>
  <c r="Q3" i="3" s="1"/>
  <c r="N35" i="3"/>
  <c r="V6" i="3" s="1"/>
  <c r="N13" i="3"/>
  <c r="V3" i="3" s="1"/>
  <c r="M13" i="3"/>
  <c r="R3" i="3" s="1"/>
  <c r="N12" i="3"/>
  <c r="U3" i="3" s="1"/>
  <c r="N34" i="3"/>
  <c r="M34" i="3"/>
  <c r="M37" i="2"/>
  <c r="Q6" i="2" s="1"/>
  <c r="N37" i="2"/>
  <c r="U6" i="2" s="1"/>
  <c r="N38" i="2"/>
  <c r="V6" i="2" s="1"/>
  <c r="M38" i="2"/>
  <c r="R6" i="2" s="1"/>
  <c r="N18" i="2"/>
  <c r="V3" i="2" s="1"/>
  <c r="M18" i="2"/>
  <c r="R3" i="2" s="1"/>
  <c r="M17" i="2"/>
  <c r="Q3" i="2" s="1"/>
  <c r="N17" i="2"/>
  <c r="U3" i="2" s="1"/>
  <c r="V2" i="2"/>
  <c r="R2" i="5" l="1"/>
  <c r="M37" i="5"/>
  <c r="S6" i="5" s="1"/>
  <c r="M36" i="5"/>
  <c r="V6" i="5"/>
  <c r="W4" i="6"/>
  <c r="Q2" i="2"/>
  <c r="Q6" i="3"/>
  <c r="V2" i="14"/>
  <c r="R2" i="14"/>
  <c r="M17" i="6"/>
  <c r="M16" i="6"/>
  <c r="R4" i="6" s="1"/>
  <c r="U6" i="3"/>
  <c r="R6" i="5" l="1"/>
  <c r="S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<sst xmlns="http://schemas.openxmlformats.org/spreadsheetml/2006/main" count="617" uniqueCount="116">
  <si>
    <t>Molecule</t>
  </si>
  <si>
    <t>e- J (eV)</t>
  </si>
  <si>
    <t>h+ J (eV)</t>
  </si>
  <si>
    <t>h+ 𝜆 (eV)</t>
  </si>
  <si>
    <t>e- 𝜆 (eV)</t>
  </si>
  <si>
    <t>300K</t>
  </si>
  <si>
    <t>e- 𝜇 (cm^2/V·s)</t>
  </si>
  <si>
    <t>h+ 𝜇 (cm^2/V·s)</t>
  </si>
  <si>
    <t>tBu</t>
  </si>
  <si>
    <t>CO2Me</t>
  </si>
  <si>
    <t>SO2Me</t>
  </si>
  <si>
    <t>SF5</t>
  </si>
  <si>
    <t>e- k (eV/s)</t>
  </si>
  <si>
    <t>h+ k (eV/s)</t>
  </si>
  <si>
    <t>a (Angstrom)</t>
  </si>
  <si>
    <t>Base 4</t>
  </si>
  <si>
    <t>Base 2</t>
  </si>
  <si>
    <t>Base 1</t>
  </si>
  <si>
    <t>Katherine</t>
  </si>
  <si>
    <t>Scaled e- J (eV)</t>
  </si>
  <si>
    <t>Scaled h+ J (eV)</t>
  </si>
  <si>
    <t>Katherine2</t>
  </si>
  <si>
    <t>Base3tBu</t>
  </si>
  <si>
    <t>HOMO-HOMO coupling:  [0.00760847 0.02997363]</t>
  </si>
  <si>
    <t>LUMO-LUMO coupling:  [0.00841498 0.00760847]</t>
  </si>
  <si>
    <t>HOMO-HOMO coupling:  [0.01024409 0.02577266]</t>
  </si>
  <si>
    <t>LUMO-LUMO coupling:  [0.01724627 0.01024409]</t>
  </si>
  <si>
    <t>Base3CO2Me</t>
  </si>
  <si>
    <t>HOMO-HOMO coupling:  [ 0.03278204 -0.02592714]</t>
  </si>
  <si>
    <t>LUMO-LUMO coupling:  [0.05698772 0.03278204]</t>
  </si>
  <si>
    <t xml:space="preserve"> Base3SO2Me</t>
  </si>
  <si>
    <t>Base3SF5</t>
  </si>
  <si>
    <t>ClosedN</t>
  </si>
  <si>
    <t>ClosedRing</t>
  </si>
  <si>
    <t>*no dimer gfnff (convergence issues)</t>
  </si>
  <si>
    <t>Projective</t>
  </si>
  <si>
    <t>LUMO-LUMO coupling:  [ 6.59332494e-05 -1.30988712e-03]</t>
  </si>
  <si>
    <t>HOMO-HOMO coupling:  [-1.30988712e-03 -1.62209422e-05]</t>
  </si>
  <si>
    <t>*GFN2 for DIPRO instead of spGFN2 (bad scc convergence)</t>
  </si>
  <si>
    <t>*no .cub - no unpaired e-</t>
  </si>
  <si>
    <t>Dimer Initial Stack Distance (A)</t>
  </si>
  <si>
    <t>std</t>
  </si>
  <si>
    <t>mean</t>
  </si>
  <si>
    <t>Co2Me</t>
  </si>
  <si>
    <t>e- mobility</t>
  </si>
  <si>
    <t>h+ mobility</t>
  </si>
  <si>
    <t>e- J</t>
  </si>
  <si>
    <t>h+ J</t>
  </si>
  <si>
    <t>e- reorg</t>
  </si>
  <si>
    <t>h+ reorg</t>
  </si>
  <si>
    <t>e_J_mean</t>
  </si>
  <si>
    <t>e_J_std</t>
  </si>
  <si>
    <t>h_J_mean</t>
  </si>
  <si>
    <t>h_J_std</t>
  </si>
  <si>
    <t>e_reorg</t>
  </si>
  <si>
    <t>h_reorg</t>
  </si>
  <si>
    <t>Js</t>
  </si>
  <si>
    <t>Dimer Initial</t>
  </si>
  <si>
    <t>GFN2 used not sp, poor scc convergence wtith large molecule</t>
  </si>
  <si>
    <t>GFN2 used not sp, poor scc convergence wt=ith large molecule</t>
  </si>
  <si>
    <t>GFN2 used for single molecule, GFNFF used for dimer optimisation, extremely poor convergenxes</t>
  </si>
  <si>
    <t>ClosedN1</t>
  </si>
  <si>
    <t>ClosedN2</t>
  </si>
  <si>
    <t>ClosedR1</t>
  </si>
  <si>
    <t>ClosedR2</t>
  </si>
  <si>
    <t>ClosedR</t>
  </si>
  <si>
    <t>CO2Me1</t>
  </si>
  <si>
    <t>CO2Me2</t>
  </si>
  <si>
    <t>SF51</t>
  </si>
  <si>
    <t>SF52</t>
  </si>
  <si>
    <t>SO2Me1</t>
  </si>
  <si>
    <t>SO2Me2</t>
  </si>
  <si>
    <t>e_mean</t>
  </si>
  <si>
    <t>e_std</t>
  </si>
  <si>
    <t>h_mean</t>
  </si>
  <si>
    <t>h_std</t>
  </si>
  <si>
    <t>Base4tBu</t>
  </si>
  <si>
    <t>Base4CO2Me</t>
  </si>
  <si>
    <t>HOMO-HOMO coupling:  [0.08610438 0.00697714]</t>
  </si>
  <si>
    <t>LUMO-LUMO coupling:  [-0.03299495  0.08610438]</t>
  </si>
  <si>
    <t>HOMO-HOMO coupling:  [0.02011262 0.03229649]</t>
  </si>
  <si>
    <t>LUMO-LUMO coupling:  [0.11761139 0.02011262]</t>
  </si>
  <si>
    <t>Katherine11</t>
  </si>
  <si>
    <t>Katherine12</t>
  </si>
  <si>
    <t>Katherine31</t>
  </si>
  <si>
    <t>Katherine32</t>
  </si>
  <si>
    <t>DIPRO</t>
  </si>
  <si>
    <t>Gaussian</t>
  </si>
  <si>
    <t>Base 3</t>
  </si>
  <si>
    <t>tBu1</t>
  </si>
  <si>
    <t>tBu2</t>
  </si>
  <si>
    <t>tBu3</t>
  </si>
  <si>
    <t>SF53</t>
  </si>
  <si>
    <t>Katherine41</t>
  </si>
  <si>
    <t>Katherine42</t>
  </si>
  <si>
    <t>tBu Neutral</t>
  </si>
  <si>
    <t>tBu Radical</t>
  </si>
  <si>
    <t>tBu Anion</t>
  </si>
  <si>
    <t>Total Energy (eV)</t>
  </si>
  <si>
    <t>Notes</t>
  </si>
  <si>
    <t>HOMO-HOMO coupling:  [0.00669797]</t>
  </si>
  <si>
    <t>LUMO-LUMO coupling:  [0.01239019]</t>
  </si>
  <si>
    <t>HOMO-HOMO coupling:  [-3.40982185e-06  1.77571782e-03]</t>
  </si>
  <si>
    <t>LUMO-LUMO coupling:  [ 4.90802207e-03 -3.40982185e-06]</t>
  </si>
  <si>
    <t>Distance Between B centre</t>
  </si>
  <si>
    <t>Base1CO2Me e-</t>
  </si>
  <si>
    <t>Base1CO2Me h+</t>
  </si>
  <si>
    <t>Base1tBu e-</t>
  </si>
  <si>
    <t>Base1tBu h+</t>
  </si>
  <si>
    <t>Base1SO2Me e-</t>
  </si>
  <si>
    <t>DIPRO2</t>
  </si>
  <si>
    <t>Co2.001Me</t>
  </si>
  <si>
    <t>0.07162.00181938998191</t>
  </si>
  <si>
    <t>0.0753017452.001532.001555</t>
  </si>
  <si>
    <t>e- 𝜇 (cm^2.001.001/V·s)</t>
  </si>
  <si>
    <t>h+ 𝜇 (cm^2.001.001/V·s)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</si>
</sst>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1"/>
      <name val="Menlo"/>
      <family val="2"/>
    </font>
    <font>
      <i/>
      <sz val="12"/>
      <color theme="1"/>
      <name val="Calibri"/>
      <family val="2"/>
      <scheme val="minor"/>
    </font>
    <font>
      <i/>
      <sz val="11"/>
      <color theme="1"/>
      <name val="Menlo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6" fillId="0" borderId="0" xfId="0" applyNumberFormat="1" applyFont="1"/>
    <xf numFmtId="11" fontId="0" fillId="0" borderId="0" xfId="0" applyNumberFormat="1"/>
    <xf numFmtId="0" fontId="0" fillId="2" borderId="0" xfId="0" applyFill="1"/>
    <xf numFmtId="0" fontId="6" fillId="2" borderId="0" xfId="0" applyFont="1" applyFill="1"/>
    <xf numFmtId="11" fontId="6" fillId="2" borderId="0" xfId="0" applyNumberFormat="1" applyFont="1" applyFill="1"/>
    <xf numFmtId="0" fontId="7" fillId="0" borderId="0" xfId="0" applyFont="1"/>
    <xf numFmtId="0" fontId="8" fillId="0" borderId="0" xfId="0" applyFont="1"/>
    <xf numFmtId="11" fontId="8" fillId="0" borderId="0" xfId="0" applyNumberFormat="1" applyFont="1"/>
    <xf numFmtId="0" fontId="1" fillId="2" borderId="0" xfId="0" applyFont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Counterpoise Method</a:t>
            </a:r>
          </a:p>
          <a:p>
            <a:pPr>
              <a:defRPr/>
            </a:pPr>
            <a:r>
              <a:rPr lang="en-GB" baseline="0"/>
              <a:t> (blue) vs. DIPRO (orange)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Gaussian!$F$2:$F$17</c:f>
              <c:numCache>
                <c:formatCode>0.00E+00</c:formatCode>
                <c:ptCount val="16"/>
                <c:pt idx="0">
                  <c:v>3.75821E-2</c:v>
                </c:pt>
                <c:pt idx="1">
                  <c:v>1.6023450000000002E-2</c:v>
                </c:pt>
                <c:pt idx="2">
                  <c:v>3.601675E-2</c:v>
                </c:pt>
                <c:pt idx="3">
                  <c:v>2.7490360000000002E-2</c:v>
                </c:pt>
                <c:pt idx="4">
                  <c:v>5.870918E-2</c:v>
                </c:pt>
                <c:pt idx="5">
                  <c:v>8.9769760000000004E-2</c:v>
                </c:pt>
                <c:pt idx="6">
                  <c:v>1.3261080622E-3</c:v>
                </c:pt>
                <c:pt idx="7">
                  <c:v>1.2439538706E-3</c:v>
                </c:pt>
                <c:pt idx="8">
                  <c:v>9.3081520000000001E-2</c:v>
                </c:pt>
                <c:pt idx="9">
                  <c:v>0.11909933</c:v>
                </c:pt>
                <c:pt idx="10">
                  <c:v>5.2409109999999995E-2</c:v>
                </c:pt>
                <c:pt idx="11">
                  <c:v>0.13772401000000001</c:v>
                </c:pt>
                <c:pt idx="12">
                  <c:v>6.6979700000000001E-3</c:v>
                </c:pt>
                <c:pt idx="13">
                  <c:v>1.2390190000000001E-2</c:v>
                </c:pt>
                <c:pt idx="14">
                  <c:v>1.7791276418499999E-3</c:v>
                </c:pt>
                <c:pt idx="15">
                  <c:v>4.9114318918500001E-3</c:v>
                </c:pt>
              </c:numCache>
            </c:numRef>
          </c:xVal>
          <c:yVal>
            <c:numRef>
              <c:f>Gaussian!$G$2:$G$17</c:f>
              <c:numCache>
                <c:formatCode>0.00E+00</c:formatCode>
                <c:ptCount val="16"/>
                <c:pt idx="0">
                  <c:v>3.75821E-2</c:v>
                </c:pt>
                <c:pt idx="1">
                  <c:v>1.6023450000000002E-2</c:v>
                </c:pt>
                <c:pt idx="2">
                  <c:v>3.601675E-2</c:v>
                </c:pt>
                <c:pt idx="3">
                  <c:v>2.7490360000000002E-2</c:v>
                </c:pt>
                <c:pt idx="4">
                  <c:v>5.870918E-2</c:v>
                </c:pt>
                <c:pt idx="5">
                  <c:v>8.9769760000000004E-2</c:v>
                </c:pt>
                <c:pt idx="6">
                  <c:v>1.3261080622E-3</c:v>
                </c:pt>
                <c:pt idx="7">
                  <c:v>1.2439538706E-3</c:v>
                </c:pt>
                <c:pt idx="8">
                  <c:v>9.3081520000000001E-2</c:v>
                </c:pt>
                <c:pt idx="9">
                  <c:v>0.11909933</c:v>
                </c:pt>
                <c:pt idx="10">
                  <c:v>5.2409109999999995E-2</c:v>
                </c:pt>
                <c:pt idx="11">
                  <c:v>0.13772401000000001</c:v>
                </c:pt>
                <c:pt idx="12">
                  <c:v>6.6979700000000001E-3</c:v>
                </c:pt>
                <c:pt idx="13">
                  <c:v>1.2390190000000001E-2</c:v>
                </c:pt>
                <c:pt idx="14">
                  <c:v>1.7791276418499999E-3</c:v>
                </c:pt>
                <c:pt idx="15">
                  <c:v>4.9114318918500001E-3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4-DC42-8C83-D385EFAD9F2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-7.0000000000000001E-3"/>
            <c:dispRSqr val="0"/>
            <c:dispEq val="0"/>
          </c:trendline>
          <c:xVal>
            <c:numRef>
              <c:f>Gaussian!$F$2:$F$17</c:f>
              <c:numCache>
                <c:formatCode>0.00E+00</c:formatCode>
                <c:ptCount val="16"/>
                <c:pt idx="0">
                  <c:v>3.75821E-2</c:v>
                </c:pt>
                <c:pt idx="1">
                  <c:v>1.6023450000000002E-2</c:v>
                </c:pt>
                <c:pt idx="2">
                  <c:v>3.601675E-2</c:v>
                </c:pt>
                <c:pt idx="3">
                  <c:v>2.7490360000000002E-2</c:v>
                </c:pt>
                <c:pt idx="4">
                  <c:v>5.870918E-2</c:v>
                </c:pt>
                <c:pt idx="5">
                  <c:v>8.9769760000000004E-2</c:v>
                </c:pt>
                <c:pt idx="6">
                  <c:v>1.3261080622E-3</c:v>
                </c:pt>
                <c:pt idx="7">
                  <c:v>1.2439538706E-3</c:v>
                </c:pt>
                <c:pt idx="8">
                  <c:v>9.3081520000000001E-2</c:v>
                </c:pt>
                <c:pt idx="9">
                  <c:v>0.11909933</c:v>
                </c:pt>
                <c:pt idx="10">
                  <c:v>5.2409109999999995E-2</c:v>
                </c:pt>
                <c:pt idx="11">
                  <c:v>0.13772401000000001</c:v>
                </c:pt>
                <c:pt idx="12">
                  <c:v>6.6979700000000001E-3</c:v>
                </c:pt>
                <c:pt idx="13">
                  <c:v>1.2390190000000001E-2</c:v>
                </c:pt>
                <c:pt idx="14">
                  <c:v>1.7791276418499999E-3</c:v>
                </c:pt>
                <c:pt idx="15">
                  <c:v>4.9114318918500001E-3</c:v>
                </c:pt>
              </c:numCache>
            </c:numRef>
          </c:xVal>
          <c:yVal>
            <c:numRef>
              <c:f>Gaussian!$H$2:$H$17</c:f>
              <c:numCache>
                <c:formatCode>0.00E+00</c:formatCode>
                <c:ptCount val="16"/>
                <c:pt idx="0">
                  <c:v>3.0000000000000001E-3</c:v>
                </c:pt>
                <c:pt idx="1">
                  <c:v>8.0000000000000002E-3</c:v>
                </c:pt>
                <c:pt idx="2">
                  <c:v>4.0000000000000001E-3</c:v>
                </c:pt>
                <c:pt idx="3">
                  <c:v>1.4999999999999999E-2</c:v>
                </c:pt>
                <c:pt idx="4">
                  <c:v>6.0000000000000001E-3</c:v>
                </c:pt>
                <c:pt idx="5">
                  <c:v>4.3999999999999997E-2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2.7E-2</c:v>
                </c:pt>
                <c:pt idx="11">
                  <c:v>1.2E-2</c:v>
                </c:pt>
                <c:pt idx="12">
                  <c:v>1.7999999999999999E-2</c:v>
                </c:pt>
                <c:pt idx="13">
                  <c:v>6.0000000000000001E-3</c:v>
                </c:pt>
                <c:pt idx="14">
                  <c:v>2E-3</c:v>
                </c:pt>
                <c:pt idx="15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4-DC42-8C83-D385EFAD9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079247"/>
        <c:axId val="238202160"/>
      </c:scatterChart>
      <c:valAx>
        <c:axId val="509079247"/>
        <c:scaling>
          <c:orientation val="minMax"/>
          <c:min val="6.0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02160"/>
        <c:crosses val="autoZero"/>
        <c:crossBetween val="midCat"/>
      </c:valAx>
      <c:valAx>
        <c:axId val="2382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07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JvsX!$B$1</c:f>
              <c:strCache>
                <c:ptCount val="1"/>
                <c:pt idx="0">
                  <c:v>Base1CO2Me e-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JvsX!$A$2:$A$69</c:f>
              <c:numCache>
                <c:formatCode>General</c:formatCode>
                <c:ptCount val="68"/>
                <c:pt idx="0">
                  <c:v>4.7300000000000004</c:v>
                </c:pt>
                <c:pt idx="1">
                  <c:v>4.78</c:v>
                </c:pt>
                <c:pt idx="2">
                  <c:v>4.83</c:v>
                </c:pt>
                <c:pt idx="3">
                  <c:v>4.88</c:v>
                </c:pt>
                <c:pt idx="4">
                  <c:v>4.93</c:v>
                </c:pt>
                <c:pt idx="5">
                  <c:v>4.9800000000000004</c:v>
                </c:pt>
                <c:pt idx="6">
                  <c:v>5.03</c:v>
                </c:pt>
                <c:pt idx="7">
                  <c:v>5.08</c:v>
                </c:pt>
                <c:pt idx="8">
                  <c:v>5.13</c:v>
                </c:pt>
                <c:pt idx="9">
                  <c:v>5.18</c:v>
                </c:pt>
                <c:pt idx="10">
                  <c:v>5.23</c:v>
                </c:pt>
                <c:pt idx="11">
                  <c:v>5.28</c:v>
                </c:pt>
                <c:pt idx="12">
                  <c:v>5.33</c:v>
                </c:pt>
                <c:pt idx="13">
                  <c:v>5.38</c:v>
                </c:pt>
                <c:pt idx="14">
                  <c:v>5.43</c:v>
                </c:pt>
                <c:pt idx="15">
                  <c:v>5.48</c:v>
                </c:pt>
                <c:pt idx="16">
                  <c:v>5.53</c:v>
                </c:pt>
                <c:pt idx="17">
                  <c:v>5.58</c:v>
                </c:pt>
                <c:pt idx="18">
                  <c:v>5.63</c:v>
                </c:pt>
                <c:pt idx="19">
                  <c:v>5.68</c:v>
                </c:pt>
                <c:pt idx="20">
                  <c:v>5.73</c:v>
                </c:pt>
                <c:pt idx="21">
                  <c:v>5.78</c:v>
                </c:pt>
                <c:pt idx="22">
                  <c:v>5.83</c:v>
                </c:pt>
                <c:pt idx="23">
                  <c:v>5.88</c:v>
                </c:pt>
                <c:pt idx="24">
                  <c:v>5.93</c:v>
                </c:pt>
                <c:pt idx="25">
                  <c:v>5.98</c:v>
                </c:pt>
                <c:pt idx="26">
                  <c:v>6.03</c:v>
                </c:pt>
                <c:pt idx="27">
                  <c:v>6.08</c:v>
                </c:pt>
                <c:pt idx="28">
                  <c:v>6.13</c:v>
                </c:pt>
                <c:pt idx="29">
                  <c:v>6.1799999999999899</c:v>
                </c:pt>
                <c:pt idx="30">
                  <c:v>6.2299999999999898</c:v>
                </c:pt>
                <c:pt idx="31">
                  <c:v>6.2799999999999896</c:v>
                </c:pt>
                <c:pt idx="32">
                  <c:v>6.3299999999999903</c:v>
                </c:pt>
                <c:pt idx="33">
                  <c:v>6.3799999999999901</c:v>
                </c:pt>
                <c:pt idx="34">
                  <c:v>6.4299999999999899</c:v>
                </c:pt>
                <c:pt idx="35">
                  <c:v>6.4799999999999898</c:v>
                </c:pt>
                <c:pt idx="36">
                  <c:v>6.5299999999999896</c:v>
                </c:pt>
                <c:pt idx="37">
                  <c:v>6.5799999999999903</c:v>
                </c:pt>
                <c:pt idx="38">
                  <c:v>6.6299999999999901</c:v>
                </c:pt>
                <c:pt idx="39">
                  <c:v>6.6799999999999899</c:v>
                </c:pt>
                <c:pt idx="40">
                  <c:v>6.7299999999999898</c:v>
                </c:pt>
                <c:pt idx="41">
                  <c:v>6.7799999999999896</c:v>
                </c:pt>
                <c:pt idx="42">
                  <c:v>6.8299999999999903</c:v>
                </c:pt>
                <c:pt idx="43">
                  <c:v>6.8799999999999901</c:v>
                </c:pt>
                <c:pt idx="44">
                  <c:v>6.9299999999999899</c:v>
                </c:pt>
                <c:pt idx="45">
                  <c:v>6.9799999999999898</c:v>
                </c:pt>
                <c:pt idx="46">
                  <c:v>7.0299999999999896</c:v>
                </c:pt>
                <c:pt idx="47">
                  <c:v>7.0799999999999903</c:v>
                </c:pt>
                <c:pt idx="48">
                  <c:v>7.1299999999999901</c:v>
                </c:pt>
              </c:numCache>
            </c:numRef>
          </c:xVal>
          <c:yVal>
            <c:numRef>
              <c:f>JvsX!$B$2:$B$69</c:f>
              <c:numCache>
                <c:formatCode>General</c:formatCode>
                <c:ptCount val="68"/>
                <c:pt idx="0">
                  <c:v>8.6999999999999994E-2</c:v>
                </c:pt>
                <c:pt idx="1">
                  <c:v>0.08</c:v>
                </c:pt>
                <c:pt idx="2">
                  <c:v>7.3999999999999996E-2</c:v>
                </c:pt>
                <c:pt idx="3">
                  <c:v>6.8000000000000005E-2</c:v>
                </c:pt>
                <c:pt idx="4">
                  <c:v>6.2E-2</c:v>
                </c:pt>
                <c:pt idx="5">
                  <c:v>5.7000000000000002E-2</c:v>
                </c:pt>
                <c:pt idx="6">
                  <c:v>5.1999999999999998E-2</c:v>
                </c:pt>
                <c:pt idx="7">
                  <c:v>4.8000000000000001E-2</c:v>
                </c:pt>
                <c:pt idx="8">
                  <c:v>4.3999999999999997E-2</c:v>
                </c:pt>
                <c:pt idx="9">
                  <c:v>0.04</c:v>
                </c:pt>
                <c:pt idx="10">
                  <c:v>3.5999999999999997E-2</c:v>
                </c:pt>
                <c:pt idx="11">
                  <c:v>3.3000000000000002E-2</c:v>
                </c:pt>
                <c:pt idx="12">
                  <c:v>0.03</c:v>
                </c:pt>
                <c:pt idx="13">
                  <c:v>2.7E-2</c:v>
                </c:pt>
                <c:pt idx="14">
                  <c:v>2.4E-2</c:v>
                </c:pt>
                <c:pt idx="15">
                  <c:v>2.1999999999999999E-2</c:v>
                </c:pt>
                <c:pt idx="16">
                  <c:v>0.02</c:v>
                </c:pt>
                <c:pt idx="17">
                  <c:v>1.7999999999999999E-2</c:v>
                </c:pt>
                <c:pt idx="18">
                  <c:v>1.6E-2</c:v>
                </c:pt>
                <c:pt idx="19">
                  <c:v>1.4E-2</c:v>
                </c:pt>
                <c:pt idx="20">
                  <c:v>1.2999999999999999E-2</c:v>
                </c:pt>
                <c:pt idx="21">
                  <c:v>1.2E-2</c:v>
                </c:pt>
                <c:pt idx="22">
                  <c:v>0.01</c:v>
                </c:pt>
                <c:pt idx="23">
                  <c:v>8.9999999999999993E-3</c:v>
                </c:pt>
                <c:pt idx="24">
                  <c:v>8.0000000000000002E-3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5.0000000000000001E-3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4.0000000000000001E-3</c:v>
                </c:pt>
                <c:pt idx="32">
                  <c:v>3.0000000000000001E-3</c:v>
                </c:pt>
                <c:pt idx="33">
                  <c:v>3.0000000000000001E-3</c:v>
                </c:pt>
                <c:pt idx="34">
                  <c:v>3.0000000000000001E-3</c:v>
                </c:pt>
                <c:pt idx="35">
                  <c:v>2E-3</c:v>
                </c:pt>
                <c:pt idx="36">
                  <c:v>2E-3</c:v>
                </c:pt>
                <c:pt idx="37">
                  <c:v>2E-3</c:v>
                </c:pt>
                <c:pt idx="38">
                  <c:v>2E-3</c:v>
                </c:pt>
                <c:pt idx="39">
                  <c:v>1E-3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4-6D40-9D8E-223904325F02}"/>
            </c:ext>
          </c:extLst>
        </c:ser>
        <c:ser>
          <c:idx val="1"/>
          <c:order val="1"/>
          <c:tx>
            <c:strRef>
              <c:f>JvsX!$C$1</c:f>
              <c:strCache>
                <c:ptCount val="1"/>
                <c:pt idx="0">
                  <c:v>Base1CO2Me h+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JvsX!$A$2:$A$69</c:f>
              <c:numCache>
                <c:formatCode>General</c:formatCode>
                <c:ptCount val="68"/>
                <c:pt idx="0">
                  <c:v>4.7300000000000004</c:v>
                </c:pt>
                <c:pt idx="1">
                  <c:v>4.78</c:v>
                </c:pt>
                <c:pt idx="2">
                  <c:v>4.83</c:v>
                </c:pt>
                <c:pt idx="3">
                  <c:v>4.88</c:v>
                </c:pt>
                <c:pt idx="4">
                  <c:v>4.93</c:v>
                </c:pt>
                <c:pt idx="5">
                  <c:v>4.9800000000000004</c:v>
                </c:pt>
                <c:pt idx="6">
                  <c:v>5.03</c:v>
                </c:pt>
                <c:pt idx="7">
                  <c:v>5.08</c:v>
                </c:pt>
                <c:pt idx="8">
                  <c:v>5.13</c:v>
                </c:pt>
                <c:pt idx="9">
                  <c:v>5.18</c:v>
                </c:pt>
                <c:pt idx="10">
                  <c:v>5.23</c:v>
                </c:pt>
                <c:pt idx="11">
                  <c:v>5.28</c:v>
                </c:pt>
                <c:pt idx="12">
                  <c:v>5.33</c:v>
                </c:pt>
                <c:pt idx="13">
                  <c:v>5.38</c:v>
                </c:pt>
                <c:pt idx="14">
                  <c:v>5.43</c:v>
                </c:pt>
                <c:pt idx="15">
                  <c:v>5.48</c:v>
                </c:pt>
                <c:pt idx="16">
                  <c:v>5.53</c:v>
                </c:pt>
                <c:pt idx="17">
                  <c:v>5.58</c:v>
                </c:pt>
                <c:pt idx="18">
                  <c:v>5.63</c:v>
                </c:pt>
                <c:pt idx="19">
                  <c:v>5.68</c:v>
                </c:pt>
                <c:pt idx="20">
                  <c:v>5.73</c:v>
                </c:pt>
                <c:pt idx="21">
                  <c:v>5.78</c:v>
                </c:pt>
                <c:pt idx="22">
                  <c:v>5.83</c:v>
                </c:pt>
                <c:pt idx="23">
                  <c:v>5.88</c:v>
                </c:pt>
                <c:pt idx="24">
                  <c:v>5.93</c:v>
                </c:pt>
                <c:pt idx="25">
                  <c:v>5.98</c:v>
                </c:pt>
                <c:pt idx="26">
                  <c:v>6.03</c:v>
                </c:pt>
                <c:pt idx="27">
                  <c:v>6.08</c:v>
                </c:pt>
                <c:pt idx="28">
                  <c:v>6.13</c:v>
                </c:pt>
                <c:pt idx="29">
                  <c:v>6.1799999999999899</c:v>
                </c:pt>
                <c:pt idx="30">
                  <c:v>6.2299999999999898</c:v>
                </c:pt>
                <c:pt idx="31">
                  <c:v>6.2799999999999896</c:v>
                </c:pt>
                <c:pt idx="32">
                  <c:v>6.3299999999999903</c:v>
                </c:pt>
                <c:pt idx="33">
                  <c:v>6.3799999999999901</c:v>
                </c:pt>
                <c:pt idx="34">
                  <c:v>6.4299999999999899</c:v>
                </c:pt>
                <c:pt idx="35">
                  <c:v>6.4799999999999898</c:v>
                </c:pt>
                <c:pt idx="36">
                  <c:v>6.5299999999999896</c:v>
                </c:pt>
                <c:pt idx="37">
                  <c:v>6.5799999999999903</c:v>
                </c:pt>
                <c:pt idx="38">
                  <c:v>6.6299999999999901</c:v>
                </c:pt>
                <c:pt idx="39">
                  <c:v>6.6799999999999899</c:v>
                </c:pt>
                <c:pt idx="40">
                  <c:v>6.7299999999999898</c:v>
                </c:pt>
                <c:pt idx="41">
                  <c:v>6.7799999999999896</c:v>
                </c:pt>
                <c:pt idx="42">
                  <c:v>6.8299999999999903</c:v>
                </c:pt>
                <c:pt idx="43">
                  <c:v>6.8799999999999901</c:v>
                </c:pt>
                <c:pt idx="44">
                  <c:v>6.9299999999999899</c:v>
                </c:pt>
                <c:pt idx="45">
                  <c:v>6.9799999999999898</c:v>
                </c:pt>
                <c:pt idx="46">
                  <c:v>7.0299999999999896</c:v>
                </c:pt>
                <c:pt idx="47">
                  <c:v>7.0799999999999903</c:v>
                </c:pt>
                <c:pt idx="48">
                  <c:v>7.1299999999999901</c:v>
                </c:pt>
              </c:numCache>
            </c:numRef>
          </c:xVal>
          <c:yVal>
            <c:numRef>
              <c:f>JvsX!$C$2:$C$69</c:f>
              <c:numCache>
                <c:formatCode>General</c:formatCode>
                <c:ptCount val="68"/>
                <c:pt idx="0">
                  <c:v>8.3000000000000004E-2</c:v>
                </c:pt>
                <c:pt idx="1">
                  <c:v>7.8E-2</c:v>
                </c:pt>
                <c:pt idx="2">
                  <c:v>7.2999999999999995E-2</c:v>
                </c:pt>
                <c:pt idx="3">
                  <c:v>6.9000000000000006E-2</c:v>
                </c:pt>
                <c:pt idx="4">
                  <c:v>6.4000000000000001E-2</c:v>
                </c:pt>
                <c:pt idx="5">
                  <c:v>0.06</c:v>
                </c:pt>
                <c:pt idx="6">
                  <c:v>5.6000000000000001E-2</c:v>
                </c:pt>
                <c:pt idx="7">
                  <c:v>5.1999999999999998E-2</c:v>
                </c:pt>
                <c:pt idx="8">
                  <c:v>4.8000000000000001E-2</c:v>
                </c:pt>
                <c:pt idx="9">
                  <c:v>4.4999999999999998E-2</c:v>
                </c:pt>
                <c:pt idx="10">
                  <c:v>4.1000000000000002E-2</c:v>
                </c:pt>
                <c:pt idx="11">
                  <c:v>3.7999999999999999E-2</c:v>
                </c:pt>
                <c:pt idx="12">
                  <c:v>3.5000000000000003E-2</c:v>
                </c:pt>
                <c:pt idx="13">
                  <c:v>3.2000000000000001E-2</c:v>
                </c:pt>
                <c:pt idx="14">
                  <c:v>2.9000000000000001E-2</c:v>
                </c:pt>
                <c:pt idx="15">
                  <c:v>2.7E-2</c:v>
                </c:pt>
                <c:pt idx="16">
                  <c:v>2.4E-2</c:v>
                </c:pt>
                <c:pt idx="17">
                  <c:v>2.1999999999999999E-2</c:v>
                </c:pt>
                <c:pt idx="18">
                  <c:v>0.02</c:v>
                </c:pt>
                <c:pt idx="19">
                  <c:v>1.7999999999999999E-2</c:v>
                </c:pt>
                <c:pt idx="20">
                  <c:v>1.7000000000000001E-2</c:v>
                </c:pt>
                <c:pt idx="21">
                  <c:v>1.4999999999999999E-2</c:v>
                </c:pt>
                <c:pt idx="22">
                  <c:v>1.2999999999999999E-2</c:v>
                </c:pt>
                <c:pt idx="23">
                  <c:v>1.2E-2</c:v>
                </c:pt>
                <c:pt idx="24">
                  <c:v>1.0999999999999999E-2</c:v>
                </c:pt>
                <c:pt idx="25">
                  <c:v>0.01</c:v>
                </c:pt>
                <c:pt idx="26">
                  <c:v>8.9999999999999993E-3</c:v>
                </c:pt>
                <c:pt idx="27">
                  <c:v>8.0000000000000002E-3</c:v>
                </c:pt>
                <c:pt idx="28">
                  <c:v>7.0000000000000001E-3</c:v>
                </c:pt>
                <c:pt idx="29">
                  <c:v>6.0000000000000001E-3</c:v>
                </c:pt>
                <c:pt idx="30">
                  <c:v>5.0000000000000001E-3</c:v>
                </c:pt>
                <c:pt idx="31">
                  <c:v>5.0000000000000001E-3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3.0000000000000001E-3</c:v>
                </c:pt>
                <c:pt idx="35">
                  <c:v>3.0000000000000001E-3</c:v>
                </c:pt>
                <c:pt idx="36">
                  <c:v>3.0000000000000001E-3</c:v>
                </c:pt>
                <c:pt idx="37">
                  <c:v>2E-3</c:v>
                </c:pt>
                <c:pt idx="38">
                  <c:v>2E-3</c:v>
                </c:pt>
                <c:pt idx="39">
                  <c:v>2E-3</c:v>
                </c:pt>
                <c:pt idx="40">
                  <c:v>2E-3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>
                  <c:v>1E-3</c:v>
                </c:pt>
                <c:pt idx="47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54-6D40-9D8E-223904325F02}"/>
            </c:ext>
          </c:extLst>
        </c:ser>
        <c:ser>
          <c:idx val="3"/>
          <c:order val="2"/>
          <c:tx>
            <c:strRef>
              <c:f>JvsX!#REF!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JvsX!#REF!</c:f>
            </c:numRef>
          </c:xVal>
          <c:yVal>
            <c:numRef>
              <c:f>JvsX!#REF!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54-6D40-9D8E-223904325F02}"/>
            </c:ext>
          </c:extLst>
        </c:ser>
        <c:ser>
          <c:idx val="4"/>
          <c:order val="3"/>
          <c:tx>
            <c:strRef>
              <c:f>JvsX!#REF!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JvsX!#REF!</c:f>
            </c:numRef>
          </c:xVal>
          <c:yVal>
            <c:numRef>
              <c:f>JvsX!#REF!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54-6D40-9D8E-223904325F02}"/>
            </c:ext>
          </c:extLst>
        </c:ser>
        <c:ser>
          <c:idx val="6"/>
          <c:order val="4"/>
          <c:tx>
            <c:strRef>
              <c:f>JvsX!$E$1</c:f>
              <c:strCache>
                <c:ptCount val="1"/>
                <c:pt idx="0">
                  <c:v>Base1tBu e-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JvsX!$D$2:$D$69</c:f>
              <c:numCache>
                <c:formatCode>General</c:formatCode>
                <c:ptCount val="68"/>
                <c:pt idx="0">
                  <c:v>5.08</c:v>
                </c:pt>
                <c:pt idx="1">
                  <c:v>5.13</c:v>
                </c:pt>
                <c:pt idx="2">
                  <c:v>5.18</c:v>
                </c:pt>
                <c:pt idx="3">
                  <c:v>5.23</c:v>
                </c:pt>
                <c:pt idx="4">
                  <c:v>5.28</c:v>
                </c:pt>
                <c:pt idx="5">
                  <c:v>5.33</c:v>
                </c:pt>
                <c:pt idx="6">
                  <c:v>5.38</c:v>
                </c:pt>
                <c:pt idx="7">
                  <c:v>5.43</c:v>
                </c:pt>
                <c:pt idx="8">
                  <c:v>5.48</c:v>
                </c:pt>
                <c:pt idx="9">
                  <c:v>5.53</c:v>
                </c:pt>
                <c:pt idx="10">
                  <c:v>5.58</c:v>
                </c:pt>
                <c:pt idx="11">
                  <c:v>5.63</c:v>
                </c:pt>
                <c:pt idx="12">
                  <c:v>5.68</c:v>
                </c:pt>
                <c:pt idx="13">
                  <c:v>5.73</c:v>
                </c:pt>
                <c:pt idx="14">
                  <c:v>5.78</c:v>
                </c:pt>
                <c:pt idx="15">
                  <c:v>5.83</c:v>
                </c:pt>
                <c:pt idx="16">
                  <c:v>5.88</c:v>
                </c:pt>
                <c:pt idx="17">
                  <c:v>5.93</c:v>
                </c:pt>
                <c:pt idx="18">
                  <c:v>5.98</c:v>
                </c:pt>
                <c:pt idx="19">
                  <c:v>6.03</c:v>
                </c:pt>
                <c:pt idx="20">
                  <c:v>6.08</c:v>
                </c:pt>
                <c:pt idx="21">
                  <c:v>6.13</c:v>
                </c:pt>
                <c:pt idx="22">
                  <c:v>6.18</c:v>
                </c:pt>
                <c:pt idx="23">
                  <c:v>6.23</c:v>
                </c:pt>
                <c:pt idx="24">
                  <c:v>6.28</c:v>
                </c:pt>
                <c:pt idx="25">
                  <c:v>6.33</c:v>
                </c:pt>
                <c:pt idx="26">
                  <c:v>6.38</c:v>
                </c:pt>
                <c:pt idx="27">
                  <c:v>6.43</c:v>
                </c:pt>
                <c:pt idx="28">
                  <c:v>6.48</c:v>
                </c:pt>
                <c:pt idx="29">
                  <c:v>6.5299999999999896</c:v>
                </c:pt>
                <c:pt idx="30">
                  <c:v>6.5799999999999903</c:v>
                </c:pt>
                <c:pt idx="31">
                  <c:v>6.6299999999999901</c:v>
                </c:pt>
                <c:pt idx="32">
                  <c:v>6.6799999999999899</c:v>
                </c:pt>
                <c:pt idx="33">
                  <c:v>6.7299999999999898</c:v>
                </c:pt>
                <c:pt idx="34">
                  <c:v>6.7799999999999896</c:v>
                </c:pt>
                <c:pt idx="35">
                  <c:v>6.8299999999999903</c:v>
                </c:pt>
                <c:pt idx="36">
                  <c:v>6.8799999999999901</c:v>
                </c:pt>
                <c:pt idx="37">
                  <c:v>6.9299999999999899</c:v>
                </c:pt>
                <c:pt idx="38">
                  <c:v>6.9799999999999898</c:v>
                </c:pt>
                <c:pt idx="39">
                  <c:v>7.0299999999999896</c:v>
                </c:pt>
                <c:pt idx="40">
                  <c:v>7.0799999999999903</c:v>
                </c:pt>
                <c:pt idx="41">
                  <c:v>7.1299999999999901</c:v>
                </c:pt>
                <c:pt idx="42">
                  <c:v>7.1799999999999899</c:v>
                </c:pt>
                <c:pt idx="43">
                  <c:v>7.2299999999999898</c:v>
                </c:pt>
                <c:pt idx="44">
                  <c:v>7.2799999999999896</c:v>
                </c:pt>
                <c:pt idx="45">
                  <c:v>7.3299999999999903</c:v>
                </c:pt>
                <c:pt idx="46">
                  <c:v>7.3799999999999901</c:v>
                </c:pt>
                <c:pt idx="47">
                  <c:v>7.4299999999999899</c:v>
                </c:pt>
                <c:pt idx="48">
                  <c:v>7.4799999999999898</c:v>
                </c:pt>
              </c:numCache>
            </c:numRef>
          </c:xVal>
          <c:yVal>
            <c:numRef>
              <c:f>JvsX!$E$2:$E$69</c:f>
              <c:numCache>
                <c:formatCode>General</c:formatCode>
                <c:ptCount val="68"/>
                <c:pt idx="0">
                  <c:v>6.3E-2</c:v>
                </c:pt>
                <c:pt idx="1">
                  <c:v>5.6000000000000001E-2</c:v>
                </c:pt>
                <c:pt idx="2">
                  <c:v>0.05</c:v>
                </c:pt>
                <c:pt idx="3">
                  <c:v>4.4999999999999998E-2</c:v>
                </c:pt>
                <c:pt idx="4">
                  <c:v>0.04</c:v>
                </c:pt>
                <c:pt idx="5">
                  <c:v>3.5000000000000003E-2</c:v>
                </c:pt>
                <c:pt idx="6">
                  <c:v>3.1E-2</c:v>
                </c:pt>
                <c:pt idx="7">
                  <c:v>2.8000000000000001E-2</c:v>
                </c:pt>
                <c:pt idx="8">
                  <c:v>2.4E-2</c:v>
                </c:pt>
                <c:pt idx="9">
                  <c:v>2.1000000000000001E-2</c:v>
                </c:pt>
                <c:pt idx="10">
                  <c:v>1.9E-2</c:v>
                </c:pt>
                <c:pt idx="11">
                  <c:v>1.7000000000000001E-2</c:v>
                </c:pt>
                <c:pt idx="12">
                  <c:v>1.4E-2</c:v>
                </c:pt>
                <c:pt idx="13">
                  <c:v>1.2999999999999999E-2</c:v>
                </c:pt>
                <c:pt idx="14">
                  <c:v>1.0999999999999999E-2</c:v>
                </c:pt>
                <c:pt idx="15">
                  <c:v>0.01</c:v>
                </c:pt>
                <c:pt idx="16">
                  <c:v>8.0000000000000002E-3</c:v>
                </c:pt>
                <c:pt idx="17">
                  <c:v>7.0000000000000001E-3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5.0000000000000001E-3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3.0000000000000001E-3</c:v>
                </c:pt>
                <c:pt idx="24">
                  <c:v>3.0000000000000001E-3</c:v>
                </c:pt>
                <c:pt idx="25">
                  <c:v>2E-3</c:v>
                </c:pt>
                <c:pt idx="26">
                  <c:v>2E-3</c:v>
                </c:pt>
                <c:pt idx="27">
                  <c:v>2E-3</c:v>
                </c:pt>
                <c:pt idx="28">
                  <c:v>2E-3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  <c:pt idx="33">
                  <c:v>1E-3</c:v>
                </c:pt>
                <c:pt idx="34">
                  <c:v>1E-3</c:v>
                </c:pt>
                <c:pt idx="35">
                  <c:v>1E-3</c:v>
                </c:pt>
                <c:pt idx="36">
                  <c:v>1E-3</c:v>
                </c:pt>
                <c:pt idx="37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54-6D40-9D8E-223904325F02}"/>
            </c:ext>
          </c:extLst>
        </c:ser>
        <c:ser>
          <c:idx val="7"/>
          <c:order val="5"/>
          <c:tx>
            <c:strRef>
              <c:f>JvsX!$F$1</c:f>
              <c:strCache>
                <c:ptCount val="1"/>
                <c:pt idx="0">
                  <c:v>Base1tBu h+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JvsX!$D$2:$D$69</c:f>
              <c:numCache>
                <c:formatCode>General</c:formatCode>
                <c:ptCount val="68"/>
                <c:pt idx="0">
                  <c:v>5.08</c:v>
                </c:pt>
                <c:pt idx="1">
                  <c:v>5.13</c:v>
                </c:pt>
                <c:pt idx="2">
                  <c:v>5.18</c:v>
                </c:pt>
                <c:pt idx="3">
                  <c:v>5.23</c:v>
                </c:pt>
                <c:pt idx="4">
                  <c:v>5.28</c:v>
                </c:pt>
                <c:pt idx="5">
                  <c:v>5.33</c:v>
                </c:pt>
                <c:pt idx="6">
                  <c:v>5.38</c:v>
                </c:pt>
                <c:pt idx="7">
                  <c:v>5.43</c:v>
                </c:pt>
                <c:pt idx="8">
                  <c:v>5.48</c:v>
                </c:pt>
                <c:pt idx="9">
                  <c:v>5.53</c:v>
                </c:pt>
                <c:pt idx="10">
                  <c:v>5.58</c:v>
                </c:pt>
                <c:pt idx="11">
                  <c:v>5.63</c:v>
                </c:pt>
                <c:pt idx="12">
                  <c:v>5.68</c:v>
                </c:pt>
                <c:pt idx="13">
                  <c:v>5.73</c:v>
                </c:pt>
                <c:pt idx="14">
                  <c:v>5.78</c:v>
                </c:pt>
                <c:pt idx="15">
                  <c:v>5.83</c:v>
                </c:pt>
                <c:pt idx="16">
                  <c:v>5.88</c:v>
                </c:pt>
                <c:pt idx="17">
                  <c:v>5.93</c:v>
                </c:pt>
                <c:pt idx="18">
                  <c:v>5.98</c:v>
                </c:pt>
                <c:pt idx="19">
                  <c:v>6.03</c:v>
                </c:pt>
                <c:pt idx="20">
                  <c:v>6.08</c:v>
                </c:pt>
                <c:pt idx="21">
                  <c:v>6.13</c:v>
                </c:pt>
                <c:pt idx="22">
                  <c:v>6.18</c:v>
                </c:pt>
                <c:pt idx="23">
                  <c:v>6.23</c:v>
                </c:pt>
                <c:pt idx="24">
                  <c:v>6.28</c:v>
                </c:pt>
                <c:pt idx="25">
                  <c:v>6.33</c:v>
                </c:pt>
                <c:pt idx="26">
                  <c:v>6.38</c:v>
                </c:pt>
                <c:pt idx="27">
                  <c:v>6.43</c:v>
                </c:pt>
                <c:pt idx="28">
                  <c:v>6.48</c:v>
                </c:pt>
                <c:pt idx="29">
                  <c:v>6.5299999999999896</c:v>
                </c:pt>
                <c:pt idx="30">
                  <c:v>6.5799999999999903</c:v>
                </c:pt>
                <c:pt idx="31">
                  <c:v>6.6299999999999901</c:v>
                </c:pt>
                <c:pt idx="32">
                  <c:v>6.6799999999999899</c:v>
                </c:pt>
                <c:pt idx="33">
                  <c:v>6.7299999999999898</c:v>
                </c:pt>
                <c:pt idx="34">
                  <c:v>6.7799999999999896</c:v>
                </c:pt>
                <c:pt idx="35">
                  <c:v>6.8299999999999903</c:v>
                </c:pt>
                <c:pt idx="36">
                  <c:v>6.8799999999999901</c:v>
                </c:pt>
                <c:pt idx="37">
                  <c:v>6.9299999999999899</c:v>
                </c:pt>
                <c:pt idx="38">
                  <c:v>6.9799999999999898</c:v>
                </c:pt>
                <c:pt idx="39">
                  <c:v>7.0299999999999896</c:v>
                </c:pt>
                <c:pt idx="40">
                  <c:v>7.0799999999999903</c:v>
                </c:pt>
                <c:pt idx="41">
                  <c:v>7.1299999999999901</c:v>
                </c:pt>
                <c:pt idx="42">
                  <c:v>7.1799999999999899</c:v>
                </c:pt>
                <c:pt idx="43">
                  <c:v>7.2299999999999898</c:v>
                </c:pt>
                <c:pt idx="44">
                  <c:v>7.2799999999999896</c:v>
                </c:pt>
                <c:pt idx="45">
                  <c:v>7.3299999999999903</c:v>
                </c:pt>
                <c:pt idx="46">
                  <c:v>7.3799999999999901</c:v>
                </c:pt>
                <c:pt idx="47">
                  <c:v>7.4299999999999899</c:v>
                </c:pt>
                <c:pt idx="48">
                  <c:v>7.4799999999999898</c:v>
                </c:pt>
              </c:numCache>
            </c:numRef>
          </c:xVal>
          <c:yVal>
            <c:numRef>
              <c:f>JvsX!$F$2:$F$69</c:f>
              <c:numCache>
                <c:formatCode>General</c:formatCode>
                <c:ptCount val="68"/>
                <c:pt idx="0">
                  <c:v>7.2999999999999995E-2</c:v>
                </c:pt>
                <c:pt idx="1">
                  <c:v>6.5000000000000002E-2</c:v>
                </c:pt>
                <c:pt idx="2">
                  <c:v>5.8000000000000003E-2</c:v>
                </c:pt>
                <c:pt idx="3">
                  <c:v>5.1999999999999998E-2</c:v>
                </c:pt>
                <c:pt idx="4">
                  <c:v>4.5999999999999999E-2</c:v>
                </c:pt>
                <c:pt idx="5">
                  <c:v>4.1000000000000002E-2</c:v>
                </c:pt>
                <c:pt idx="6">
                  <c:v>3.5999999999999997E-2</c:v>
                </c:pt>
                <c:pt idx="7">
                  <c:v>3.2000000000000001E-2</c:v>
                </c:pt>
                <c:pt idx="8">
                  <c:v>2.8000000000000001E-2</c:v>
                </c:pt>
                <c:pt idx="9">
                  <c:v>2.5000000000000001E-2</c:v>
                </c:pt>
                <c:pt idx="10">
                  <c:v>2.1999999999999999E-2</c:v>
                </c:pt>
                <c:pt idx="11">
                  <c:v>1.9E-2</c:v>
                </c:pt>
                <c:pt idx="12">
                  <c:v>1.7000000000000001E-2</c:v>
                </c:pt>
                <c:pt idx="13">
                  <c:v>1.4999999999999999E-2</c:v>
                </c:pt>
                <c:pt idx="14">
                  <c:v>1.2999999999999999E-2</c:v>
                </c:pt>
                <c:pt idx="15">
                  <c:v>1.0999999999999999E-2</c:v>
                </c:pt>
                <c:pt idx="16">
                  <c:v>0.01</c:v>
                </c:pt>
                <c:pt idx="17">
                  <c:v>8.0000000000000002E-3</c:v>
                </c:pt>
                <c:pt idx="18">
                  <c:v>7.0000000000000001E-3</c:v>
                </c:pt>
                <c:pt idx="19">
                  <c:v>6.0000000000000001E-3</c:v>
                </c:pt>
                <c:pt idx="20">
                  <c:v>5.0000000000000001E-3</c:v>
                </c:pt>
                <c:pt idx="21">
                  <c:v>5.0000000000000001E-3</c:v>
                </c:pt>
                <c:pt idx="22">
                  <c:v>4.0000000000000001E-3</c:v>
                </c:pt>
                <c:pt idx="23">
                  <c:v>3.0000000000000001E-3</c:v>
                </c:pt>
                <c:pt idx="24">
                  <c:v>3.0000000000000001E-3</c:v>
                </c:pt>
                <c:pt idx="25">
                  <c:v>2E-3</c:v>
                </c:pt>
                <c:pt idx="26">
                  <c:v>2E-3</c:v>
                </c:pt>
                <c:pt idx="27">
                  <c:v>2E-3</c:v>
                </c:pt>
                <c:pt idx="28">
                  <c:v>1E-3</c:v>
                </c:pt>
                <c:pt idx="29">
                  <c:v>1E-3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  <c:pt idx="33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D54-6D40-9D8E-223904325F02}"/>
            </c:ext>
          </c:extLst>
        </c:ser>
        <c:ser>
          <c:idx val="9"/>
          <c:order val="6"/>
          <c:tx>
            <c:strRef>
              <c:f>JvsX!$H$1</c:f>
              <c:strCache>
                <c:ptCount val="1"/>
                <c:pt idx="0">
                  <c:v>Base1SO2Me e-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JvsX!$G$2:$G$69</c:f>
              <c:numCache>
                <c:formatCode>General</c:formatCode>
                <c:ptCount val="68"/>
                <c:pt idx="0">
                  <c:v>5</c:v>
                </c:pt>
                <c:pt idx="1">
                  <c:v>5.05</c:v>
                </c:pt>
                <c:pt idx="2">
                  <c:v>5.0999999999999996</c:v>
                </c:pt>
                <c:pt idx="3">
                  <c:v>5.15</c:v>
                </c:pt>
                <c:pt idx="4">
                  <c:v>5.2</c:v>
                </c:pt>
                <c:pt idx="5">
                  <c:v>5.25</c:v>
                </c:pt>
                <c:pt idx="6">
                  <c:v>5.3</c:v>
                </c:pt>
                <c:pt idx="7">
                  <c:v>5.35</c:v>
                </c:pt>
                <c:pt idx="8">
                  <c:v>5.4</c:v>
                </c:pt>
                <c:pt idx="9">
                  <c:v>5.45</c:v>
                </c:pt>
                <c:pt idx="10">
                  <c:v>5.5</c:v>
                </c:pt>
                <c:pt idx="11">
                  <c:v>5.55</c:v>
                </c:pt>
                <c:pt idx="12">
                  <c:v>5.6</c:v>
                </c:pt>
                <c:pt idx="13">
                  <c:v>5.65</c:v>
                </c:pt>
                <c:pt idx="14">
                  <c:v>5.7</c:v>
                </c:pt>
                <c:pt idx="15">
                  <c:v>5.75</c:v>
                </c:pt>
                <c:pt idx="16">
                  <c:v>5.8</c:v>
                </c:pt>
                <c:pt idx="17">
                  <c:v>5.85</c:v>
                </c:pt>
                <c:pt idx="18">
                  <c:v>5.9</c:v>
                </c:pt>
                <c:pt idx="19">
                  <c:v>5.95</c:v>
                </c:pt>
                <c:pt idx="20">
                  <c:v>6</c:v>
                </c:pt>
                <c:pt idx="21">
                  <c:v>6.05</c:v>
                </c:pt>
                <c:pt idx="22">
                  <c:v>6.1</c:v>
                </c:pt>
                <c:pt idx="23">
                  <c:v>6.15</c:v>
                </c:pt>
                <c:pt idx="24">
                  <c:v>6.2</c:v>
                </c:pt>
                <c:pt idx="25">
                  <c:v>6.25</c:v>
                </c:pt>
                <c:pt idx="26">
                  <c:v>6.3</c:v>
                </c:pt>
                <c:pt idx="27">
                  <c:v>6.35</c:v>
                </c:pt>
                <c:pt idx="28">
                  <c:v>6.4</c:v>
                </c:pt>
                <c:pt idx="29">
                  <c:v>6.4499999999999904</c:v>
                </c:pt>
                <c:pt idx="30">
                  <c:v>6.4999999999999902</c:v>
                </c:pt>
                <c:pt idx="31">
                  <c:v>6.5499999999999901</c:v>
                </c:pt>
                <c:pt idx="32">
                  <c:v>6.5999999999999899</c:v>
                </c:pt>
                <c:pt idx="33">
                  <c:v>6.6499999999999897</c:v>
                </c:pt>
                <c:pt idx="34">
                  <c:v>6.6999999999999904</c:v>
                </c:pt>
                <c:pt idx="35">
                  <c:v>6.7499999999999902</c:v>
                </c:pt>
                <c:pt idx="36">
                  <c:v>6.7999999999999901</c:v>
                </c:pt>
                <c:pt idx="37">
                  <c:v>6.8499999999999899</c:v>
                </c:pt>
                <c:pt idx="38">
                  <c:v>6.8999999999999897</c:v>
                </c:pt>
                <c:pt idx="39">
                  <c:v>6.9499999999999904</c:v>
                </c:pt>
                <c:pt idx="40">
                  <c:v>6.9999999999999902</c:v>
                </c:pt>
                <c:pt idx="41">
                  <c:v>7.0499999999999901</c:v>
                </c:pt>
                <c:pt idx="42">
                  <c:v>7.0999999999999899</c:v>
                </c:pt>
                <c:pt idx="43">
                  <c:v>7.1499999999999897</c:v>
                </c:pt>
                <c:pt idx="44">
                  <c:v>7.1999999999999904</c:v>
                </c:pt>
                <c:pt idx="45">
                  <c:v>7.2499999999999902</c:v>
                </c:pt>
                <c:pt idx="46">
                  <c:v>7.2999999999999901</c:v>
                </c:pt>
                <c:pt idx="47">
                  <c:v>7.3499999999999899</c:v>
                </c:pt>
                <c:pt idx="48">
                  <c:v>7.3999999999999897</c:v>
                </c:pt>
              </c:numCache>
            </c:numRef>
          </c:xVal>
          <c:yVal>
            <c:numRef>
              <c:f>JvsX!$H$2:$H$69</c:f>
              <c:numCache>
                <c:formatCode>General</c:formatCode>
                <c:ptCount val="68"/>
                <c:pt idx="0">
                  <c:v>0.106</c:v>
                </c:pt>
                <c:pt idx="1">
                  <c:v>9.7000000000000003E-2</c:v>
                </c:pt>
                <c:pt idx="2">
                  <c:v>8.7999999999999995E-2</c:v>
                </c:pt>
                <c:pt idx="3">
                  <c:v>0.08</c:v>
                </c:pt>
                <c:pt idx="4">
                  <c:v>7.2999999999999995E-2</c:v>
                </c:pt>
                <c:pt idx="5">
                  <c:v>6.6000000000000003E-2</c:v>
                </c:pt>
                <c:pt idx="6">
                  <c:v>0.06</c:v>
                </c:pt>
                <c:pt idx="7">
                  <c:v>5.3999999999999999E-2</c:v>
                </c:pt>
                <c:pt idx="8">
                  <c:v>4.9000000000000002E-2</c:v>
                </c:pt>
                <c:pt idx="9">
                  <c:v>4.3999999999999997E-2</c:v>
                </c:pt>
                <c:pt idx="10">
                  <c:v>0.04</c:v>
                </c:pt>
                <c:pt idx="11">
                  <c:v>3.5999999999999997E-2</c:v>
                </c:pt>
                <c:pt idx="12">
                  <c:v>3.3000000000000002E-2</c:v>
                </c:pt>
                <c:pt idx="13">
                  <c:v>2.9000000000000001E-2</c:v>
                </c:pt>
                <c:pt idx="14">
                  <c:v>2.7E-2</c:v>
                </c:pt>
                <c:pt idx="15">
                  <c:v>2.4E-2</c:v>
                </c:pt>
                <c:pt idx="16">
                  <c:v>2.1999999999999999E-2</c:v>
                </c:pt>
                <c:pt idx="17">
                  <c:v>1.9E-2</c:v>
                </c:pt>
                <c:pt idx="18">
                  <c:v>1.7000000000000001E-2</c:v>
                </c:pt>
                <c:pt idx="19">
                  <c:v>1.6E-2</c:v>
                </c:pt>
                <c:pt idx="20">
                  <c:v>1.4E-2</c:v>
                </c:pt>
                <c:pt idx="21">
                  <c:v>1.2999999999999999E-2</c:v>
                </c:pt>
                <c:pt idx="22">
                  <c:v>1.0999999999999999E-2</c:v>
                </c:pt>
                <c:pt idx="23">
                  <c:v>0.01</c:v>
                </c:pt>
                <c:pt idx="24">
                  <c:v>8.9999999999999993E-3</c:v>
                </c:pt>
                <c:pt idx="25">
                  <c:v>8.0000000000000002E-3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5.0000000000000001E-3</c:v>
                </c:pt>
                <c:pt idx="30">
                  <c:v>5.0000000000000001E-3</c:v>
                </c:pt>
                <c:pt idx="31">
                  <c:v>4.0000000000000001E-3</c:v>
                </c:pt>
                <c:pt idx="32">
                  <c:v>4.0000000000000001E-3</c:v>
                </c:pt>
                <c:pt idx="33">
                  <c:v>3.0000000000000001E-3</c:v>
                </c:pt>
                <c:pt idx="34">
                  <c:v>3.0000000000000001E-3</c:v>
                </c:pt>
                <c:pt idx="35">
                  <c:v>3.0000000000000001E-3</c:v>
                </c:pt>
                <c:pt idx="36">
                  <c:v>2E-3</c:v>
                </c:pt>
                <c:pt idx="37">
                  <c:v>2E-3</c:v>
                </c:pt>
                <c:pt idx="38">
                  <c:v>2E-3</c:v>
                </c:pt>
                <c:pt idx="39">
                  <c:v>2E-3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>
                  <c:v>1E-3</c:v>
                </c:pt>
                <c:pt idx="47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D54-6D40-9D8E-223904325F02}"/>
            </c:ext>
          </c:extLst>
        </c:ser>
        <c:ser>
          <c:idx val="10"/>
          <c:order val="7"/>
          <c:tx>
            <c:strRef>
              <c:f>JvsX!#REF!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JvsX!$G$2:$G$69</c:f>
              <c:numCache>
                <c:formatCode>General</c:formatCode>
                <c:ptCount val="68"/>
                <c:pt idx="0">
                  <c:v>5</c:v>
                </c:pt>
                <c:pt idx="1">
                  <c:v>5.05</c:v>
                </c:pt>
                <c:pt idx="2">
                  <c:v>5.0999999999999996</c:v>
                </c:pt>
                <c:pt idx="3">
                  <c:v>5.15</c:v>
                </c:pt>
                <c:pt idx="4">
                  <c:v>5.2</c:v>
                </c:pt>
                <c:pt idx="5">
                  <c:v>5.25</c:v>
                </c:pt>
                <c:pt idx="6">
                  <c:v>5.3</c:v>
                </c:pt>
                <c:pt idx="7">
                  <c:v>5.35</c:v>
                </c:pt>
                <c:pt idx="8">
                  <c:v>5.4</c:v>
                </c:pt>
                <c:pt idx="9">
                  <c:v>5.45</c:v>
                </c:pt>
                <c:pt idx="10">
                  <c:v>5.5</c:v>
                </c:pt>
                <c:pt idx="11">
                  <c:v>5.55</c:v>
                </c:pt>
                <c:pt idx="12">
                  <c:v>5.6</c:v>
                </c:pt>
                <c:pt idx="13">
                  <c:v>5.65</c:v>
                </c:pt>
                <c:pt idx="14">
                  <c:v>5.7</c:v>
                </c:pt>
                <c:pt idx="15">
                  <c:v>5.75</c:v>
                </c:pt>
                <c:pt idx="16">
                  <c:v>5.8</c:v>
                </c:pt>
                <c:pt idx="17">
                  <c:v>5.85</c:v>
                </c:pt>
                <c:pt idx="18">
                  <c:v>5.9</c:v>
                </c:pt>
                <c:pt idx="19">
                  <c:v>5.95</c:v>
                </c:pt>
                <c:pt idx="20">
                  <c:v>6</c:v>
                </c:pt>
                <c:pt idx="21">
                  <c:v>6.05</c:v>
                </c:pt>
                <c:pt idx="22">
                  <c:v>6.1</c:v>
                </c:pt>
                <c:pt idx="23">
                  <c:v>6.15</c:v>
                </c:pt>
                <c:pt idx="24">
                  <c:v>6.2</c:v>
                </c:pt>
                <c:pt idx="25">
                  <c:v>6.25</c:v>
                </c:pt>
                <c:pt idx="26">
                  <c:v>6.3</c:v>
                </c:pt>
                <c:pt idx="27">
                  <c:v>6.35</c:v>
                </c:pt>
                <c:pt idx="28">
                  <c:v>6.4</c:v>
                </c:pt>
                <c:pt idx="29">
                  <c:v>6.4499999999999904</c:v>
                </c:pt>
                <c:pt idx="30">
                  <c:v>6.4999999999999902</c:v>
                </c:pt>
                <c:pt idx="31">
                  <c:v>6.5499999999999901</c:v>
                </c:pt>
                <c:pt idx="32">
                  <c:v>6.5999999999999899</c:v>
                </c:pt>
                <c:pt idx="33">
                  <c:v>6.6499999999999897</c:v>
                </c:pt>
                <c:pt idx="34">
                  <c:v>6.6999999999999904</c:v>
                </c:pt>
                <c:pt idx="35">
                  <c:v>6.7499999999999902</c:v>
                </c:pt>
                <c:pt idx="36">
                  <c:v>6.7999999999999901</c:v>
                </c:pt>
                <c:pt idx="37">
                  <c:v>6.8499999999999899</c:v>
                </c:pt>
                <c:pt idx="38">
                  <c:v>6.8999999999999897</c:v>
                </c:pt>
                <c:pt idx="39">
                  <c:v>6.9499999999999904</c:v>
                </c:pt>
                <c:pt idx="40">
                  <c:v>6.9999999999999902</c:v>
                </c:pt>
                <c:pt idx="41">
                  <c:v>7.0499999999999901</c:v>
                </c:pt>
                <c:pt idx="42">
                  <c:v>7.0999999999999899</c:v>
                </c:pt>
                <c:pt idx="43">
                  <c:v>7.1499999999999897</c:v>
                </c:pt>
                <c:pt idx="44">
                  <c:v>7.1999999999999904</c:v>
                </c:pt>
                <c:pt idx="45">
                  <c:v>7.2499999999999902</c:v>
                </c:pt>
                <c:pt idx="46">
                  <c:v>7.2999999999999901</c:v>
                </c:pt>
                <c:pt idx="47">
                  <c:v>7.3499999999999899</c:v>
                </c:pt>
                <c:pt idx="48">
                  <c:v>7.3999999999999897</c:v>
                </c:pt>
              </c:numCache>
            </c:numRef>
          </c:xVal>
          <c:yVal>
            <c:numRef>
              <c:f>JvsX!#REF!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D54-6D40-9D8E-223904325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478048"/>
        <c:axId val="1010513696"/>
      </c:scatterChart>
      <c:valAx>
        <c:axId val="1010478048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513696"/>
        <c:crosses val="autoZero"/>
        <c:crossBetween val="midCat"/>
      </c:valAx>
      <c:valAx>
        <c:axId val="101051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47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7</xdr:row>
      <xdr:rowOff>19050</xdr:rowOff>
    </xdr:from>
    <xdr:to>
      <xdr:col>16</xdr:col>
      <xdr:colOff>254000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C0A19-AD53-AA1C-B929-6D3078E9B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54</xdr:row>
      <xdr:rowOff>57150</xdr:rowOff>
    </xdr:from>
    <xdr:to>
      <xdr:col>3</xdr:col>
      <xdr:colOff>0</xdr:colOff>
      <xdr:row>67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AE3CD0-FDBF-4D46-8289-936F02F98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001</v>
    <v>0</v>
  </rv>
  <rv s="0">
    <v>12</v>
    <v>0018</v>
    <v>0</v>
  </rv>
  <rv s="0">
    <v>12</v>
    <v>0019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4D7-EA14-8F4B-A083-6A883E8B3107}">
  <dimension ref="A1:AK56"/>
  <sheetViews>
    <sheetView topLeftCell="I31" workbookViewId="0">
      <selection activeCell="N6" sqref="N6"/>
    </sheetView>
  </sheetViews>
  <sheetFormatPr baseColWidth="10" defaultColWidth="11" defaultRowHeight="16" x14ac:dyDescent="0.2"/>
  <cols>
    <col min="4" max="7" width="11" bestFit="1" customWidth="1"/>
    <col min="8" max="9" width="14.33203125" customWidth="1"/>
    <col min="10" max="10" width="25.33203125" customWidth="1"/>
    <col min="11" max="11" width="14" bestFit="1" customWidth="1"/>
    <col min="12" max="14" width="11" bestFit="1" customWidth="1"/>
  </cols>
  <sheetData>
    <row r="1" spans="1:37" x14ac:dyDescent="0.2">
      <c r="A1" t="s">
        <v>5</v>
      </c>
      <c r="B1" t="s">
        <v>0</v>
      </c>
      <c r="C1" t="s">
        <v>40</v>
      </c>
      <c r="D1" t="s">
        <v>4</v>
      </c>
      <c r="E1" t="s">
        <v>3</v>
      </c>
      <c r="F1" t="s">
        <v>1</v>
      </c>
      <c r="G1" t="s">
        <v>2</v>
      </c>
      <c r="H1" t="s">
        <v>19</v>
      </c>
      <c r="I1" t="s">
        <v>20</v>
      </c>
      <c r="J1" t="s">
        <v>12</v>
      </c>
      <c r="K1" t="s">
        <v>13</v>
      </c>
      <c r="L1" t="s">
        <v>14</v>
      </c>
      <c r="M1" t="s">
        <v>114</v>
      </c>
      <c r="N1" t="s">
        <v>115</v>
      </c>
      <c r="O1" t="s">
        <v>98</v>
      </c>
      <c r="P1" t="s">
        <v>99</v>
      </c>
      <c r="Q1" t="s">
        <v>44</v>
      </c>
      <c r="R1" t="s">
        <v>72</v>
      </c>
      <c r="S1" t="s">
        <v>73</v>
      </c>
      <c r="U1" t="s">
        <v>45</v>
      </c>
      <c r="V1" t="s">
        <v>74</v>
      </c>
      <c r="W1" t="s">
        <v>75</v>
      </c>
      <c r="Y1" t="s">
        <v>46</v>
      </c>
      <c r="Z1" t="s">
        <v>50</v>
      </c>
      <c r="AA1" t="s">
        <v>51</v>
      </c>
      <c r="AC1" t="s">
        <v>47</v>
      </c>
      <c r="AD1" t="s">
        <v>52</v>
      </c>
      <c r="AE1" t="s">
        <v>53</v>
      </c>
      <c r="AG1" t="s">
        <v>48</v>
      </c>
      <c r="AH1" t="s">
        <v>54</v>
      </c>
      <c r="AJ1" t="s">
        <v>49</v>
      </c>
      <c r="AK1" t="s">
        <v>55</v>
      </c>
    </row>
    <row r="2" spans="1:37" x14ac:dyDescent="0.2">
      <c r="A2" t="s">
        <v>17</v>
      </c>
      <c r="B2" t="s">
        <v>89</v>
      </c>
      <c r="C2">
        <v>6</v>
      </c>
      <c r="D2" s="5">
        <v>3.0406439483314399E-2</v>
      </c>
      <c r="E2" s="5">
        <v>3.6414575730886703E-2</v>
      </c>
      <c r="F2" s="5">
        <v>7.2999999999999995E-2</v>
      </c>
      <c r="G2" s="5">
        <v>6.3E-2</v>
      </c>
      <c r="H2" s="5">
        <f>F2*2</f>
        <v>0.14599999999999999</v>
      </c>
      <c r="I2" s="5">
        <f>G2*2.001</f>
        <v>0.12606299999999998</v>
      </c>
      <c r="J2" s="5">
        <f>(((H2^2.001) / ((4.135667696E-15))) * (1/(SQRT(PI()*((D2+0.3)*0.000086173*300)))) * EXP(-(D2+0.3) / (4 * 0.000086173 * 300)))</f>
        <v>1286256787320.4292</v>
      </c>
      <c r="K2" s="5">
        <f>(((I2^2.001) / ((4.135667696E-15))) * (1/(SQRT(PI()*((E2+0.3)*0.000086173*300)))) * EXP(-(E2+0.3) / (4 * 0.000086173 * 300)))</f>
        <v>896576123782.87427</v>
      </c>
      <c r="L2" s="6">
        <v>4</v>
      </c>
      <c r="M2" s="6">
        <f>(((1.6E-19)*(L2*0.0000001)^2.001)*J2)/(2.001*300*0.00008618*1.6E-19)</f>
        <v>3.9198991070008606</v>
      </c>
      <c r="N2" s="6">
        <f>(((1.6E-19)*(L2*0.0000001)^2.001)*K2)/(2.001*300*0.00008618*1.6E-19)</f>
        <v>2.732337727287157</v>
      </c>
      <c r="Q2" t="s">
        <v>96</v>
      </c>
      <c r="R2" s="7">
        <f>M6</f>
        <v>3.8007153968348106</v>
      </c>
      <c r="S2" s="7">
        <f>M7</f>
        <v>0.85293220936169278</v>
      </c>
      <c r="U2" t="s">
        <v>96</v>
      </c>
      <c r="V2" s="7">
        <f>N6</f>
        <v>3.4567043130317829</v>
      </c>
      <c r="W2" s="7">
        <f>N7</f>
        <v>1.3327396364499935</v>
      </c>
      <c r="Y2" t="s">
        <v>96</v>
      </c>
      <c r="Z2" s="7">
        <f>F6</f>
        <v>7.1499999999999994E-2</v>
      </c>
      <c r="AA2" s="7">
        <f>F7</f>
        <v>8.5440037453176076E-3</v>
      </c>
      <c r="AC2" t="s">
        <v>96</v>
      </c>
      <c r="AD2" s="7">
        <f>G6</f>
        <v>7.0000000000000007E-2</v>
      </c>
      <c r="AE2" s="7">
        <f>G7</f>
        <v>1.267543556122098E-2</v>
      </c>
      <c r="AG2" t="s">
        <v>96</v>
      </c>
      <c r="AH2" s="7">
        <v>3.0406439483314399E-2</v>
      </c>
      <c r="AJ2" t="s">
        <v>96</v>
      </c>
      <c r="AK2">
        <v>3.6414575730886703E-2</v>
      </c>
    </row>
    <row r="3" spans="1:37" x14ac:dyDescent="0.2">
      <c r="C3">
        <v>7</v>
      </c>
      <c r="D3" s="5">
        <v>3.0406439483314399E-2</v>
      </c>
      <c r="E3" s="5">
        <v>3.6414575730886703E-2</v>
      </c>
      <c r="F3" s="5">
        <v>7.6999999999999999E-2</v>
      </c>
      <c r="G3" s="5">
        <v>6.4000000000000001E-2</v>
      </c>
      <c r="H3" s="5">
        <f>F3*2</f>
        <v>0.154</v>
      </c>
      <c r="I3" s="5">
        <f t="shared" ref="I3:I54" si="0">G3*2.001</f>
        <v>0.12806399999999998</v>
      </c>
      <c r="J3" s="5">
        <f>(((H3^2.001) / ((4.135667696E-15))) * (1/(SQRT(PI()*((D3+0.3)*0.000086173*300)))) * EXP(-(D3+0.3) / (4 * 0.000086173 * 300)))</f>
        <v>1431154687722.3071</v>
      </c>
      <c r="K3" s="5">
        <f>(((I3^2.001) / ((4.135667696E-15))) * (1/(SQRT(PI()*((E3+0.3)*0.000086173*300)))) * EXP(-(E3+0.3) / (4 * 0.000086173 * 300)))</f>
        <v>925279324100.55872</v>
      </c>
      <c r="L3" s="6">
        <v>4</v>
      </c>
      <c r="M3" s="6">
        <f>(((1.6E-19)*(L3*0.0000001)^2.001)*J3)/(2.001*300*0.00008618*1.6E-19)</f>
        <v>4.3614790123437626</v>
      </c>
      <c r="N3" s="6">
        <f>(((1.6E-19)*(L3*0.0000001)^2.001)*K3)/(2.001*300*0.00008618*1.6E-19)</f>
        <v>2.8198114342502509</v>
      </c>
      <c r="Q3" t="s">
        <v>96</v>
      </c>
      <c r="R3" s="7">
        <f>M11</f>
        <v>0.1217215292947694</v>
      </c>
      <c r="S3" s="7">
        <f>M12</f>
        <v>6.6207783677483423E-2</v>
      </c>
      <c r="U3" t="s">
        <v>96</v>
      </c>
      <c r="V3" s="7">
        <f>N11</f>
        <v>0.94313547996042835</v>
      </c>
      <c r="W3" s="7" t="e" cm="1" vm="1">
        <f t="array" ref="W3">_FV(N12,"001")</f>
        <v>#VALUE!</v>
      </c>
      <c r="Y3" t="s">
        <v>96</v>
      </c>
      <c r="Z3" s="7">
        <f>F11</f>
        <v>1.2500000000000001E-2</v>
      </c>
      <c r="AA3" s="7" t="e" cm="1" vm="1">
        <f t="array" ref="AA3">_FV(F12,"001")</f>
        <v>#VALUE!</v>
      </c>
      <c r="AC3" t="s">
        <v>96</v>
      </c>
      <c r="AD3" s="7">
        <f>G11</f>
        <v>3.4500000000000003E-2</v>
      </c>
      <c r="AE3" s="7" t="e" cm="1" vm="1">
        <f t="array" ref="AE3">_FV(G12,"001")</f>
        <v>#VALUE!</v>
      </c>
      <c r="AG3" t="s">
        <v>96</v>
      </c>
      <c r="AH3">
        <v>3.0406439483314399E-2</v>
      </c>
      <c r="AJ3" t="s">
        <v>96</v>
      </c>
      <c r="AK3">
        <v>3.6414575730886703E-2</v>
      </c>
    </row>
    <row r="4" spans="1:37" x14ac:dyDescent="0.2">
      <c r="C4">
        <v>4</v>
      </c>
      <c r="D4" s="5">
        <v>3.0406439483314399E-2</v>
      </c>
      <c r="E4" s="5">
        <v>3.6414575730886703E-2</v>
      </c>
      <c r="F4" s="5">
        <v>7.6999999999999999E-2</v>
      </c>
      <c r="G4" s="5">
        <v>8.8999999999999996E-2</v>
      </c>
      <c r="H4" s="5">
        <f>F4*2</f>
        <v>0.154</v>
      </c>
      <c r="I4" s="5">
        <f t="shared" si="0"/>
        <v>0.17808899999999997</v>
      </c>
      <c r="J4" s="5">
        <f>(((H4^2.001) / ((4.135667696E-15))) * (1/(SQRT(PI()*((D4+0.3)*0.000086173*300)))) * EXP(-(D4+0.3) / (4 * 0.000086173 * 300)))</f>
        <v>1431154687722.3071</v>
      </c>
      <c r="K4" s="5">
        <f>(((I4^2.001) / ((4.135667696E-15))) * (1/(SQRT(PI()*((E4+0.3)*0.000086173*300)))) * EXP(-(E4+0.3) / (4 * 0.000086173 * 300)))</f>
        <v>1789930354468.9749</v>
      </c>
      <c r="L4" s="6">
        <v>4</v>
      </c>
      <c r="M4" s="6">
        <f>(((1.6E-19)*(L4*0.0000001)^2.001)*J4)/(2.001*300*0.00008618*1.6E-19)</f>
        <v>4.3614790123437626</v>
      </c>
      <c r="N4" s="6">
        <f>(((1.6E-19)*(L4*0.0000001)^2.001)*K4)/(2.001*300*0.00008618*1.6E-19)</f>
        <v>5.454856656339472</v>
      </c>
      <c r="Q4" t="s">
        <v>96</v>
      </c>
      <c r="R4" s="7">
        <f>M15</f>
        <v>0.24269400302464791</v>
      </c>
      <c r="S4" s="7">
        <v>0</v>
      </c>
      <c r="U4" t="s">
        <v>96</v>
      </c>
      <c r="V4" s="7">
        <f>N15</f>
        <v>5.6735220109019456E-2</v>
      </c>
      <c r="W4" s="7">
        <v>0</v>
      </c>
      <c r="Y4" t="s">
        <v>96</v>
      </c>
      <c r="Z4" s="7">
        <f>F15</f>
        <v>1.7999999999999999E-2</v>
      </c>
      <c r="AA4" s="7">
        <v>0</v>
      </c>
      <c r="AC4" t="s">
        <v>96</v>
      </c>
      <c r="AD4" s="7">
        <f>G15</f>
        <v>8.9999999999999993E-3</v>
      </c>
      <c r="AE4" s="7">
        <v>0</v>
      </c>
      <c r="AG4" t="s">
        <v>96</v>
      </c>
      <c r="AH4" s="7">
        <v>3.0406439483314399E-2</v>
      </c>
      <c r="AJ4" t="s">
        <v>96</v>
      </c>
      <c r="AK4">
        <v>3.6414575730886703E-2</v>
      </c>
    </row>
    <row r="5" spans="1:37" x14ac:dyDescent="0.2">
      <c r="C5">
        <v>8</v>
      </c>
      <c r="D5" s="5">
        <v>3.0406439483314399E-2</v>
      </c>
      <c r="E5" s="5">
        <v>3.6414575730886703E-2</v>
      </c>
      <c r="F5" s="5">
        <v>5.8999999999999997E-2</v>
      </c>
      <c r="G5" s="5">
        <v>6.4000000000000001E-2</v>
      </c>
      <c r="H5" s="5">
        <f>F5*2</f>
        <v>0.11799999999999999</v>
      </c>
      <c r="I5" s="5">
        <f t="shared" si="0"/>
        <v>0.12806399999999998</v>
      </c>
      <c r="J5" s="5">
        <f>(((H5^2.001) / ((4.135667696E-15))) * (1/(SQRT(PI()*((D5+0.3)*0.000086173*300)))) * EXP(-(D5+0.3) / (4 * 0.000086173 * 300)))</f>
        <v>840027515190.51599</v>
      </c>
      <c r="K5" s="5">
        <f>(((I5^2.001) / ((4.135667696E-15))) * (1/(SQRT(PI()*((E5+0.3)*0.000086173*300)))) * EXP(-(E5+0.3) / (4 * 0.000086173 * 300)))</f>
        <v>925279324100.55872</v>
      </c>
      <c r="L5" s="6">
        <v>4</v>
      </c>
      <c r="M5" s="6">
        <f>(((1.6E-19)*(L5*0.0000001)^2.001)*J5)/(2.001*300*0.00008618*1.6E-19)</f>
        <v>2.5600044556508568</v>
      </c>
      <c r="N5" s="6">
        <f>(((1.6E-19)*(L5*0.0000001)^2.001)*K5)/(2.001*300*0.00008618*1.6E-19)</f>
        <v>2.8198114342502509</v>
      </c>
      <c r="Q5" t="s">
        <v>111</v>
      </c>
      <c r="R5" s="7">
        <f>M2</f>
        <v>3.9198991070008606</v>
      </c>
      <c r="S5" s="7">
        <f>M2</f>
        <v>3.9198991070008606</v>
      </c>
      <c r="U5" t="s">
        <v>111</v>
      </c>
      <c r="V5" s="7" t="e" cm="1" vm="2">
        <f t="array" ref="V5">_FV(N2,"0018")</f>
        <v>#VALUE!</v>
      </c>
      <c r="W5" s="7" t="e" cm="1" vm="3">
        <f t="array" ref="W5">_FV(N2,"0019")</f>
        <v>#VALUE!</v>
      </c>
      <c r="Y5" t="s">
        <v>111</v>
      </c>
      <c r="Z5" s="7" t="e" cm="1" vm="2">
        <f t="array" ref="Z5">_FV(F2,"0018")</f>
        <v>#VALUE!</v>
      </c>
      <c r="AA5" s="7" t="e" cm="1" vm="3">
        <f t="array" ref="AA5">_FV(F2,"0019")</f>
        <v>#VALUE!</v>
      </c>
      <c r="AC5" t="s">
        <v>111</v>
      </c>
      <c r="AD5" s="7" t="e" cm="1" vm="2">
        <f t="array" ref="AD5">_FV(G2,"0018")</f>
        <v>#VALUE!</v>
      </c>
      <c r="AE5" s="7" t="e" cm="1" vm="3">
        <f t="array" ref="AE5">_FV(G2,"0019")</f>
        <v>#VALUE!</v>
      </c>
      <c r="AG5" t="s">
        <v>111</v>
      </c>
      <c r="AH5" s="7" t="s">
        <v>112</v>
      </c>
      <c r="AJ5" t="s">
        <v>111</v>
      </c>
      <c r="AK5" t="s">
        <v>113</v>
      </c>
    </row>
    <row r="6" spans="1:37" x14ac:dyDescent="0.2">
      <c r="C6" s="6" t="s">
        <v>42</v>
      </c>
      <c r="D6" s="6">
        <f>AVERAGE(D2:D5)</f>
        <v>3.0406439483314399E-2</v>
      </c>
      <c r="E6" s="6">
        <f t="shared" ref="E6:N6" si="1">AVERAGE(E2:E5)</f>
        <v>3.6414575730886703E-2</v>
      </c>
      <c r="F6" s="6">
        <f t="shared" si="1"/>
        <v>7.1499999999999994E-2</v>
      </c>
      <c r="G6" s="6">
        <f t="shared" si="1"/>
        <v>7.0000000000000007E-2</v>
      </c>
      <c r="H6" s="5"/>
      <c r="I6" s="5"/>
      <c r="J6" s="6"/>
      <c r="K6" s="6"/>
      <c r="L6" s="6"/>
      <c r="M6" s="6">
        <f t="shared" si="1"/>
        <v>3.8007153968348106</v>
      </c>
      <c r="N6" s="6">
        <f t="shared" si="1"/>
        <v>3.4567043130317829</v>
      </c>
      <c r="Q6" t="s">
        <v>10</v>
      </c>
      <c r="R6" s="7">
        <f>M36</f>
        <v>7.2795024224564853E-2</v>
      </c>
      <c r="S6" s="7">
        <f>M37</f>
        <v>9.2793406590680333E-2</v>
      </c>
      <c r="U6" t="s">
        <v>10</v>
      </c>
      <c r="V6" s="7">
        <f>N36</f>
        <v>2.6546686877561929</v>
      </c>
      <c r="W6" s="7">
        <f>N37</f>
        <v>0.47503196162100203</v>
      </c>
      <c r="Y6" t="s">
        <v>10</v>
      </c>
      <c r="Z6" s="7">
        <f>F36</f>
        <v>1.9800000000000002E-2</v>
      </c>
      <c r="AA6" s="7">
        <f>F37</f>
        <v>1.2477980605851251E-2</v>
      </c>
      <c r="AC6" t="s">
        <v>10</v>
      </c>
      <c r="AD6" s="7">
        <f>G36</f>
        <v>0.1258</v>
      </c>
      <c r="AE6" s="7">
        <f>G37</f>
        <v>1.1840608092492551E-2</v>
      </c>
      <c r="AG6" t="s">
        <v>10</v>
      </c>
      <c r="AH6" s="7">
        <v>0.18348400000000001</v>
      </c>
      <c r="AJ6" t="s">
        <v>10</v>
      </c>
      <c r="AK6">
        <v>0.16788500000000001</v>
      </c>
    </row>
    <row r="7" spans="1:37" x14ac:dyDescent="0.2">
      <c r="C7" s="6" t="s">
        <v>41</v>
      </c>
      <c r="D7" s="6">
        <f>STDEV(D2:D5)</f>
        <v>0</v>
      </c>
      <c r="E7" s="6">
        <f t="shared" ref="E7:N7" si="2">STDEV(E2:E5)</f>
        <v>0</v>
      </c>
      <c r="F7" s="6">
        <f t="shared" si="2"/>
        <v>8.5440037453176076E-3</v>
      </c>
      <c r="G7" s="6">
        <f t="shared" si="2"/>
        <v>1.267543556122098E-2</v>
      </c>
      <c r="H7" s="5"/>
      <c r="I7" s="5"/>
      <c r="J7" s="6"/>
      <c r="K7" s="6"/>
      <c r="L7" s="6"/>
      <c r="M7" s="6">
        <f t="shared" si="2"/>
        <v>0.85293220936169278</v>
      </c>
      <c r="N7" s="6">
        <f t="shared" si="2"/>
        <v>1.3327396364499935</v>
      </c>
      <c r="Q7" t="s">
        <v>10</v>
      </c>
      <c r="R7" s="7">
        <f>M40</f>
        <v>3.5227944359545508E-3</v>
      </c>
      <c r="S7" s="7">
        <v>0</v>
      </c>
      <c r="U7" t="s">
        <v>10</v>
      </c>
      <c r="V7" s="7">
        <f>N40</f>
        <v>0.59963152228803807</v>
      </c>
      <c r="W7" s="7">
        <v>0</v>
      </c>
      <c r="Y7" t="s">
        <v>10</v>
      </c>
      <c r="Z7" s="7">
        <f>F40</f>
        <v>5.0000000000000001E-3</v>
      </c>
      <c r="AA7" s="7">
        <v>0</v>
      </c>
      <c r="AC7" t="s">
        <v>10</v>
      </c>
      <c r="AD7" s="7">
        <f>G36</f>
        <v>0.1258</v>
      </c>
      <c r="AE7" s="7">
        <v>0</v>
      </c>
      <c r="AG7" t="s">
        <v>10</v>
      </c>
      <c r="AH7" s="7">
        <v>0.18348400000000001</v>
      </c>
      <c r="AJ7" t="s">
        <v>10</v>
      </c>
      <c r="AK7">
        <v>0.16788500000000001</v>
      </c>
    </row>
    <row r="8" spans="1:37" x14ac:dyDescent="0.2">
      <c r="D8" s="5"/>
      <c r="E8" s="5"/>
      <c r="F8" s="5"/>
      <c r="G8" s="5"/>
      <c r="H8" s="5"/>
      <c r="I8" s="5"/>
      <c r="J8" s="5"/>
      <c r="K8" s="5"/>
      <c r="L8" s="6"/>
      <c r="M8" s="6"/>
      <c r="N8" s="6"/>
      <c r="Q8" t="s">
        <v>11</v>
      </c>
      <c r="R8" s="7">
        <f>M45</f>
        <v>0.81549415816143278</v>
      </c>
      <c r="S8" s="7">
        <f>M46</f>
        <v>1.527460026968667E-2</v>
      </c>
      <c r="U8" t="s">
        <v>11</v>
      </c>
      <c r="V8" s="7">
        <f>N45</f>
        <v>2.2765582684668842E-2</v>
      </c>
      <c r="W8" s="7">
        <f>N46</f>
        <v>1.9494459834926579E-3</v>
      </c>
      <c r="Y8" t="s">
        <v>11</v>
      </c>
      <c r="Z8" s="7">
        <f>F45</f>
        <v>7.5499999999999998E-2</v>
      </c>
      <c r="AA8" s="7">
        <f>F46</f>
        <v>7.0710678118654816E-4</v>
      </c>
      <c r="AC8" t="s">
        <v>11</v>
      </c>
      <c r="AD8" s="7">
        <f>G45</f>
        <v>1.6500000000000001E-2</v>
      </c>
      <c r="AE8" s="7">
        <f>G46</f>
        <v>7.0710678118654816E-4</v>
      </c>
      <c r="AG8" t="s">
        <v>11</v>
      </c>
      <c r="AH8">
        <v>0.18207300000000001</v>
      </c>
      <c r="AJ8" t="s">
        <v>11</v>
      </c>
      <c r="AK8">
        <v>0.232545</v>
      </c>
    </row>
    <row r="9" spans="1:37" x14ac:dyDescent="0.2">
      <c r="B9" t="s">
        <v>90</v>
      </c>
      <c r="C9">
        <v>5</v>
      </c>
      <c r="D9" s="5">
        <v>3.0406439483314399E-2</v>
      </c>
      <c r="E9" s="5">
        <v>3.6414575730886703E-2</v>
      </c>
      <c r="F9" s="5">
        <v>1.4999999999999999E-2</v>
      </c>
      <c r="G9" s="5">
        <v>4.7E-2</v>
      </c>
      <c r="H9" s="5">
        <f t="shared" ref="H3:H54" si="3">F9*2.001</f>
        <v>3.0014999999999997E-2</v>
      </c>
      <c r="I9" s="5">
        <f t="shared" si="0"/>
        <v>9.4046999999999992E-2</v>
      </c>
      <c r="J9" s="5">
        <f t="shared" ref="J9:J10" si="4">(((H9^2) / ((4.135667696E-15))) * (1/(SQRT(PI()*((D9+0.3)*0.000086173*300)))) * EXP(-(D9+0.3) / (4 * 0.000086173 * 300)))</f>
        <v>54467107241.312927</v>
      </c>
      <c r="K9" s="5">
        <f t="shared" ref="K9:K10" si="5">(((I9^2) / ((4.135667696E-15))) * (1/(SQRT(PI()*((E9+0.3)*0.000086173*300)))) * EXP(-(E9+0.3) / (4 * 0.000086173 * 300)))</f>
        <v>500035914963.45441</v>
      </c>
      <c r="L9" s="6">
        <v>4</v>
      </c>
      <c r="M9" s="6">
        <f t="shared" ref="M9:M10" si="6">(((1.6E-19)*(L9*0.0000001)^2)*J9)/(2*300*0.00008618*1.6E-19)</f>
        <v>0.16853750210044993</v>
      </c>
      <c r="N9" s="6">
        <f t="shared" ref="N9:N10" si="7">(((1.6E-19)*(L9*0.0000001)^2)*K9)/(2*300*0.00008618*1.6E-19)</f>
        <v>1.5472605088990614</v>
      </c>
      <c r="Q9" t="s">
        <v>11</v>
      </c>
      <c r="R9" s="7">
        <f>M51</f>
        <v>8.0588552307857293E-3</v>
      </c>
      <c r="S9" s="7">
        <f>M52</f>
        <v>1.0872615447565988E-2</v>
      </c>
      <c r="U9" t="s">
        <v>11</v>
      </c>
      <c r="V9" s="7">
        <f>N51</f>
        <v>5.4860180903727983E-3</v>
      </c>
      <c r="W9" s="7">
        <f>N52</f>
        <v>3.6800221798446286E-3</v>
      </c>
      <c r="Y9" t="s">
        <v>11</v>
      </c>
      <c r="Z9" s="7">
        <f>F51</f>
        <v>6.3333333333333332E-3</v>
      </c>
      <c r="AA9" s="7">
        <f>F52</f>
        <v>4.9328828623162466E-3</v>
      </c>
      <c r="AC9" t="s">
        <v>11</v>
      </c>
      <c r="AD9" s="7">
        <f>G51</f>
        <v>7.6666666666666662E-3</v>
      </c>
      <c r="AE9" s="7">
        <f>G52</f>
        <v>3.2145502536643179E-3</v>
      </c>
      <c r="AG9" t="s">
        <v>11</v>
      </c>
      <c r="AH9">
        <v>0.18207300000000001</v>
      </c>
      <c r="AJ9" t="s">
        <v>11</v>
      </c>
      <c r="AK9">
        <v>0.232545</v>
      </c>
    </row>
    <row r="10" spans="1:37" x14ac:dyDescent="0.2">
      <c r="C10">
        <v>10</v>
      </c>
      <c r="D10" s="5">
        <v>3.0406439483314399E-2</v>
      </c>
      <c r="E10" s="5">
        <v>3.6414575730886703E-2</v>
      </c>
      <c r="F10">
        <v>0.01</v>
      </c>
      <c r="G10">
        <v>2.1999999999999999E-2</v>
      </c>
      <c r="H10" s="5">
        <f t="shared" si="3"/>
        <v>2.001E-2</v>
      </c>
      <c r="I10" s="5">
        <f t="shared" si="0"/>
        <v>4.4021999999999992E-2</v>
      </c>
      <c r="J10" s="5">
        <f t="shared" si="4"/>
        <v>24207603218.361309</v>
      </c>
      <c r="K10" s="5">
        <f t="shared" si="5"/>
        <v>109559702508.96873</v>
      </c>
      <c r="L10" s="6">
        <v>4</v>
      </c>
      <c r="M10" s="6">
        <f t="shared" si="6"/>
        <v>7.4905556489088879E-2</v>
      </c>
      <c r="N10" s="6">
        <f t="shared" si="7"/>
        <v>0.33901045102179528</v>
      </c>
      <c r="Q10" t="s">
        <v>11</v>
      </c>
      <c r="R10" s="7">
        <f>M55</f>
        <v>1.4305660172992416E-4</v>
      </c>
      <c r="S10" s="7">
        <v>0</v>
      </c>
      <c r="U10" t="s">
        <v>11</v>
      </c>
      <c r="V10" s="7">
        <f>N55</f>
        <v>1.4118838435629485E-2</v>
      </c>
      <c r="W10" s="7">
        <v>0</v>
      </c>
      <c r="Y10" t="s">
        <v>11</v>
      </c>
      <c r="Z10" s="7">
        <f>F55</f>
        <v>1E-3</v>
      </c>
      <c r="AA10" s="7">
        <v>0</v>
      </c>
      <c r="AC10" t="s">
        <v>11</v>
      </c>
      <c r="AD10" s="7">
        <f>G55</f>
        <v>1.2999999999999999E-2</v>
      </c>
      <c r="AE10" s="7">
        <v>0</v>
      </c>
      <c r="AG10" t="s">
        <v>11</v>
      </c>
      <c r="AH10">
        <v>0.18207300000000001</v>
      </c>
      <c r="AJ10" t="s">
        <v>11</v>
      </c>
      <c r="AK10">
        <v>0.232545</v>
      </c>
    </row>
    <row r="11" spans="1:37" x14ac:dyDescent="0.2">
      <c r="C11" s="6" t="s">
        <v>42</v>
      </c>
      <c r="D11" s="6">
        <f>AVERAGE(D9:D10)</f>
        <v>3.0406439483314399E-2</v>
      </c>
      <c r="E11" s="6">
        <f t="shared" ref="E11:N11" si="8">AVERAGE(E9:E10)</f>
        <v>3.6414575730886703E-2</v>
      </c>
      <c r="F11" s="6">
        <f t="shared" si="8"/>
        <v>1.2500000000000001E-2</v>
      </c>
      <c r="G11" s="6">
        <f t="shared" si="8"/>
        <v>3.4500000000000003E-2</v>
      </c>
      <c r="H11" s="5"/>
      <c r="I11" s="5"/>
      <c r="J11" s="6"/>
      <c r="K11" s="6"/>
      <c r="L11" s="6"/>
      <c r="M11" s="6">
        <f t="shared" si="8"/>
        <v>0.1217215292947694</v>
      </c>
      <c r="N11" s="6">
        <f t="shared" si="8"/>
        <v>0.94313547996042835</v>
      </c>
      <c r="AH11" s="7"/>
    </row>
    <row r="12" spans="1:37" x14ac:dyDescent="0.2">
      <c r="C12" s="6" t="s">
        <v>41</v>
      </c>
      <c r="D12" s="6">
        <f>STDEV(D9:D10)</f>
        <v>0</v>
      </c>
      <c r="E12" s="6">
        <f t="shared" ref="E12:N12" si="9">STDEV(E9:E10)</f>
        <v>0</v>
      </c>
      <c r="F12" s="6">
        <f t="shared" si="9"/>
        <v>3.5355339059327368E-3</v>
      </c>
      <c r="G12" s="6">
        <f t="shared" si="9"/>
        <v>1.7677669529663684E-2</v>
      </c>
      <c r="H12" s="5"/>
      <c r="I12" s="5"/>
      <c r="J12" s="6"/>
      <c r="K12" s="6"/>
      <c r="L12" s="6"/>
      <c r="M12" s="6">
        <f t="shared" si="9"/>
        <v>6.6207783677483423E-2</v>
      </c>
      <c r="N12" s="6">
        <f t="shared" si="9"/>
        <v>0.85436180929405348</v>
      </c>
      <c r="AH12" s="7"/>
    </row>
    <row r="13" spans="1:37" x14ac:dyDescent="0.2"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AH13" s="7"/>
    </row>
    <row r="14" spans="1:37" x14ac:dyDescent="0.2">
      <c r="B14" t="s">
        <v>91</v>
      </c>
      <c r="C14">
        <v>9</v>
      </c>
      <c r="D14" s="5">
        <v>3.0406439483314399E-2</v>
      </c>
      <c r="E14" s="5">
        <v>3.6414575730886703E-2</v>
      </c>
      <c r="F14" s="5">
        <v>1.7999999999999999E-2</v>
      </c>
      <c r="G14" s="5">
        <v>8.9999999999999993E-3</v>
      </c>
      <c r="H14" s="5">
        <f t="shared" si="3"/>
        <v>3.6017999999999994E-2</v>
      </c>
      <c r="I14" s="5">
        <f t="shared" si="0"/>
        <v>1.8008999999999997E-2</v>
      </c>
      <c r="J14" s="5">
        <f t="shared" ref="J14" si="10">(((H14^2) / ((4.135667696E-15))) * (1/(SQRT(PI()*((D14+0.3)*0.000086173*300)))) * EXP(-(D14+0.3) / (4 * 0.000086173 * 300)))</f>
        <v>78432634427.490616</v>
      </c>
      <c r="K14" s="5">
        <f t="shared" ref="K14" si="11">(((I14^2) / ((4.135667696E-15))) * (1/(SQRT(PI()*((E14+0.3)*0.000086173*300)))) * EXP(-(E14+0.3) / (4 * 0.000086173 * 300)))</f>
        <v>18335404758.732368</v>
      </c>
      <c r="L14" s="6">
        <v>4</v>
      </c>
      <c r="M14" s="6">
        <f t="shared" ref="M14" si="12">(((1.6E-19)*(L14*0.0000001)^2)*J14)/(2*300*0.00008618*1.6E-19)</f>
        <v>0.24269400302464791</v>
      </c>
      <c r="N14" s="6">
        <f t="shared" ref="N14" si="13">(((1.6E-19)*(L14*0.0000001)^2)*K14)/(2*300*0.00008618*1.6E-19)</f>
        <v>5.6735220109019456E-2</v>
      </c>
      <c r="AH14" s="7"/>
    </row>
    <row r="15" spans="1:37" x14ac:dyDescent="0.2">
      <c r="C15" s="6" t="s">
        <v>42</v>
      </c>
      <c r="D15" s="6">
        <f>AVERAGE(D14)</f>
        <v>3.0406439483314399E-2</v>
      </c>
      <c r="E15" s="6">
        <f t="shared" ref="E15:N15" si="14">AVERAGE(E14)</f>
        <v>3.6414575730886703E-2</v>
      </c>
      <c r="F15" s="6">
        <f t="shared" si="14"/>
        <v>1.7999999999999999E-2</v>
      </c>
      <c r="G15" s="6">
        <f t="shared" si="14"/>
        <v>8.9999999999999993E-3</v>
      </c>
      <c r="H15" s="5"/>
      <c r="I15" s="5"/>
      <c r="J15" s="6"/>
      <c r="K15" s="6"/>
      <c r="L15" s="6"/>
      <c r="M15" s="6">
        <f t="shared" si="14"/>
        <v>0.24269400302464791</v>
      </c>
      <c r="N15" s="6">
        <f t="shared" si="14"/>
        <v>5.6735220109019456E-2</v>
      </c>
    </row>
    <row r="16" spans="1:37" x14ac:dyDescent="0.2">
      <c r="C16" s="6" t="s">
        <v>41</v>
      </c>
      <c r="D16" s="6" t="e">
        <f>STDEV(D14)</f>
        <v>#DIV/0!</v>
      </c>
      <c r="E16" s="6" t="e">
        <f t="shared" ref="E16:N16" si="15">STDEV(E14)</f>
        <v>#DIV/0!</v>
      </c>
      <c r="F16" s="6" t="e">
        <f t="shared" si="15"/>
        <v>#DIV/0!</v>
      </c>
      <c r="G16" s="6" t="e">
        <f t="shared" si="15"/>
        <v>#DIV/0!</v>
      </c>
      <c r="H16" s="5"/>
      <c r="I16" s="5"/>
      <c r="J16" s="6"/>
      <c r="K16" s="6"/>
      <c r="L16" s="6"/>
      <c r="M16" s="6" t="e">
        <f t="shared" si="15"/>
        <v>#DIV/0!</v>
      </c>
      <c r="N16" s="6" t="e">
        <f t="shared" si="15"/>
        <v>#DIV/0!</v>
      </c>
    </row>
    <row r="17" spans="1:16" x14ac:dyDescent="0.2"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</row>
    <row r="18" spans="1:16" x14ac:dyDescent="0.2">
      <c r="A18" t="s">
        <v>17</v>
      </c>
      <c r="B18" t="s">
        <v>66</v>
      </c>
      <c r="C18">
        <v>6</v>
      </c>
      <c r="D18" s="5">
        <v>7.1628193899819101E-2</v>
      </c>
      <c r="E18" s="5">
        <v>7.5301745253255503E-2</v>
      </c>
      <c r="F18">
        <v>0.02</v>
      </c>
      <c r="G18">
        <v>7.8E-2</v>
      </c>
      <c r="H18" s="5">
        <f t="shared" si="3"/>
        <v>4.002E-2</v>
      </c>
      <c r="I18" s="5">
        <f t="shared" si="0"/>
        <v>0.15607799999999999</v>
      </c>
      <c r="J18" s="5">
        <f t="shared" ref="J18:J43" si="16">(((H18^2) / ((4.135667696E-15))) * (1/(SQRT(PI()*((D18+0.3)*0.000086173*300)))) * EXP(-(D18+0.3) / (4 * 0.000086173 * 300)))</f>
        <v>61285437481.512871</v>
      </c>
      <c r="K18" s="5">
        <f t="shared" ref="K18:K43" si="17">(((I18^2) / ((4.135667696E-15))) * (1/(SQRT(PI()*((E18+0.3)*0.000086173*300)))) * EXP(-(E18+0.3) / (4 * 0.000086173 * 300)))</f>
        <v>895204473615.54858</v>
      </c>
      <c r="L18" s="6">
        <v>4</v>
      </c>
      <c r="M18" s="6">
        <f t="shared" ref="M18" si="18">(((1.6E-19)*(L18*0.0000001)^2)*J18)/(2*300*0.00008618*1.6E-19)</f>
        <v>0.18963545287077543</v>
      </c>
      <c r="N18" s="6">
        <f t="shared" ref="N18:N43" si="19">(((1.6E-19)*(L18*0.0000001)^2)*K18)/(2*300*0.00008618*1.6E-19)</f>
        <v>2.7700300877714805</v>
      </c>
    </row>
    <row r="19" spans="1:16" x14ac:dyDescent="0.2">
      <c r="C19">
        <v>5</v>
      </c>
      <c r="D19" s="5">
        <v>7.1628193899819101E-2</v>
      </c>
      <c r="E19" s="5">
        <v>7.5301745253255503E-2</v>
      </c>
      <c r="F19">
        <v>1.4999999999999999E-2</v>
      </c>
      <c r="G19">
        <v>7.6999999999999999E-2</v>
      </c>
      <c r="H19" s="5">
        <f t="shared" si="3"/>
        <v>3.0014999999999997E-2</v>
      </c>
      <c r="I19" s="5">
        <f t="shared" si="0"/>
        <v>0.15407699999999999</v>
      </c>
      <c r="J19" s="5">
        <f t="shared" ref="J19:J20" si="20">(((H19^2) / ((4.135667696E-15))) * (1/(SQRT(PI()*((D19+0.3)*0.000086173*300)))) * EXP(-(D19+0.3) / (4 * 0.000086173 * 300)))</f>
        <v>34473058583.350983</v>
      </c>
      <c r="K19" s="5">
        <f t="shared" ref="K19:K20" si="21">(((I19^2) / ((4.135667696E-15))) * (1/(SQRT(PI()*((E19+0.3)*0.000086173*300)))) * EXP(-(E19+0.3) / (4 * 0.000086173 * 300)))</f>
        <v>872397653528.36731</v>
      </c>
      <c r="L19" s="6">
        <v>4</v>
      </c>
      <c r="M19" s="6">
        <f t="shared" ref="M19:M20" si="22">(((1.6E-19)*(L19*0.0000001)^2)*J19)/(2*300*0.00008618*1.6E-19)</f>
        <v>0.10666994223981115</v>
      </c>
      <c r="N19" s="6">
        <f t="shared" ref="N19:N20" si="23">(((1.6E-19)*(L19*0.0000001)^2)*K19)/(2*300*0.00008618*1.6E-19)</f>
        <v>2.6994589727805893</v>
      </c>
    </row>
    <row r="20" spans="1:16" x14ac:dyDescent="0.2">
      <c r="C20">
        <v>7</v>
      </c>
      <c r="D20" s="5">
        <v>7.1628193899819101E-2</v>
      </c>
      <c r="E20" s="5">
        <v>7.5301745253255503E-2</v>
      </c>
      <c r="F20">
        <v>1.0999999999999999E-2</v>
      </c>
      <c r="G20">
        <v>7.5999999999999998E-2</v>
      </c>
      <c r="H20" s="5">
        <f t="shared" si="3"/>
        <v>2.2010999999999996E-2</v>
      </c>
      <c r="I20" s="5">
        <f t="shared" si="0"/>
        <v>0.15207599999999999</v>
      </c>
      <c r="J20" s="5">
        <f t="shared" si="20"/>
        <v>18538844838.157635</v>
      </c>
      <c r="K20" s="5">
        <f t="shared" si="21"/>
        <v>849885114990.69824</v>
      </c>
      <c r="L20" s="6">
        <v>4</v>
      </c>
      <c r="M20" s="6">
        <f t="shared" si="22"/>
        <v>5.7364724493409534E-2</v>
      </c>
      <c r="N20" s="6">
        <f t="shared" si="23"/>
        <v>2.6297984528218392</v>
      </c>
    </row>
    <row r="21" spans="1:16" x14ac:dyDescent="0.2">
      <c r="C21" s="6" t="s">
        <v>42</v>
      </c>
      <c r="D21" s="6">
        <f>AVERAGE(D18:D20)</f>
        <v>7.1628193899819101E-2</v>
      </c>
      <c r="E21" s="6">
        <f>AVERAGE(E18:E20)</f>
        <v>7.5301745253255503E-2</v>
      </c>
      <c r="F21" s="6">
        <f>AVERAGE(F18:F20)</f>
        <v>1.5333333333333332E-2</v>
      </c>
      <c r="G21" s="6">
        <f>AVERAGE(G18:G20)</f>
        <v>7.6999999999999999E-2</v>
      </c>
      <c r="H21" s="5"/>
      <c r="I21" s="5"/>
      <c r="J21" s="6"/>
      <c r="K21" s="6"/>
      <c r="L21" s="6"/>
      <c r="M21" s="6">
        <f>AVERAGE(M18:M20)</f>
        <v>0.11789003986799869</v>
      </c>
      <c r="N21" s="6">
        <f>AVERAGE(N18:N20)</f>
        <v>2.6997625044579698</v>
      </c>
    </row>
    <row r="22" spans="1:16" x14ac:dyDescent="0.2">
      <c r="C22" s="6" t="s">
        <v>41</v>
      </c>
      <c r="D22" s="6">
        <f>STDEV(D18:D20)</f>
        <v>0</v>
      </c>
      <c r="E22" s="6">
        <f>STDEV(E18:E20)</f>
        <v>0</v>
      </c>
      <c r="F22" s="6">
        <f>STDEV(F18:F20)</f>
        <v>4.5092497528228968E-3</v>
      </c>
      <c r="G22" s="6">
        <f>STDEV(G18:G20)</f>
        <v>1.0000000000000009E-3</v>
      </c>
      <c r="H22" s="5"/>
      <c r="I22" s="5"/>
      <c r="J22" s="6"/>
      <c r="K22" s="6"/>
      <c r="L22" s="6"/>
      <c r="M22" s="6">
        <f>STDEV(M18:M20)</f>
        <v>6.6845376350644317E-2</v>
      </c>
      <c r="N22" s="6">
        <f>STDEV(N18:N20)</f>
        <v>7.0116310219318759E-2</v>
      </c>
    </row>
    <row r="23" spans="1:16" x14ac:dyDescent="0.2">
      <c r="D23" s="5"/>
      <c r="E23" s="5"/>
      <c r="H23" s="5"/>
      <c r="I23" s="5"/>
      <c r="J23" s="5"/>
      <c r="K23" s="5"/>
      <c r="L23" s="6"/>
      <c r="M23" s="6"/>
      <c r="N23" s="6"/>
    </row>
    <row r="24" spans="1:16" x14ac:dyDescent="0.2">
      <c r="B24" t="s">
        <v>67</v>
      </c>
      <c r="C24">
        <v>8</v>
      </c>
      <c r="D24" s="5">
        <v>7.1628193899819101E-2</v>
      </c>
      <c r="E24" s="5">
        <v>7.5301745253255503E-2</v>
      </c>
      <c r="F24">
        <v>9.1999999999999998E-2</v>
      </c>
      <c r="G24">
        <v>8.4000000000000005E-2</v>
      </c>
      <c r="H24" s="5">
        <f t="shared" si="3"/>
        <v>0.18409199999999998</v>
      </c>
      <c r="I24" s="5">
        <f t="shared" si="0"/>
        <v>0.16808400000000001</v>
      </c>
      <c r="J24" s="5">
        <f t="shared" ref="J24:J27" si="24">(((H24^2) / ((4.135667696E-15))) * (1/(SQRT(PI()*((D24+0.3)*0.000086173*300)))) * EXP(-(D24+0.3) / (4 * 0.000086173 * 300)))</f>
        <v>1296799857108.8118</v>
      </c>
      <c r="K24" s="5">
        <f t="shared" ref="K24:K27" si="25">(((I24^2) / ((4.135667696E-15))) * (1/(SQRT(PI()*((E24+0.3)*0.000086173*300)))) * EXP(-(E24+0.3) / (4 * 0.000086173 * 300)))</f>
        <v>1038225306678.3879</v>
      </c>
      <c r="L24" s="6">
        <v>4</v>
      </c>
      <c r="M24" s="6">
        <f t="shared" ref="M24:M27" si="26">(((1.6E-19)*(L24*0.0000001)^2)*J24)/(2*300*0.00008618*1.6E-19)</f>
        <v>4.0126861827456057</v>
      </c>
      <c r="N24" s="6">
        <f t="shared" ref="N24:N27" si="27">(((1.6E-19)*(L24*0.0000001)^2)*K24)/(2*300*0.00008618*1.6E-19)</f>
        <v>3.2125792733917771</v>
      </c>
    </row>
    <row r="25" spans="1:16" x14ac:dyDescent="0.2">
      <c r="C25">
        <v>9</v>
      </c>
      <c r="D25" s="5">
        <v>7.1628193899819101E-2</v>
      </c>
      <c r="E25" s="5">
        <v>7.5301745253255503E-2</v>
      </c>
      <c r="F25">
        <v>8.3000000000000004E-2</v>
      </c>
      <c r="G25">
        <v>8.6999999999999994E-2</v>
      </c>
      <c r="H25" s="5">
        <f t="shared" si="3"/>
        <v>0.16608300000000001</v>
      </c>
      <c r="I25" s="5">
        <f t="shared" si="0"/>
        <v>0.17408699999999999</v>
      </c>
      <c r="J25" s="5">
        <f t="shared" si="24"/>
        <v>1055488447025.3555</v>
      </c>
      <c r="K25" s="5">
        <f t="shared" si="25"/>
        <v>1113708524128.2192</v>
      </c>
      <c r="L25" s="6">
        <v>4</v>
      </c>
      <c r="M25" s="6">
        <f t="shared" si="26"/>
        <v>3.2659965870669301</v>
      </c>
      <c r="N25" s="6">
        <f t="shared" si="27"/>
        <v>3.4461468991358206</v>
      </c>
    </row>
    <row r="26" spans="1:16" x14ac:dyDescent="0.2">
      <c r="C26">
        <v>10</v>
      </c>
      <c r="D26" s="5">
        <v>7.1628193899819101E-2</v>
      </c>
      <c r="E26" s="5">
        <v>7.5301745253255503E-2</v>
      </c>
      <c r="F26">
        <v>7.5999999999999998E-2</v>
      </c>
      <c r="G26">
        <v>0.124</v>
      </c>
      <c r="H26" s="5">
        <f t="shared" si="3"/>
        <v>0.15207599999999999</v>
      </c>
      <c r="I26" s="5">
        <f t="shared" si="0"/>
        <v>0.24812399999999998</v>
      </c>
      <c r="J26" s="5">
        <f t="shared" si="24"/>
        <v>884961717233.04565</v>
      </c>
      <c r="K26" s="5">
        <f t="shared" si="25"/>
        <v>2262436552648.3687</v>
      </c>
      <c r="L26" s="6">
        <v>4</v>
      </c>
      <c r="M26" s="6">
        <f t="shared" si="26"/>
        <v>2.7383359394539966</v>
      </c>
      <c r="N26" s="6">
        <f t="shared" si="27"/>
        <v>7.0006546070963651</v>
      </c>
    </row>
    <row r="27" spans="1:16" x14ac:dyDescent="0.2">
      <c r="C27">
        <v>4</v>
      </c>
      <c r="D27" s="5">
        <v>7.1628193899819101E-2</v>
      </c>
      <c r="E27" s="5">
        <v>7.5301745253255503E-2</v>
      </c>
      <c r="F27">
        <v>7.6999999999999999E-2</v>
      </c>
      <c r="G27">
        <v>8.8999999999999996E-2</v>
      </c>
      <c r="H27" s="5">
        <f t="shared" si="3"/>
        <v>0.15407699999999999</v>
      </c>
      <c r="I27" s="5">
        <f t="shared" si="0"/>
        <v>0.17808899999999997</v>
      </c>
      <c r="J27" s="5">
        <f t="shared" si="24"/>
        <v>908403397069.72424</v>
      </c>
      <c r="K27" s="5">
        <f t="shared" si="25"/>
        <v>1165502076842.3337</v>
      </c>
      <c r="L27" s="6">
        <v>4</v>
      </c>
      <c r="M27" s="6">
        <f t="shared" si="26"/>
        <v>2.8108715001770679</v>
      </c>
      <c r="N27" s="6">
        <f t="shared" si="27"/>
        <v>3.6064116247925528</v>
      </c>
    </row>
    <row r="28" spans="1:16" x14ac:dyDescent="0.2">
      <c r="C28" s="6" t="s">
        <v>42</v>
      </c>
      <c r="D28" s="6">
        <f>AVERAGE(D24:D27)</f>
        <v>7.1628193899819101E-2</v>
      </c>
      <c r="E28" s="6">
        <f t="shared" ref="E28:N28" si="28">AVERAGE(E24:E27)</f>
        <v>7.5301745253255503E-2</v>
      </c>
      <c r="F28" s="6">
        <f t="shared" si="28"/>
        <v>8.2000000000000003E-2</v>
      </c>
      <c r="G28" s="6">
        <f t="shared" si="28"/>
        <v>9.6000000000000002E-2</v>
      </c>
      <c r="H28" s="5"/>
      <c r="I28" s="5"/>
      <c r="J28" s="6"/>
      <c r="K28" s="6"/>
      <c r="L28" s="6"/>
      <c r="M28" s="6">
        <f t="shared" si="28"/>
        <v>3.2069725523609001</v>
      </c>
      <c r="N28" s="6">
        <f t="shared" si="28"/>
        <v>4.3164481011041289</v>
      </c>
    </row>
    <row r="29" spans="1:16" x14ac:dyDescent="0.2">
      <c r="C29" s="6" t="s">
        <v>41</v>
      </c>
      <c r="D29" s="6">
        <f>STDEV(D24:D27)</f>
        <v>0</v>
      </c>
      <c r="E29" s="6">
        <f t="shared" ref="E29:N29" si="29">STDEV(E24:E27)</f>
        <v>0</v>
      </c>
      <c r="F29" s="6">
        <f t="shared" si="29"/>
        <v>7.3484692283495344E-3</v>
      </c>
      <c r="G29" s="6">
        <f t="shared" si="29"/>
        <v>1.8779421361337666E-2</v>
      </c>
      <c r="H29" s="5"/>
      <c r="I29" s="5"/>
      <c r="J29" s="6"/>
      <c r="K29" s="6"/>
      <c r="L29" s="6"/>
      <c r="M29" s="6">
        <f t="shared" si="29"/>
        <v>0.58571170649011184</v>
      </c>
      <c r="N29" s="6">
        <f t="shared" si="29"/>
        <v>1.7967625455660097</v>
      </c>
    </row>
    <row r="30" spans="1:16" x14ac:dyDescent="0.2">
      <c r="D30" s="5"/>
      <c r="E30" s="5"/>
      <c r="H30" s="5"/>
      <c r="I30" s="5"/>
      <c r="J30" s="5"/>
      <c r="K30" s="5"/>
      <c r="L30" s="6"/>
      <c r="M30" s="6"/>
      <c r="N30" s="6"/>
    </row>
    <row r="31" spans="1:16" x14ac:dyDescent="0.2">
      <c r="A31" s="8" t="s">
        <v>17</v>
      </c>
      <c r="B31" s="8" t="s">
        <v>70</v>
      </c>
      <c r="C31" s="8">
        <v>8</v>
      </c>
      <c r="D31" s="9">
        <v>0.18348400000000001</v>
      </c>
      <c r="E31" s="9">
        <v>0.16788500000000001</v>
      </c>
      <c r="F31" s="14">
        <v>1.7000000000000001E-2</v>
      </c>
      <c r="G31" s="14">
        <v>0.13700000000000001</v>
      </c>
      <c r="H31" s="5">
        <f t="shared" si="3"/>
        <v>3.4016999999999999E-2</v>
      </c>
      <c r="I31" s="5">
        <f t="shared" si="0"/>
        <v>0.27413700000000002</v>
      </c>
      <c r="J31" s="9">
        <f t="shared" si="16"/>
        <v>13160818301.66592</v>
      </c>
      <c r="K31" s="9">
        <f t="shared" si="17"/>
        <v>1010324411171.2596</v>
      </c>
      <c r="L31" s="6">
        <v>4</v>
      </c>
      <c r="M31" s="10">
        <f t="shared" ref="M31" si="30">(((1.6E-19)*(L31*0.0000001)^2)*J31)/(2*300*0.00008618*1.6E-19)</f>
        <v>4.0723503679634614E-2</v>
      </c>
      <c r="N31" s="10">
        <f t="shared" si="19"/>
        <v>3.1262455671733864</v>
      </c>
      <c r="P31" t="s">
        <v>60</v>
      </c>
    </row>
    <row r="32" spans="1:16" x14ac:dyDescent="0.2">
      <c r="A32" s="8"/>
      <c r="B32" s="8"/>
      <c r="C32" s="8">
        <v>7</v>
      </c>
      <c r="D32" s="9">
        <v>0.18348400000000001</v>
      </c>
      <c r="E32" s="9">
        <v>0.16788500000000001</v>
      </c>
      <c r="F32" s="14">
        <v>1.7999999999999999E-2</v>
      </c>
      <c r="G32" s="14">
        <v>0.126</v>
      </c>
      <c r="H32" s="5">
        <f t="shared" si="3"/>
        <v>3.6017999999999994E-2</v>
      </c>
      <c r="I32" s="5">
        <f t="shared" si="0"/>
        <v>0.25212599999999996</v>
      </c>
      <c r="J32" s="9">
        <f t="shared" ref="J32" si="31">(((H32^2) / ((4.135667696E-15))) * (1/(SQRT(PI()*((D32+0.3)*0.000086173*300)))) * EXP(-(D32+0.3) / (4 * 0.000086173 * 300)))</f>
        <v>14754689030.241373</v>
      </c>
      <c r="K32" s="9">
        <f t="shared" ref="K32" si="32">(((I32^2) / ((4.135667696E-15))) * (1/(SQRT(PI()*((E32+0.3)*0.000086173*300)))) * EXP(-(E32+0.3) / (4 * 0.000086173 * 300)))</f>
        <v>854595894920.07629</v>
      </c>
      <c r="L32" s="6">
        <v>4</v>
      </c>
      <c r="M32" s="10">
        <f t="shared" ref="M32" si="33">(((1.6E-19)*(L32*0.0000001)^2)*J32)/(2*300*0.00008618*1.6E-19)</f>
        <v>4.565541588997097E-2</v>
      </c>
      <c r="N32" s="10">
        <f t="shared" ref="N32" si="34">(((1.6E-19)*(L32*0.0000001)^2)*K32)/(2*300*0.00008618*1.6E-19)</f>
        <v>2.6443750132902482</v>
      </c>
    </row>
    <row r="33" spans="1:16" x14ac:dyDescent="0.2">
      <c r="A33" s="8"/>
      <c r="B33" s="8"/>
      <c r="C33" s="8">
        <v>10</v>
      </c>
      <c r="D33" s="9">
        <v>0.18348400000000001</v>
      </c>
      <c r="E33" s="9">
        <v>0.16788500000000001</v>
      </c>
      <c r="F33" s="14">
        <v>4.1000000000000002E-2</v>
      </c>
      <c r="G33" s="14">
        <v>0.106</v>
      </c>
      <c r="H33" s="5">
        <f t="shared" si="3"/>
        <v>8.2041000000000003E-2</v>
      </c>
      <c r="I33" s="5">
        <f t="shared" si="0"/>
        <v>0.21210599999999999</v>
      </c>
      <c r="J33" s="9">
        <f t="shared" ref="J33:J35" si="35">(((H33^2) / ((4.135667696E-15))) * (1/(SQRT(PI()*((D33+0.3)*0.000086173*300)))) * EXP(-(D33+0.3) / (4 * 0.000086173 * 300)))</f>
        <v>76551334135.295547</v>
      </c>
      <c r="K33" s="9">
        <f t="shared" ref="K33:K35" si="36">(((I33^2) / ((4.135667696E-15))) * (1/(SQRT(PI()*((E33+0.3)*0.000086173*300)))) * EXP(-(E33+0.3) / (4 * 0.000086173 * 300)))</f>
        <v>604827379397.95776</v>
      </c>
      <c r="L33" s="6">
        <v>4</v>
      </c>
      <c r="M33" s="10">
        <f t="shared" ref="M33:M35" si="37">(((1.6E-19)*(L33*0.0000001)^2)*J33)/(2*300*0.00008618*1.6E-19)</f>
        <v>0.23687269787358403</v>
      </c>
      <c r="N33" s="10">
        <f t="shared" ref="N33:N35" si="38">(((1.6E-19)*(L33*0.0000001)^2)*K33)/(2*300*0.00008618*1.6E-19)</f>
        <v>1.8715166067856659</v>
      </c>
    </row>
    <row r="34" spans="1:16" x14ac:dyDescent="0.2">
      <c r="A34" s="8"/>
      <c r="B34" s="8"/>
      <c r="C34" s="8">
        <v>6</v>
      </c>
      <c r="D34" s="9">
        <v>0.18348400000000001</v>
      </c>
      <c r="E34" s="9">
        <v>0.16788500000000001</v>
      </c>
      <c r="F34" s="14">
        <v>1.4999999999999999E-2</v>
      </c>
      <c r="G34" s="14">
        <v>0.128</v>
      </c>
      <c r="H34" s="5">
        <f t="shared" si="3"/>
        <v>3.0014999999999997E-2</v>
      </c>
      <c r="I34" s="5">
        <f t="shared" si="0"/>
        <v>0.25612799999999997</v>
      </c>
      <c r="J34" s="9">
        <f t="shared" si="35"/>
        <v>10246311826.556511</v>
      </c>
      <c r="K34" s="9">
        <f t="shared" si="36"/>
        <v>881941241016.03223</v>
      </c>
      <c r="L34" s="6">
        <v>4</v>
      </c>
      <c r="M34" s="10">
        <f t="shared" si="37"/>
        <v>3.1705149923590956E-2</v>
      </c>
      <c r="N34" s="10">
        <f t="shared" si="38"/>
        <v>2.7289896836575598</v>
      </c>
    </row>
    <row r="35" spans="1:16" x14ac:dyDescent="0.2">
      <c r="A35" s="8"/>
      <c r="B35" s="8"/>
      <c r="C35">
        <v>5</v>
      </c>
      <c r="D35" s="9">
        <v>0.18348400000000001</v>
      </c>
      <c r="E35" s="9">
        <v>0.16788500000000001</v>
      </c>
      <c r="F35" s="14">
        <v>8.0000000000000002E-3</v>
      </c>
      <c r="G35" s="14">
        <v>0.13200000000000001</v>
      </c>
      <c r="H35" s="5">
        <f t="shared" si="3"/>
        <v>1.6007999999999998E-2</v>
      </c>
      <c r="I35" s="5">
        <f t="shared" si="0"/>
        <v>0.26413199999999998</v>
      </c>
      <c r="J35" s="9">
        <f t="shared" si="35"/>
        <v>2914506475.1094069</v>
      </c>
      <c r="K35" s="9">
        <f t="shared" si="36"/>
        <v>937923839322.71423</v>
      </c>
      <c r="L35" s="6">
        <v>4</v>
      </c>
      <c r="M35" s="10">
        <f t="shared" si="37"/>
        <v>9.0183537560436476E-3</v>
      </c>
      <c r="N35" s="10">
        <f t="shared" si="38"/>
        <v>2.9022165678741048</v>
      </c>
    </row>
    <row r="36" spans="1:16" x14ac:dyDescent="0.2">
      <c r="A36" s="8"/>
      <c r="B36" s="8"/>
      <c r="C36" s="6" t="s">
        <v>42</v>
      </c>
      <c r="D36" s="6">
        <f>AVERAGE(D31:D35)</f>
        <v>0.18348400000000001</v>
      </c>
      <c r="E36" s="6">
        <f>AVERAGE(E31:E35)</f>
        <v>0.16788500000000001</v>
      </c>
      <c r="F36" s="6">
        <f>AVERAGE(F31:F35)</f>
        <v>1.9800000000000002E-2</v>
      </c>
      <c r="G36" s="6">
        <f>AVERAGE(G31:G35)</f>
        <v>0.1258</v>
      </c>
      <c r="H36" s="5"/>
      <c r="I36" s="5"/>
      <c r="J36" s="6"/>
      <c r="K36" s="6"/>
      <c r="L36" s="6"/>
      <c r="M36" s="6">
        <f>AVERAGE(M31:M35)</f>
        <v>7.2795024224564853E-2</v>
      </c>
      <c r="N36" s="6">
        <f>AVERAGE(N31:N35)</f>
        <v>2.6546686877561929</v>
      </c>
    </row>
    <row r="37" spans="1:16" x14ac:dyDescent="0.2">
      <c r="A37" s="8"/>
      <c r="B37" s="8"/>
      <c r="C37" s="6" t="s">
        <v>41</v>
      </c>
      <c r="D37" s="6">
        <f>STDEV(D31:D35)</f>
        <v>0</v>
      </c>
      <c r="E37" s="6">
        <f>STDEV(E31:E35)</f>
        <v>0</v>
      </c>
      <c r="F37" s="6">
        <f>STDEV(F31:F35)</f>
        <v>1.2477980605851251E-2</v>
      </c>
      <c r="G37" s="6">
        <f>STDEV(G31:G35)</f>
        <v>1.1840608092492551E-2</v>
      </c>
      <c r="H37" s="5"/>
      <c r="I37" s="5"/>
      <c r="J37" s="6"/>
      <c r="K37" s="6"/>
      <c r="L37" s="6"/>
      <c r="M37" s="6">
        <f>STDEV(M31:M35)</f>
        <v>9.2793406590680333E-2</v>
      </c>
      <c r="N37" s="6">
        <f>STDEV(N31:N35)</f>
        <v>0.47503196162100203</v>
      </c>
    </row>
    <row r="38" spans="1:16" x14ac:dyDescent="0.2">
      <c r="A38" s="8"/>
      <c r="B38" s="8"/>
      <c r="C38" s="8"/>
      <c r="D38" s="9"/>
      <c r="E38" s="9"/>
      <c r="F38" s="14"/>
      <c r="G38" s="14"/>
      <c r="H38" s="5"/>
      <c r="I38" s="5"/>
      <c r="J38" s="9"/>
      <c r="K38" s="9"/>
      <c r="L38" s="10"/>
      <c r="M38" s="10"/>
      <c r="N38" s="10"/>
    </row>
    <row r="39" spans="1:16" x14ac:dyDescent="0.2">
      <c r="A39" s="8"/>
      <c r="B39" s="8" t="s">
        <v>70</v>
      </c>
      <c r="C39" s="8">
        <v>9</v>
      </c>
      <c r="D39" s="9">
        <v>0.18348400000000001</v>
      </c>
      <c r="E39" s="9">
        <v>0.16788500000000001</v>
      </c>
      <c r="F39" s="14">
        <v>5.0000000000000001E-3</v>
      </c>
      <c r="G39" s="14">
        <v>0.06</v>
      </c>
      <c r="H39" s="5">
        <f t="shared" si="3"/>
        <v>1.0005E-2</v>
      </c>
      <c r="I39" s="5">
        <f t="shared" si="0"/>
        <v>0.12005999999999999</v>
      </c>
      <c r="J39" s="9">
        <f t="shared" ref="J39" si="39">(((H39^2) / ((4.135667696E-15))) * (1/(SQRT(PI()*((D39+0.3)*0.000086173*300)))) * EXP(-(D39+0.3) / (4 * 0.000086173 * 300)))</f>
        <v>1138479091.8396125</v>
      </c>
      <c r="K39" s="9">
        <f t="shared" ref="K39" si="40">(((I39^2) / ((4.135667696E-15))) * (1/(SQRT(PI()*((E39+0.3)*0.000086173*300)))) * EXP(-(E39+0.3) / (4 * 0.000086173 * 300)))</f>
        <v>193785917215.4368</v>
      </c>
      <c r="L39" s="6">
        <v>4</v>
      </c>
      <c r="M39" s="10">
        <f t="shared" ref="M39" si="41">(((1.6E-19)*(L39*0.0000001)^2)*J39)/(2*300*0.00008618*1.6E-19)</f>
        <v>3.5227944359545508E-3</v>
      </c>
      <c r="N39" s="10">
        <f t="shared" ref="N39" si="42">(((1.6E-19)*(L39*0.0000001)^2)*K39)/(2*300*0.00008618*1.6E-19)</f>
        <v>0.59963152228803807</v>
      </c>
    </row>
    <row r="40" spans="1:16" x14ac:dyDescent="0.2">
      <c r="A40" s="8"/>
      <c r="B40" s="8"/>
      <c r="C40" s="6" t="s">
        <v>42</v>
      </c>
      <c r="D40" s="6">
        <f>AVERAGE(D39)</f>
        <v>0.18348400000000001</v>
      </c>
      <c r="E40" s="6">
        <f t="shared" ref="E40:N40" si="43">AVERAGE(E39)</f>
        <v>0.16788500000000001</v>
      </c>
      <c r="F40" s="6">
        <f t="shared" si="43"/>
        <v>5.0000000000000001E-3</v>
      </c>
      <c r="G40" s="6">
        <f t="shared" si="43"/>
        <v>0.06</v>
      </c>
      <c r="H40" s="5"/>
      <c r="I40" s="5"/>
      <c r="J40" s="6"/>
      <c r="K40" s="6"/>
      <c r="L40" s="6"/>
      <c r="M40" s="6">
        <f t="shared" si="43"/>
        <v>3.5227944359545508E-3</v>
      </c>
      <c r="N40" s="6">
        <f t="shared" si="43"/>
        <v>0.59963152228803807</v>
      </c>
    </row>
    <row r="41" spans="1:16" x14ac:dyDescent="0.2">
      <c r="A41" s="8"/>
      <c r="B41" s="8"/>
      <c r="C41" s="6" t="s">
        <v>41</v>
      </c>
      <c r="D41" s="6" t="e">
        <f>STDEV(D39)</f>
        <v>#DIV/0!</v>
      </c>
      <c r="E41" s="6" t="e">
        <f t="shared" ref="E41:N41" si="44">STDEV(E39)</f>
        <v>#DIV/0!</v>
      </c>
      <c r="F41" s="6" t="e">
        <f t="shared" si="44"/>
        <v>#DIV/0!</v>
      </c>
      <c r="G41" s="6" t="e">
        <f t="shared" si="44"/>
        <v>#DIV/0!</v>
      </c>
      <c r="H41" s="5"/>
      <c r="I41" s="5"/>
      <c r="J41" s="6"/>
      <c r="K41" s="6"/>
      <c r="L41" s="6"/>
      <c r="M41" s="6" t="e">
        <f t="shared" si="44"/>
        <v>#DIV/0!</v>
      </c>
      <c r="N41" s="6" t="e">
        <f t="shared" si="44"/>
        <v>#DIV/0!</v>
      </c>
    </row>
    <row r="42" spans="1:16" x14ac:dyDescent="0.2">
      <c r="A42" s="8"/>
      <c r="B42" s="8"/>
      <c r="C42" s="8"/>
      <c r="D42" s="9"/>
      <c r="E42" s="9"/>
      <c r="F42" s="14"/>
      <c r="G42" s="14"/>
      <c r="H42" s="5"/>
      <c r="I42" s="5"/>
      <c r="J42" s="9"/>
      <c r="K42" s="9"/>
      <c r="L42" s="10"/>
      <c r="M42" s="10"/>
      <c r="N42" s="10"/>
    </row>
    <row r="43" spans="1:16" x14ac:dyDescent="0.2">
      <c r="A43" t="s">
        <v>17</v>
      </c>
      <c r="B43" t="s">
        <v>68</v>
      </c>
      <c r="C43">
        <v>6</v>
      </c>
      <c r="D43" s="5">
        <v>0.18207300000000001</v>
      </c>
      <c r="E43" s="5">
        <v>0.232545</v>
      </c>
      <c r="F43" s="5">
        <v>7.4999999999999997E-2</v>
      </c>
      <c r="G43" s="5">
        <v>1.7000000000000001E-2</v>
      </c>
      <c r="H43" s="5">
        <f t="shared" si="3"/>
        <v>0.15007499999999999</v>
      </c>
      <c r="I43" s="5">
        <f t="shared" si="0"/>
        <v>3.4016999999999999E-2</v>
      </c>
      <c r="J43" s="5">
        <f t="shared" si="16"/>
        <v>260056784610.38397</v>
      </c>
      <c r="K43" s="5">
        <f t="shared" si="17"/>
        <v>7802753087.0093966</v>
      </c>
      <c r="L43" s="6">
        <v>4</v>
      </c>
      <c r="M43" s="6">
        <f t="shared" ref="M43" si="45">(((1.6E-19)*(L43*0.0000001)^2)*J43)/(2*300*0.00008618*1.6E-19)</f>
        <v>0.80469338473082352</v>
      </c>
      <c r="N43" s="6">
        <f t="shared" si="19"/>
        <v>2.4144049159153379E-2</v>
      </c>
      <c r="P43" t="s">
        <v>34</v>
      </c>
    </row>
    <row r="44" spans="1:16" x14ac:dyDescent="0.2">
      <c r="C44">
        <v>5</v>
      </c>
      <c r="D44" s="5">
        <v>0.18207300000000001</v>
      </c>
      <c r="E44" s="5">
        <v>0.232545</v>
      </c>
      <c r="F44">
        <v>7.5999999999999998E-2</v>
      </c>
      <c r="G44">
        <v>1.6E-2</v>
      </c>
      <c r="H44" s="5">
        <f t="shared" si="3"/>
        <v>0.15207599999999999</v>
      </c>
      <c r="I44" s="5">
        <f t="shared" si="0"/>
        <v>3.2015999999999996E-2</v>
      </c>
      <c r="J44" s="5">
        <f t="shared" ref="J44" si="46">(((H44^2) / ((4.135667696E-15))) * (1/(SQRT(PI()*((D44+0.3)*0.000086173*300)))) * EXP(-(D44+0.3) / (4 * 0.000086173 * 300)))</f>
        <v>267037864517.2583</v>
      </c>
      <c r="K44" s="5">
        <f t="shared" ref="K44" si="47">(((I44^2) / ((4.135667696E-15))) * (1/(SQRT(PI()*((E44+0.3)*0.000086173*300)))) * EXP(-(E44+0.3) / (4 * 0.000086173 * 300)))</f>
        <v>6911781281.2263155</v>
      </c>
      <c r="L44" s="6">
        <v>4</v>
      </c>
      <c r="M44" s="6">
        <f t="shared" ref="M44" si="48">(((1.6E-19)*(L44*0.0000001)^2)*J44)/(2*300*0.00008618*1.6E-19)</f>
        <v>0.82629493159204215</v>
      </c>
      <c r="N44" s="6">
        <f t="shared" ref="N44" si="49">(((1.6E-19)*(L44*0.0000001)^2)*K44)/(2*300*0.00008618*1.6E-19)</f>
        <v>2.1387116210184305E-2</v>
      </c>
    </row>
    <row r="45" spans="1:16" x14ac:dyDescent="0.2">
      <c r="C45" s="6" t="s">
        <v>42</v>
      </c>
      <c r="D45" s="6">
        <f>AVERAGE(D43:D44)</f>
        <v>0.18207300000000001</v>
      </c>
      <c r="E45" s="6">
        <f>AVERAGE(E43:E44)</f>
        <v>0.232545</v>
      </c>
      <c r="F45" s="6">
        <f>AVERAGE(F43:F44)</f>
        <v>7.5499999999999998E-2</v>
      </c>
      <c r="G45" s="6">
        <f>AVERAGE(G43:G44)</f>
        <v>1.6500000000000001E-2</v>
      </c>
      <c r="H45" s="5"/>
      <c r="I45" s="5"/>
      <c r="J45" s="6"/>
      <c r="K45" s="6"/>
      <c r="L45" s="6"/>
      <c r="M45" s="6">
        <f>AVERAGE(M43:M44)</f>
        <v>0.81549415816143278</v>
      </c>
      <c r="N45" s="6">
        <f>AVERAGE(N43:N44)</f>
        <v>2.2765582684668842E-2</v>
      </c>
    </row>
    <row r="46" spans="1:16" x14ac:dyDescent="0.2">
      <c r="C46" s="6" t="s">
        <v>41</v>
      </c>
      <c r="D46" s="6">
        <f>STDEV(D43:D44)</f>
        <v>0</v>
      </c>
      <c r="E46" s="6">
        <f>STDEV(E43:E44)</f>
        <v>0</v>
      </c>
      <c r="F46" s="6">
        <f>STDEV(F43:F44)</f>
        <v>7.0710678118654816E-4</v>
      </c>
      <c r="G46" s="6">
        <f>STDEV(G43:G44)</f>
        <v>7.0710678118654816E-4</v>
      </c>
      <c r="H46" s="5"/>
      <c r="I46" s="5"/>
      <c r="J46" s="6"/>
      <c r="K46" s="6"/>
      <c r="L46" s="6"/>
      <c r="M46" s="6">
        <f>STDEV(M43:M44)</f>
        <v>1.527460026968667E-2</v>
      </c>
      <c r="N46" s="6">
        <f>STDEV(N43:N44)</f>
        <v>1.9494459834926579E-3</v>
      </c>
    </row>
    <row r="47" spans="1:16" x14ac:dyDescent="0.2">
      <c r="H47" s="5"/>
      <c r="I47" s="5"/>
    </row>
    <row r="48" spans="1:16" x14ac:dyDescent="0.2">
      <c r="B48" t="s">
        <v>69</v>
      </c>
      <c r="C48">
        <v>7</v>
      </c>
      <c r="D48" s="5">
        <v>0.18207300000000001</v>
      </c>
      <c r="E48" s="5">
        <v>0.232545</v>
      </c>
      <c r="F48">
        <v>4.0000000000000001E-3</v>
      </c>
      <c r="G48">
        <v>0.01</v>
      </c>
      <c r="H48" s="5">
        <f t="shared" si="3"/>
        <v>8.003999999999999E-3</v>
      </c>
      <c r="I48" s="5">
        <f t="shared" si="0"/>
        <v>2.001E-2</v>
      </c>
      <c r="J48" s="5">
        <f t="shared" ref="J48:J50" si="50">(((H48^2) / ((4.135667696E-15))) * (1/(SQRT(PI()*((D48+0.3)*0.000086173*300)))) * EXP(-(D48+0.3) / (4 * 0.000086173 * 300)))</f>
        <v>739717076.22509217</v>
      </c>
      <c r="K48" s="5">
        <f t="shared" ref="K48:K50" si="51">(((I48^2) / ((4.135667696E-15))) * (1/(SQRT(PI()*((E48+0.3)*0.000086173*300)))) * EXP(-(E48+0.3) / (4 * 0.000086173 * 300)))</f>
        <v>2699914562.9790306</v>
      </c>
      <c r="L48" s="6">
        <v>4</v>
      </c>
      <c r="M48" s="6">
        <f t="shared" ref="M48:M50" si="52">(((1.6E-19)*(L48*0.0000001)^2)*J48)/(2*300*0.00008618*1.6E-19)</f>
        <v>2.2889056276787865E-3</v>
      </c>
      <c r="N48" s="6">
        <f t="shared" ref="N48:N50" si="53">(((1.6E-19)*(L48*0.0000001)^2)*K48)/(2*300*0.00008618*1.6E-19)</f>
        <v>8.3543422696032484E-3</v>
      </c>
    </row>
    <row r="49" spans="2:14" x14ac:dyDescent="0.2">
      <c r="C49">
        <v>8</v>
      </c>
      <c r="D49" s="5">
        <v>0.18207300000000001</v>
      </c>
      <c r="E49" s="5">
        <v>0.232545</v>
      </c>
      <c r="F49">
        <v>3.0000000000000001E-3</v>
      </c>
      <c r="G49">
        <v>4.0000000000000001E-3</v>
      </c>
      <c r="H49" s="5">
        <f t="shared" si="3"/>
        <v>6.0029999999999997E-3</v>
      </c>
      <c r="I49" s="5">
        <f t="shared" si="0"/>
        <v>8.003999999999999E-3</v>
      </c>
      <c r="J49" s="5">
        <f t="shared" si="50"/>
        <v>416090855.37661439</v>
      </c>
      <c r="K49" s="5">
        <f t="shared" si="51"/>
        <v>431986330.07664472</v>
      </c>
      <c r="L49" s="6">
        <v>4</v>
      </c>
      <c r="M49" s="6">
        <f t="shared" si="52"/>
        <v>1.2875094155693177E-3</v>
      </c>
      <c r="N49" s="6">
        <f t="shared" si="53"/>
        <v>1.3366947631365191E-3</v>
      </c>
    </row>
    <row r="50" spans="2:14" x14ac:dyDescent="0.2">
      <c r="C50">
        <v>10</v>
      </c>
      <c r="D50" s="5">
        <v>0.18207300000000001</v>
      </c>
      <c r="E50" s="5">
        <v>0.232545</v>
      </c>
      <c r="F50">
        <v>1.2E-2</v>
      </c>
      <c r="G50">
        <v>8.9999999999999993E-3</v>
      </c>
      <c r="H50" s="5">
        <f t="shared" si="3"/>
        <v>2.4011999999999999E-2</v>
      </c>
      <c r="I50" s="5">
        <f t="shared" si="0"/>
        <v>1.8008999999999997E-2</v>
      </c>
      <c r="J50" s="5">
        <f t="shared" si="50"/>
        <v>6657453686.0258303</v>
      </c>
      <c r="K50" s="5">
        <f t="shared" si="51"/>
        <v>2186930796.0130138</v>
      </c>
      <c r="L50" s="6">
        <v>4</v>
      </c>
      <c r="M50" s="6">
        <f t="shared" si="52"/>
        <v>2.0600150649109084E-2</v>
      </c>
      <c r="N50" s="6">
        <f t="shared" si="53"/>
        <v>6.7670172383786269E-3</v>
      </c>
    </row>
    <row r="51" spans="2:14" x14ac:dyDescent="0.2">
      <c r="C51" s="6" t="s">
        <v>42</v>
      </c>
      <c r="D51" s="6">
        <f>AVERAGE(D48:D50)</f>
        <v>0.18207300000000001</v>
      </c>
      <c r="E51" s="6">
        <f t="shared" ref="E51:N51" si="54">AVERAGE(E48:E50)</f>
        <v>0.232545</v>
      </c>
      <c r="F51" s="6">
        <f t="shared" si="54"/>
        <v>6.3333333333333332E-3</v>
      </c>
      <c r="G51" s="6">
        <f t="shared" si="54"/>
        <v>7.6666666666666662E-3</v>
      </c>
      <c r="H51" s="5"/>
      <c r="I51" s="5"/>
      <c r="J51" s="6"/>
      <c r="K51" s="6"/>
      <c r="L51" s="6"/>
      <c r="M51" s="6">
        <f t="shared" si="54"/>
        <v>8.0588552307857293E-3</v>
      </c>
      <c r="N51" s="6">
        <f t="shared" si="54"/>
        <v>5.4860180903727983E-3</v>
      </c>
    </row>
    <row r="52" spans="2:14" x14ac:dyDescent="0.2">
      <c r="C52" s="6" t="s">
        <v>41</v>
      </c>
      <c r="D52" s="6">
        <f>STDEV(D48:D50)</f>
        <v>0</v>
      </c>
      <c r="E52" s="6">
        <f t="shared" ref="E52:N52" si="55">STDEV(E48:E50)</f>
        <v>0</v>
      </c>
      <c r="F52" s="6">
        <f t="shared" si="55"/>
        <v>4.9328828623162466E-3</v>
      </c>
      <c r="G52" s="6">
        <f t="shared" si="55"/>
        <v>3.2145502536643179E-3</v>
      </c>
      <c r="H52" s="5"/>
      <c r="I52" s="5"/>
      <c r="J52" s="6"/>
      <c r="K52" s="6"/>
      <c r="L52" s="6"/>
      <c r="M52" s="6">
        <f t="shared" si="55"/>
        <v>1.0872615447565988E-2</v>
      </c>
      <c r="N52" s="6">
        <f t="shared" si="55"/>
        <v>3.6800221798446286E-3</v>
      </c>
    </row>
    <row r="53" spans="2:14" x14ac:dyDescent="0.2">
      <c r="H53" s="5"/>
      <c r="I53" s="5"/>
    </row>
    <row r="54" spans="2:14" x14ac:dyDescent="0.2">
      <c r="B54" t="s">
        <v>92</v>
      </c>
      <c r="C54">
        <v>9</v>
      </c>
      <c r="D54" s="5">
        <v>0.18207300000000001</v>
      </c>
      <c r="E54" s="5">
        <v>0.232545</v>
      </c>
      <c r="F54">
        <v>1E-3</v>
      </c>
      <c r="G54">
        <v>1.2999999999999999E-2</v>
      </c>
      <c r="H54" s="5">
        <f t="shared" si="3"/>
        <v>2.0009999999999997E-3</v>
      </c>
      <c r="I54" s="5">
        <f t="shared" si="0"/>
        <v>2.6012999999999998E-2</v>
      </c>
      <c r="J54" s="5">
        <f t="shared" ref="J54" si="56">(((H54^2) / ((4.135667696E-15))) * (1/(SQRT(PI()*((D54+0.3)*0.000086173*300)))) * EXP(-(D54+0.3) / (4 * 0.000086173 * 300)))</f>
        <v>46232317.264068261</v>
      </c>
      <c r="K54" s="5">
        <f t="shared" ref="K54" si="57">(((I54^2) / ((4.135667696E-15))) * (1/(SQRT(PI()*((E54+0.3)*0.000086173*300)))) * EXP(-(E54+0.3) / (4 * 0.000086173 * 300)))</f>
        <v>4562855611.4345608</v>
      </c>
      <c r="L54" s="6">
        <v>4</v>
      </c>
      <c r="M54" s="6">
        <f t="shared" ref="M54" si="58">(((1.6E-19)*(L54*0.0000001)^2)*J54)/(2*300*0.00008618*1.6E-19)</f>
        <v>1.4305660172992416E-4</v>
      </c>
      <c r="N54" s="6">
        <f t="shared" ref="N54" si="59">(((1.6E-19)*(L54*0.0000001)^2)*K54)/(2*300*0.00008618*1.6E-19)</f>
        <v>1.4118838435629485E-2</v>
      </c>
    </row>
    <row r="55" spans="2:14" x14ac:dyDescent="0.2">
      <c r="C55" s="6" t="s">
        <v>42</v>
      </c>
      <c r="D55" s="6">
        <f>AVERAGE(D54)</f>
        <v>0.18207300000000001</v>
      </c>
      <c r="E55" s="6">
        <f t="shared" ref="E55:N55" si="60">AVERAGE(E54)</f>
        <v>0.232545</v>
      </c>
      <c r="F55" s="6">
        <f t="shared" si="60"/>
        <v>1E-3</v>
      </c>
      <c r="G55" s="6">
        <f t="shared" si="60"/>
        <v>1.2999999999999999E-2</v>
      </c>
      <c r="H55" s="6"/>
      <c r="I55" s="6"/>
      <c r="J55" s="6"/>
      <c r="K55" s="6"/>
      <c r="L55" s="6"/>
      <c r="M55" s="6">
        <f t="shared" si="60"/>
        <v>1.4305660172992416E-4</v>
      </c>
      <c r="N55" s="6">
        <f t="shared" si="60"/>
        <v>1.4118838435629485E-2</v>
      </c>
    </row>
    <row r="56" spans="2:14" x14ac:dyDescent="0.2">
      <c r="C56" s="6" t="s">
        <v>41</v>
      </c>
      <c r="D56" s="6" t="e">
        <f>STDEV(D54)</f>
        <v>#DIV/0!</v>
      </c>
      <c r="E56" s="6" t="e">
        <f t="shared" ref="E56:N56" si="61">STDEV(E54)</f>
        <v>#DIV/0!</v>
      </c>
      <c r="F56" s="6" t="e">
        <f t="shared" si="61"/>
        <v>#DIV/0!</v>
      </c>
      <c r="G56" s="6" t="e">
        <f t="shared" si="61"/>
        <v>#DIV/0!</v>
      </c>
      <c r="H56" s="6"/>
      <c r="I56" s="6"/>
      <c r="J56" s="6"/>
      <c r="K56" s="6"/>
      <c r="L56" s="6"/>
      <c r="M56" s="6" t="e">
        <f t="shared" si="61"/>
        <v>#DIV/0!</v>
      </c>
      <c r="N56" s="6" t="e">
        <f t="shared" si="61"/>
        <v>#DIV/0!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9673-763C-3F43-9B5E-0D4F9DB18E49}">
  <dimension ref="A1:AK27"/>
  <sheetViews>
    <sheetView topLeftCell="I1" workbookViewId="0">
      <selection activeCell="H5" sqref="H5:I7"/>
    </sheetView>
  </sheetViews>
  <sheetFormatPr baseColWidth="10" defaultColWidth="11" defaultRowHeight="16" x14ac:dyDescent="0.2"/>
  <cols>
    <col min="4" max="9" width="11.33203125" bestFit="1" customWidth="1"/>
    <col min="10" max="10" width="14.33203125" bestFit="1" customWidth="1"/>
    <col min="11" max="11" width="14" bestFit="1" customWidth="1"/>
    <col min="12" max="14" width="11.33203125" bestFit="1" customWidth="1"/>
    <col min="15" max="15" width="17.6640625" customWidth="1"/>
    <col min="16" max="16" width="52.83203125" customWidth="1"/>
  </cols>
  <sheetData>
    <row r="1" spans="1:37" x14ac:dyDescent="0.2">
      <c r="A1" s="8" t="s">
        <v>5</v>
      </c>
      <c r="B1" s="8" t="s">
        <v>0</v>
      </c>
      <c r="C1" s="8" t="s">
        <v>57</v>
      </c>
      <c r="D1" s="8" t="s">
        <v>4</v>
      </c>
      <c r="E1" s="8" t="s">
        <v>3</v>
      </c>
      <c r="F1" s="8" t="s">
        <v>1</v>
      </c>
      <c r="G1" s="8" t="s">
        <v>2</v>
      </c>
      <c r="H1" s="8" t="s">
        <v>19</v>
      </c>
      <c r="I1" s="8" t="s">
        <v>20</v>
      </c>
      <c r="J1" s="8" t="s">
        <v>12</v>
      </c>
      <c r="K1" s="8" t="s">
        <v>13</v>
      </c>
      <c r="L1" s="8" t="s">
        <v>14</v>
      </c>
      <c r="M1" s="8" t="s">
        <v>6</v>
      </c>
      <c r="N1" s="8" t="s">
        <v>7</v>
      </c>
      <c r="O1" t="s">
        <v>98</v>
      </c>
      <c r="P1" s="8" t="s">
        <v>99</v>
      </c>
      <c r="Q1" t="s">
        <v>44</v>
      </c>
      <c r="R1" t="s">
        <v>72</v>
      </c>
      <c r="S1" t="s">
        <v>73</v>
      </c>
      <c r="U1" t="s">
        <v>45</v>
      </c>
      <c r="V1" t="s">
        <v>74</v>
      </c>
      <c r="W1" t="s">
        <v>75</v>
      </c>
      <c r="Y1" t="s">
        <v>46</v>
      </c>
      <c r="Z1" t="s">
        <v>50</v>
      </c>
      <c r="AA1" t="s">
        <v>51</v>
      </c>
      <c r="AC1" t="s">
        <v>47</v>
      </c>
      <c r="AD1" t="s">
        <v>52</v>
      </c>
      <c r="AE1" t="s">
        <v>53</v>
      </c>
      <c r="AG1" t="s">
        <v>48</v>
      </c>
      <c r="AH1" t="s">
        <v>54</v>
      </c>
      <c r="AJ1" t="s">
        <v>49</v>
      </c>
      <c r="AK1" t="s">
        <v>55</v>
      </c>
    </row>
    <row r="2" spans="1:37" x14ac:dyDescent="0.2">
      <c r="A2" s="8" t="s">
        <v>16</v>
      </c>
      <c r="B2" s="8" t="s">
        <v>8</v>
      </c>
      <c r="C2" s="8">
        <v>8</v>
      </c>
      <c r="D2" s="9">
        <v>3.0300749834325201E-2</v>
      </c>
      <c r="E2" s="9">
        <v>2.8721067627223498E-2</v>
      </c>
      <c r="F2" s="9">
        <v>1.4E-2</v>
      </c>
      <c r="G2" s="9">
        <v>8.9999999999999993E-3</v>
      </c>
      <c r="H2" s="9">
        <f>F2*2.001</f>
        <v>2.8014000000000001E-2</v>
      </c>
      <c r="I2" s="9">
        <f>G2*2.001</f>
        <v>1.8008999999999997E-2</v>
      </c>
      <c r="J2" s="9">
        <f>(((H2^2) / ((4.135667696E-15))) * (1/(SQRT(PI()*((D2+0.3)*0.000086173*300)))) * EXP(-(D2+0.3) / (4 * 0.000086173 * 300)))</f>
        <v>47503019267.775635</v>
      </c>
      <c r="K2" s="9">
        <f>(((I2^2) / ((4.135667696E-15))) * (1/(SQRT(PI()*((E2+0.3)*0.000086173*300)))) * EXP(-(E2+0.3) / (4 * 0.000086173 * 300)))</f>
        <v>19981384218.69231</v>
      </c>
      <c r="L2" s="10">
        <v>4</v>
      </c>
      <c r="M2" s="10">
        <f>(((1.6E-19)*(L2*0.0000001)^2)*J2)/(2*300*0.00008618*1.6E-19)</f>
        <v>0.1469885333573934</v>
      </c>
      <c r="N2" s="10">
        <f>(((1.6E-19)*(L2*0.0000001)^2)*K2)/(2*300*0.00008618*1.6E-19)</f>
        <v>6.1828372301979739E-2</v>
      </c>
      <c r="P2" t="s">
        <v>58</v>
      </c>
      <c r="Q2" t="s">
        <v>96</v>
      </c>
      <c r="R2" s="7">
        <f>M5</f>
        <v>9.4242648087988615E-2</v>
      </c>
      <c r="S2" s="7">
        <f>M6</f>
        <v>4.6231526203094994E-2</v>
      </c>
      <c r="U2" t="s">
        <v>96</v>
      </c>
      <c r="V2" s="7">
        <f>N5</f>
        <v>7.1497006653729669E-2</v>
      </c>
      <c r="W2" s="7">
        <f>N6</f>
        <v>8.3732829685183308E-3</v>
      </c>
      <c r="Y2" t="s">
        <v>96</v>
      </c>
      <c r="Z2" s="7">
        <f>F5</f>
        <v>1.1000000000000001E-2</v>
      </c>
      <c r="AA2" s="7">
        <f>F6</f>
        <v>2.6457513110645912E-3</v>
      </c>
      <c r="AC2" t="s">
        <v>96</v>
      </c>
      <c r="AD2" s="7">
        <f>G5</f>
        <v>9.6666666666666654E-3</v>
      </c>
      <c r="AE2" s="7">
        <f>G6</f>
        <v>5.7735026918962623E-4</v>
      </c>
      <c r="AG2" t="s">
        <v>96</v>
      </c>
      <c r="AH2" s="7">
        <f>D5</f>
        <v>3.0300749834325198E-2</v>
      </c>
      <c r="AJ2" t="s">
        <v>96</v>
      </c>
      <c r="AK2" s="7">
        <f>E5</f>
        <v>2.8721067627223498E-2</v>
      </c>
    </row>
    <row r="3" spans="1:37" x14ac:dyDescent="0.2">
      <c r="A3" s="8"/>
      <c r="B3" s="8"/>
      <c r="C3" s="8">
        <v>9</v>
      </c>
      <c r="D3" s="9">
        <v>3.0300749834325201E-2</v>
      </c>
      <c r="E3" s="9">
        <v>2.8721067627223498E-2</v>
      </c>
      <c r="F3" s="9">
        <v>0.01</v>
      </c>
      <c r="G3" s="9">
        <v>0.01</v>
      </c>
      <c r="H3" s="9">
        <f t="shared" ref="H3:H25" si="0">F3*2.001</f>
        <v>2.001E-2</v>
      </c>
      <c r="I3" s="9">
        <f t="shared" ref="I3:I25" si="1">G3*2.001</f>
        <v>2.001E-2</v>
      </c>
      <c r="J3" s="9">
        <f t="shared" ref="J3:J4" si="2">(((H3^2) / ((4.135667696E-15))) * (1/(SQRT(PI()*((D3+0.3)*0.000086173*300)))) * EXP(-(D3+0.3) / (4 * 0.000086173 * 300)))</f>
        <v>24236234320.293686</v>
      </c>
      <c r="K3" s="9">
        <f t="shared" ref="K3:K4" si="3">(((I3^2) / ((4.135667696E-15))) * (1/(SQRT(PI()*((E3+0.3)*0.000086173*300)))) * EXP(-(E3+0.3) / (4 * 0.000086173 * 300)))</f>
        <v>24668375578.632488</v>
      </c>
      <c r="L3" s="10">
        <v>4</v>
      </c>
      <c r="M3" s="10">
        <f t="shared" ref="M3:M4" si="4">(((1.6E-19)*(L3*0.0000001)^2)*J3)/(2*300*0.00008618*1.6E-19)</f>
        <v>7.4994149672139479E-2</v>
      </c>
      <c r="N3" s="10">
        <f t="shared" ref="N3:N4" si="5">(((1.6E-19)*(L3*0.0000001)^2)*K3)/(2*300*0.00008618*1.6E-19)</f>
        <v>7.6331323829604641E-2</v>
      </c>
      <c r="Q3" t="s">
        <v>43</v>
      </c>
      <c r="R3" s="7">
        <f>M11</f>
        <v>9.8808051178300993E-2</v>
      </c>
      <c r="S3" s="7">
        <f>M12</f>
        <v>9.2998192398411283E-2</v>
      </c>
      <c r="U3" t="s">
        <v>43</v>
      </c>
      <c r="V3" s="7">
        <f>N11</f>
        <v>4.9972138571401224E-2</v>
      </c>
      <c r="W3" s="7">
        <f>N12</f>
        <v>5.7041012889583693E-2</v>
      </c>
      <c r="Y3" t="s">
        <v>43</v>
      </c>
      <c r="Z3" s="7">
        <f>F11</f>
        <v>1.6E-2</v>
      </c>
      <c r="AA3" s="7">
        <f>F12</f>
        <v>9.0000000000000011E-3</v>
      </c>
      <c r="AC3" t="s">
        <v>43</v>
      </c>
      <c r="AD3" s="7">
        <f>G11</f>
        <v>1.7666666666666664E-2</v>
      </c>
      <c r="AE3" s="7">
        <f>G12</f>
        <v>1.0692676621563636E-2</v>
      </c>
      <c r="AG3" t="s">
        <v>43</v>
      </c>
      <c r="AH3" s="7">
        <f>D8</f>
        <v>0.107872720476242</v>
      </c>
      <c r="AJ3" t="s">
        <v>43</v>
      </c>
      <c r="AK3" s="7">
        <f>E8</f>
        <v>0.191971293216014</v>
      </c>
    </row>
    <row r="4" spans="1:37" x14ac:dyDescent="0.2">
      <c r="A4" s="8"/>
      <c r="B4" s="8"/>
      <c r="C4" s="8">
        <v>10</v>
      </c>
      <c r="D4" s="9">
        <v>3.0300749834325201E-2</v>
      </c>
      <c r="E4" s="9">
        <v>2.8721067627223498E-2</v>
      </c>
      <c r="F4" s="9">
        <v>8.9999999999999993E-3</v>
      </c>
      <c r="G4" s="9">
        <v>0.01</v>
      </c>
      <c r="H4" s="9">
        <f t="shared" si="0"/>
        <v>1.8008999999999997E-2</v>
      </c>
      <c r="I4" s="9">
        <f t="shared" si="1"/>
        <v>2.001E-2</v>
      </c>
      <c r="J4" s="9">
        <f t="shared" si="2"/>
        <v>19631349799.437881</v>
      </c>
      <c r="K4" s="9">
        <f t="shared" si="3"/>
        <v>24668375578.632488</v>
      </c>
      <c r="L4" s="10">
        <v>4</v>
      </c>
      <c r="M4" s="10">
        <f t="shared" si="4"/>
        <v>6.0745261234432968E-2</v>
      </c>
      <c r="N4" s="10">
        <f t="shared" si="5"/>
        <v>7.6331323829604641E-2</v>
      </c>
      <c r="Q4" t="s">
        <v>10</v>
      </c>
      <c r="R4" s="7">
        <f>M16</f>
        <v>2.157854062192488E-3</v>
      </c>
      <c r="S4" s="7">
        <f>M17</f>
        <v>0</v>
      </c>
      <c r="U4" t="s">
        <v>10</v>
      </c>
      <c r="V4" s="7">
        <f>N16</f>
        <v>7.7815190510595822E-2</v>
      </c>
      <c r="W4" s="7">
        <f>N17</f>
        <v>0</v>
      </c>
      <c r="Y4" t="s">
        <v>10</v>
      </c>
      <c r="Z4" s="7">
        <f>F16</f>
        <v>3.0000000000000001E-3</v>
      </c>
      <c r="AA4" s="7">
        <f>F17</f>
        <v>0</v>
      </c>
      <c r="AC4" t="s">
        <v>10</v>
      </c>
      <c r="AD4" s="7">
        <f>G16</f>
        <v>2.3E-2</v>
      </c>
      <c r="AE4" s="7">
        <f>G17</f>
        <v>0</v>
      </c>
      <c r="AG4" t="s">
        <v>10</v>
      </c>
      <c r="AH4" s="7">
        <f>D16</f>
        <v>0.134093269318732</v>
      </c>
      <c r="AJ4" t="s">
        <v>10</v>
      </c>
      <c r="AK4" s="7">
        <f>E16</f>
        <v>0.17947151243055201</v>
      </c>
    </row>
    <row r="5" spans="1:37" x14ac:dyDescent="0.2">
      <c r="A5" s="8"/>
      <c r="B5" s="8"/>
      <c r="C5" s="6" t="s">
        <v>42</v>
      </c>
      <c r="D5" s="6">
        <f>AVERAGE(D2:D4)</f>
        <v>3.0300749834325198E-2</v>
      </c>
      <c r="E5" s="6">
        <f t="shared" ref="E5:N5" si="6">AVERAGE(E2:E4)</f>
        <v>2.8721067627223498E-2</v>
      </c>
      <c r="F5" s="6">
        <f t="shared" ref="F5" si="7">AVERAGE(F2:F4)</f>
        <v>1.1000000000000001E-2</v>
      </c>
      <c r="G5" s="6">
        <f t="shared" ref="G5" si="8">AVERAGE(G2:G4)</f>
        <v>9.6666666666666654E-3</v>
      </c>
      <c r="H5" s="9"/>
      <c r="I5" s="9"/>
      <c r="J5" s="6"/>
      <c r="K5" s="6"/>
      <c r="L5" s="6"/>
      <c r="M5" s="6">
        <f t="shared" si="6"/>
        <v>9.4242648087988615E-2</v>
      </c>
      <c r="N5" s="6">
        <f t="shared" si="6"/>
        <v>7.1497006653729669E-2</v>
      </c>
      <c r="Q5" t="s">
        <v>10</v>
      </c>
      <c r="R5" s="7">
        <f>M20</f>
        <v>0.38361849994533126</v>
      </c>
      <c r="S5" s="7">
        <v>0</v>
      </c>
      <c r="U5" t="s">
        <v>10</v>
      </c>
      <c r="V5" s="7">
        <f>N20</f>
        <v>0.18019585704249511</v>
      </c>
      <c r="W5" s="7">
        <v>0</v>
      </c>
      <c r="Y5" t="s">
        <v>10</v>
      </c>
      <c r="Z5" s="7">
        <f>F20</f>
        <v>0.04</v>
      </c>
      <c r="AA5" s="7">
        <v>0</v>
      </c>
      <c r="AC5" t="s">
        <v>10</v>
      </c>
      <c r="AD5" s="7">
        <f>G20</f>
        <v>3.5000000000000003E-2</v>
      </c>
      <c r="AE5" s="7">
        <v>0</v>
      </c>
      <c r="AG5" t="s">
        <v>10</v>
      </c>
      <c r="AH5" s="7">
        <f>D20</f>
        <v>0.134093269318732</v>
      </c>
      <c r="AJ5" t="s">
        <v>10</v>
      </c>
      <c r="AK5" s="7">
        <f>E20</f>
        <v>0.17947151243055201</v>
      </c>
    </row>
    <row r="6" spans="1:37" x14ac:dyDescent="0.2">
      <c r="A6" s="8"/>
      <c r="B6" s="8"/>
      <c r="C6" s="6" t="s">
        <v>41</v>
      </c>
      <c r="D6" s="6">
        <f>STDEV(D2:D4)</f>
        <v>4.2491873609703695E-18</v>
      </c>
      <c r="E6" s="6">
        <f t="shared" ref="E6:N6" si="9">STDEV(E2:E4)</f>
        <v>0</v>
      </c>
      <c r="F6" s="6">
        <f t="shared" ref="F6:G6" si="10">STDEV(F2:F4)</f>
        <v>2.6457513110645912E-3</v>
      </c>
      <c r="G6" s="6">
        <f t="shared" si="10"/>
        <v>5.7735026918962623E-4</v>
      </c>
      <c r="H6" s="9"/>
      <c r="I6" s="9"/>
      <c r="J6" s="6"/>
      <c r="K6" s="6"/>
      <c r="L6" s="6"/>
      <c r="M6" s="6">
        <f t="shared" si="9"/>
        <v>4.6231526203094994E-2</v>
      </c>
      <c r="N6" s="6">
        <f t="shared" si="9"/>
        <v>8.3732829685183308E-3</v>
      </c>
      <c r="Q6" t="s">
        <v>11</v>
      </c>
      <c r="R6" s="7">
        <f>M26</f>
        <v>4.2769687385333793E-3</v>
      </c>
      <c r="S6" s="7">
        <f>M27</f>
        <v>6.40910551830692E-3</v>
      </c>
      <c r="U6" t="s">
        <v>11</v>
      </c>
      <c r="V6" s="7">
        <f>N26</f>
        <v>7.6224921764025642E-3</v>
      </c>
      <c r="W6" s="7">
        <f>N27</f>
        <v>6.9447665938458854E-3</v>
      </c>
      <c r="Y6" t="s">
        <v>11</v>
      </c>
      <c r="Z6" s="7">
        <f>F26</f>
        <v>4.3333333333333331E-3</v>
      </c>
      <c r="AA6" s="7">
        <f>F27</f>
        <v>4.0414518843273801E-3</v>
      </c>
      <c r="AC6" t="s">
        <v>11</v>
      </c>
      <c r="AD6" s="7">
        <f>G26</f>
        <v>6.333333333333334E-3</v>
      </c>
      <c r="AE6" s="7">
        <f>G27</f>
        <v>4.7258156262526066E-3</v>
      </c>
      <c r="AG6" t="s">
        <v>11</v>
      </c>
      <c r="AH6" s="7">
        <f>D26</f>
        <v>0.18135063952248201</v>
      </c>
      <c r="AJ6" t="s">
        <v>11</v>
      </c>
      <c r="AK6" s="7">
        <f>E26</f>
        <v>0.18503576834647703</v>
      </c>
    </row>
    <row r="7" spans="1:37" x14ac:dyDescent="0.2">
      <c r="A7" s="8"/>
      <c r="B7" s="8"/>
      <c r="C7" s="6"/>
      <c r="D7" s="6"/>
      <c r="E7" s="6"/>
      <c r="F7" s="6"/>
      <c r="G7" s="6"/>
      <c r="H7" s="9"/>
      <c r="I7" s="9"/>
      <c r="J7" s="6"/>
      <c r="K7" s="6"/>
      <c r="L7" s="6"/>
      <c r="M7" s="6"/>
      <c r="N7" s="6"/>
    </row>
    <row r="8" spans="1:37" x14ac:dyDescent="0.2">
      <c r="A8" s="8" t="s">
        <v>16</v>
      </c>
      <c r="B8" s="8" t="s">
        <v>9</v>
      </c>
      <c r="C8" s="8">
        <v>8</v>
      </c>
      <c r="D8" s="9">
        <v>0.107872720476242</v>
      </c>
      <c r="E8" s="9">
        <v>0.191971293216014</v>
      </c>
      <c r="F8" s="9">
        <v>2.5000000000000001E-2</v>
      </c>
      <c r="G8" s="9">
        <v>0.03</v>
      </c>
      <c r="H8" s="9">
        <f t="shared" si="0"/>
        <v>5.0025E-2</v>
      </c>
      <c r="I8" s="9">
        <f t="shared" si="1"/>
        <v>6.0029999999999993E-2</v>
      </c>
      <c r="J8" s="9">
        <f t="shared" ref="J8:J25" si="11">(((H8^2) / ((4.135667696E-15))) * (1/(SQRT(PI()*((D8+0.3)*0.000086173*300)))) * EXP(-(D8+0.3) / (4 * 0.000086173 * 300)))</f>
        <v>64379620845.861771</v>
      </c>
      <c r="K8" s="9">
        <f t="shared" ref="K8:K25" si="12">(((I8^2) / ((4.135667696E-15))) * (1/(SQRT(PI()*((E8+0.3)*0.000086173*300)))) * EXP(-(E8+0.3) / (4 * 0.000086173 * 300)))</f>
        <v>37428595608.235207</v>
      </c>
      <c r="L8" s="10">
        <v>4</v>
      </c>
      <c r="M8" s="10">
        <f t="shared" ref="M8" si="13">(((1.6E-19)*(L8*0.0000001)^2)*J8)/(2*300*0.00008618*1.6E-19)</f>
        <v>0.19920978060141331</v>
      </c>
      <c r="N8" s="10">
        <f t="shared" ref="N8:N25" si="14">(((1.6E-19)*(L8*0.0000001)^2)*K8)/(2*300*0.00008618*1.6E-19)</f>
        <v>0.1158152567749213</v>
      </c>
      <c r="P8" t="s">
        <v>60</v>
      </c>
    </row>
    <row r="9" spans="1:37" x14ac:dyDescent="0.2">
      <c r="A9" s="8"/>
      <c r="B9" s="8"/>
      <c r="C9" s="8">
        <v>9</v>
      </c>
      <c r="D9" s="9">
        <v>0.107872720476242</v>
      </c>
      <c r="E9" s="9">
        <v>0.191971293216014</v>
      </c>
      <c r="F9" s="9">
        <v>1.6E-2</v>
      </c>
      <c r="G9" s="9">
        <v>1.2E-2</v>
      </c>
      <c r="H9" s="9">
        <f t="shared" si="0"/>
        <v>3.2015999999999996E-2</v>
      </c>
      <c r="I9" s="9">
        <f t="shared" si="1"/>
        <v>2.4011999999999999E-2</v>
      </c>
      <c r="J9" s="9">
        <f t="shared" ref="J9:J10" si="15">(((H9^2) / ((4.135667696E-15))) * (1/(SQRT(PI()*((D9+0.3)*0.000086173*300)))) * EXP(-(D9+0.3) / (4 * 0.000086173 * 300)))</f>
        <v>26369892698.464973</v>
      </c>
      <c r="K9" s="9">
        <f t="shared" ref="K9:K10" si="16">(((I9^2) / ((4.135667696E-15))) * (1/(SQRT(PI()*((E9+0.3)*0.000086173*300)))) * EXP(-(E9+0.3) / (4 * 0.000086173 * 300)))</f>
        <v>5988575297.3176336</v>
      </c>
      <c r="L9" s="10">
        <v>4</v>
      </c>
      <c r="M9" s="10">
        <f t="shared" ref="M9:M10" si="17">(((1.6E-19)*(L9*0.0000001)^2)*J9)/(2*300*0.00008618*1.6E-19)</f>
        <v>8.1596326134338856E-2</v>
      </c>
      <c r="N9" s="10">
        <f t="shared" ref="N9:N10" si="18">(((1.6E-19)*(L9*0.0000001)^2)*K9)/(2*300*0.00008618*1.6E-19)</f>
        <v>1.8530441083987409E-2</v>
      </c>
    </row>
    <row r="10" spans="1:37" x14ac:dyDescent="0.2">
      <c r="A10" s="8"/>
      <c r="B10" s="8"/>
      <c r="C10" s="8">
        <v>10</v>
      </c>
      <c r="D10" s="9">
        <v>0.107872720476242</v>
      </c>
      <c r="E10" s="9">
        <v>0.191971293216014</v>
      </c>
      <c r="F10" s="9">
        <v>7.0000000000000001E-3</v>
      </c>
      <c r="G10" s="9">
        <v>1.0999999999999999E-2</v>
      </c>
      <c r="H10" s="9">
        <f t="shared" si="0"/>
        <v>1.4007E-2</v>
      </c>
      <c r="I10" s="9">
        <f t="shared" si="1"/>
        <v>2.2010999999999996E-2</v>
      </c>
      <c r="J10" s="9">
        <f t="shared" si="15"/>
        <v>5047362274.3155632</v>
      </c>
      <c r="K10" s="9">
        <f t="shared" si="16"/>
        <v>5032066742.8849545</v>
      </c>
      <c r="L10" s="10">
        <v>4</v>
      </c>
      <c r="M10" s="10">
        <f t="shared" si="17"/>
        <v>1.5618046799150803E-2</v>
      </c>
      <c r="N10" s="10">
        <f t="shared" si="18"/>
        <v>1.5570717855294972E-2</v>
      </c>
    </row>
    <row r="11" spans="1:37" x14ac:dyDescent="0.2">
      <c r="A11" s="8"/>
      <c r="B11" s="8"/>
      <c r="C11" s="6" t="s">
        <v>42</v>
      </c>
      <c r="D11" s="6">
        <f>AVERAGE(D8:D10)</f>
        <v>0.10787272047624201</v>
      </c>
      <c r="E11" s="6">
        <f t="shared" ref="E11" si="19">AVERAGE(E8:E10)</f>
        <v>0.191971293216014</v>
      </c>
      <c r="F11" s="6">
        <f t="shared" ref="F11" si="20">AVERAGE(F8:F10)</f>
        <v>1.6E-2</v>
      </c>
      <c r="G11" s="6">
        <f t="shared" ref="G11" si="21">AVERAGE(G8:G10)</f>
        <v>1.7666666666666664E-2</v>
      </c>
      <c r="H11" s="9"/>
      <c r="I11" s="9"/>
      <c r="J11" s="6"/>
      <c r="K11" s="6"/>
      <c r="L11" s="6"/>
      <c r="M11" s="6">
        <f t="shared" ref="M11" si="22">AVERAGE(M8:M10)</f>
        <v>9.8808051178300993E-2</v>
      </c>
      <c r="N11" s="6">
        <f t="shared" ref="N11" si="23">AVERAGE(N8:N10)</f>
        <v>4.9972138571401224E-2</v>
      </c>
    </row>
    <row r="12" spans="1:37" x14ac:dyDescent="0.2">
      <c r="A12" s="8"/>
      <c r="B12" s="8"/>
      <c r="C12" s="6" t="s">
        <v>41</v>
      </c>
      <c r="D12" s="6">
        <f>STDEV(D8:D10)</f>
        <v>1.6996749443881478E-17</v>
      </c>
      <c r="E12" s="6">
        <f t="shared" ref="E12:G12" si="24">STDEV(E8:E10)</f>
        <v>0</v>
      </c>
      <c r="F12" s="6">
        <f t="shared" si="24"/>
        <v>9.0000000000000011E-3</v>
      </c>
      <c r="G12" s="6">
        <f t="shared" si="24"/>
        <v>1.0692676621563636E-2</v>
      </c>
      <c r="H12" s="9"/>
      <c r="I12" s="9"/>
      <c r="J12" s="6"/>
      <c r="K12" s="6"/>
      <c r="L12" s="6"/>
      <c r="M12" s="6">
        <f t="shared" ref="M12:N12" si="25">STDEV(M8:M10)</f>
        <v>9.2998192398411283E-2</v>
      </c>
      <c r="N12" s="6">
        <f t="shared" si="25"/>
        <v>5.7041012889583693E-2</v>
      </c>
    </row>
    <row r="13" spans="1:37" x14ac:dyDescent="0.2">
      <c r="A13" s="8"/>
      <c r="B13" s="8"/>
      <c r="C13" s="8"/>
      <c r="D13" s="9"/>
      <c r="E13" s="9"/>
      <c r="F13" s="9"/>
      <c r="G13" s="9"/>
      <c r="H13" s="9"/>
      <c r="I13" s="9"/>
      <c r="J13" s="9"/>
      <c r="K13" s="9"/>
      <c r="L13" s="10"/>
      <c r="M13" s="10"/>
      <c r="N13" s="10"/>
    </row>
    <row r="14" spans="1:37" x14ac:dyDescent="0.2">
      <c r="A14" t="s">
        <v>16</v>
      </c>
      <c r="B14" t="s">
        <v>70</v>
      </c>
      <c r="C14">
        <v>8</v>
      </c>
      <c r="D14" s="5">
        <v>0.134093269318732</v>
      </c>
      <c r="E14" s="5">
        <v>0.17947151243055201</v>
      </c>
      <c r="F14" s="5">
        <v>3.0000000000000001E-3</v>
      </c>
      <c r="G14" s="5">
        <v>2.3E-2</v>
      </c>
      <c r="H14" s="9">
        <f t="shared" si="0"/>
        <v>6.0029999999999997E-3</v>
      </c>
      <c r="I14" s="9">
        <f t="shared" si="1"/>
        <v>4.6022999999999994E-2</v>
      </c>
      <c r="J14" s="5">
        <f t="shared" si="11"/>
        <v>697364486.5490576</v>
      </c>
      <c r="K14" s="5">
        <f t="shared" si="12"/>
        <v>25147924193.261814</v>
      </c>
      <c r="L14" s="6">
        <v>4</v>
      </c>
      <c r="M14" s="6">
        <f t="shared" ref="M14" si="26">(((1.6E-19)*(L14*0.0000001)^2)*J14)/(2*300*0.00008618*1.6E-19)</f>
        <v>2.157854062192488E-3</v>
      </c>
      <c r="N14" s="6">
        <f t="shared" si="14"/>
        <v>7.7815190510595822E-2</v>
      </c>
      <c r="P14" t="s">
        <v>59</v>
      </c>
    </row>
    <row r="15" spans="1:37" x14ac:dyDescent="0.2">
      <c r="C15">
        <v>9</v>
      </c>
      <c r="D15" s="5">
        <v>0.134093269318732</v>
      </c>
      <c r="E15" s="5">
        <v>0.17947151243055201</v>
      </c>
      <c r="F15" s="5">
        <v>3.0000000000000001E-3</v>
      </c>
      <c r="G15" s="5">
        <v>2.3E-2</v>
      </c>
      <c r="H15" s="9">
        <f t="shared" si="0"/>
        <v>6.0029999999999997E-3</v>
      </c>
      <c r="I15" s="9">
        <f t="shared" si="1"/>
        <v>4.6022999999999994E-2</v>
      </c>
      <c r="J15" s="5">
        <f t="shared" ref="J15" si="27">(((H15^2) / ((4.135667696E-15))) * (1/(SQRT(PI()*((D15+0.3)*0.000086173*300)))) * EXP(-(D15+0.3) / (4 * 0.000086173 * 300)))</f>
        <v>697364486.5490576</v>
      </c>
      <c r="K15" s="5">
        <f t="shared" ref="K15" si="28">(((I15^2) / ((4.135667696E-15))) * (1/(SQRT(PI()*((E15+0.3)*0.000086173*300)))) * EXP(-(E15+0.3) / (4 * 0.000086173 * 300)))</f>
        <v>25147924193.261814</v>
      </c>
      <c r="L15" s="6">
        <v>4</v>
      </c>
      <c r="M15" s="6">
        <f t="shared" ref="M15" si="29">(((1.6E-19)*(L15*0.0000001)^2)*J15)/(2*300*0.00008618*1.6E-19)</f>
        <v>2.157854062192488E-3</v>
      </c>
      <c r="N15" s="6">
        <f t="shared" ref="N15" si="30">(((1.6E-19)*(L15*0.0000001)^2)*K15)/(2*300*0.00008618*1.6E-19)</f>
        <v>7.7815190510595822E-2</v>
      </c>
    </row>
    <row r="16" spans="1:37" x14ac:dyDescent="0.2">
      <c r="C16" s="6" t="s">
        <v>42</v>
      </c>
      <c r="D16" s="6">
        <f>AVERAGE(D14:D15)</f>
        <v>0.134093269318732</v>
      </c>
      <c r="E16" s="6">
        <f>AVERAGE(E14:E15)</f>
        <v>0.17947151243055201</v>
      </c>
      <c r="F16" s="6">
        <f>AVERAGE(F14:F15)</f>
        <v>3.0000000000000001E-3</v>
      </c>
      <c r="G16" s="6">
        <f>AVERAGE(G14:G15)</f>
        <v>2.3E-2</v>
      </c>
      <c r="H16" s="9"/>
      <c r="I16" s="9"/>
      <c r="J16" s="6"/>
      <c r="K16" s="6"/>
      <c r="L16" s="6"/>
      <c r="M16" s="6">
        <f>AVERAGE(M14:M15)</f>
        <v>2.157854062192488E-3</v>
      </c>
      <c r="N16" s="6">
        <f>AVERAGE(N14:N15)</f>
        <v>7.7815190510595822E-2</v>
      </c>
    </row>
    <row r="17" spans="1:16" x14ac:dyDescent="0.2">
      <c r="C17" s="6" t="s">
        <v>41</v>
      </c>
      <c r="D17" s="6">
        <f>STDEV(D14:D15)</f>
        <v>0</v>
      </c>
      <c r="E17" s="6">
        <f>STDEV(E14:E15)</f>
        <v>0</v>
      </c>
      <c r="F17" s="6">
        <f>STDEV(F14:F15)</f>
        <v>0</v>
      </c>
      <c r="G17" s="6">
        <f>STDEV(G14:G15)</f>
        <v>0</v>
      </c>
      <c r="H17" s="9"/>
      <c r="I17" s="9"/>
      <c r="J17" s="6"/>
      <c r="K17" s="6"/>
      <c r="L17" s="6"/>
      <c r="M17" s="6">
        <f>STDEV(M14:M15)</f>
        <v>0</v>
      </c>
      <c r="N17" s="6">
        <f>STDEV(N14:N15)</f>
        <v>0</v>
      </c>
    </row>
    <row r="18" spans="1:16" x14ac:dyDescent="0.2">
      <c r="D18" s="5"/>
      <c r="E18" s="5"/>
      <c r="F18" s="5"/>
      <c r="G18" s="5"/>
      <c r="H18" s="9"/>
      <c r="I18" s="9"/>
      <c r="J18" s="5"/>
      <c r="K18" s="5"/>
      <c r="L18" s="6"/>
      <c r="M18" s="6"/>
      <c r="N18" s="6"/>
    </row>
    <row r="19" spans="1:16" x14ac:dyDescent="0.2">
      <c r="B19" t="s">
        <v>71</v>
      </c>
      <c r="C19">
        <v>10</v>
      </c>
      <c r="D19" s="5">
        <v>0.134093269318732</v>
      </c>
      <c r="E19" s="5">
        <v>0.17947151243055201</v>
      </c>
      <c r="F19" s="5">
        <v>0.04</v>
      </c>
      <c r="G19" s="5">
        <v>3.5000000000000003E-2</v>
      </c>
      <c r="H19" s="9">
        <f t="shared" si="0"/>
        <v>8.004E-2</v>
      </c>
      <c r="I19" s="9">
        <f t="shared" si="1"/>
        <v>7.0035E-2</v>
      </c>
      <c r="J19" s="5">
        <f t="shared" ref="J19" si="31">(((H19^2) / ((4.135667696E-15))) * (1/(SQRT(PI()*((D19+0.3)*0.000086173*300)))) * EXP(-(D19+0.3) / (4 * 0.000086173 * 300)))</f>
        <v>123975908719.83249</v>
      </c>
      <c r="K19" s="5">
        <f t="shared" ref="K19" si="32">(((I19^2) / ((4.135667696E-15))) * (1/(SQRT(PI()*((E19+0.3)*0.000086173*300)))) * EXP(-(E19+0.3) / (4 * 0.000086173 * 300)))</f>
        <v>58234796099.708382</v>
      </c>
      <c r="L19" s="6">
        <v>4</v>
      </c>
      <c r="M19" s="6">
        <f t="shared" ref="M19" si="33">(((1.6E-19)*(L19*0.0000001)^2)*J19)/(2*300*0.00008618*1.6E-19)</f>
        <v>0.38361849994533126</v>
      </c>
      <c r="N19" s="6">
        <f t="shared" ref="N19" si="34">(((1.6E-19)*(L19*0.0000001)^2)*K19)/(2*300*0.00008618*1.6E-19)</f>
        <v>0.18019585704249511</v>
      </c>
    </row>
    <row r="20" spans="1:16" x14ac:dyDescent="0.2">
      <c r="C20" s="6" t="s">
        <v>42</v>
      </c>
      <c r="D20" s="6">
        <f>AVERAGE(D19)</f>
        <v>0.134093269318732</v>
      </c>
      <c r="E20" s="6">
        <f t="shared" ref="E20:N20" si="35">AVERAGE(E19)</f>
        <v>0.17947151243055201</v>
      </c>
      <c r="F20" s="6">
        <f t="shared" si="35"/>
        <v>0.04</v>
      </c>
      <c r="G20" s="6">
        <f t="shared" si="35"/>
        <v>3.5000000000000003E-2</v>
      </c>
      <c r="H20" s="9"/>
      <c r="I20" s="9"/>
      <c r="J20" s="6"/>
      <c r="K20" s="6"/>
      <c r="L20" s="6"/>
      <c r="M20" s="6">
        <f t="shared" si="35"/>
        <v>0.38361849994533126</v>
      </c>
      <c r="N20" s="6">
        <f t="shared" si="35"/>
        <v>0.18019585704249511</v>
      </c>
    </row>
    <row r="21" spans="1:16" x14ac:dyDescent="0.2">
      <c r="C21" s="6" t="s">
        <v>41</v>
      </c>
      <c r="D21" s="6" t="e">
        <f>STDEV(D19)</f>
        <v>#DIV/0!</v>
      </c>
      <c r="E21" s="6" t="e">
        <f t="shared" ref="E21:N21" si="36">STDEV(E19)</f>
        <v>#DIV/0!</v>
      </c>
      <c r="F21" s="6" t="e">
        <f t="shared" si="36"/>
        <v>#DIV/0!</v>
      </c>
      <c r="G21" s="6" t="e">
        <f t="shared" si="36"/>
        <v>#DIV/0!</v>
      </c>
      <c r="H21" s="9"/>
      <c r="I21" s="9"/>
      <c r="J21" s="6"/>
      <c r="K21" s="6"/>
      <c r="L21" s="6"/>
      <c r="M21" s="6" t="e">
        <f t="shared" si="36"/>
        <v>#DIV/0!</v>
      </c>
      <c r="N21" s="6" t="e">
        <f t="shared" si="36"/>
        <v>#DIV/0!</v>
      </c>
    </row>
    <row r="22" spans="1:16" x14ac:dyDescent="0.2">
      <c r="D22" s="5"/>
      <c r="E22" s="5"/>
      <c r="F22" s="5"/>
      <c r="G22" s="5"/>
      <c r="H22" s="9"/>
      <c r="I22" s="9"/>
      <c r="J22" s="5"/>
      <c r="K22" s="5"/>
      <c r="L22" s="6"/>
      <c r="M22" s="6"/>
      <c r="N22" s="6"/>
    </row>
    <row r="23" spans="1:16" x14ac:dyDescent="0.2">
      <c r="A23" s="8" t="s">
        <v>16</v>
      </c>
      <c r="B23" s="8" t="s">
        <v>11</v>
      </c>
      <c r="C23" s="8">
        <v>8</v>
      </c>
      <c r="D23" s="9">
        <v>0.18135063952248201</v>
      </c>
      <c r="E23" s="9">
        <v>0.185035768346477</v>
      </c>
      <c r="F23" s="9">
        <v>8.9999999999999993E-3</v>
      </c>
      <c r="G23" s="9">
        <v>0.01</v>
      </c>
      <c r="H23" s="9">
        <f t="shared" si="0"/>
        <v>1.8008999999999997E-2</v>
      </c>
      <c r="I23" s="9">
        <f t="shared" si="1"/>
        <v>2.001E-2</v>
      </c>
      <c r="J23" s="9">
        <f t="shared" si="11"/>
        <v>3773897499.0376706</v>
      </c>
      <c r="K23" s="9">
        <f t="shared" si="12"/>
        <v>4478907107.4707279</v>
      </c>
      <c r="L23" s="10">
        <v>4</v>
      </c>
      <c r="M23" s="10">
        <f t="shared" ref="M23:M25" si="37">(((1.6E-19)*(L23*0.0000001)^2)*J23)/(2*300*0.00008618*1.6E-19)</f>
        <v>1.1677566331051811E-2</v>
      </c>
      <c r="N23" s="10">
        <f t="shared" si="14"/>
        <v>1.3859076684368301E-2</v>
      </c>
      <c r="P23" t="s">
        <v>59</v>
      </c>
    </row>
    <row r="24" spans="1:16" x14ac:dyDescent="0.2">
      <c r="C24">
        <v>9</v>
      </c>
      <c r="D24" s="9">
        <v>0.18135063952248201</v>
      </c>
      <c r="E24" s="9">
        <v>0.185035768346477</v>
      </c>
      <c r="F24" s="5">
        <v>2E-3</v>
      </c>
      <c r="G24" s="5">
        <v>8.0000000000000002E-3</v>
      </c>
      <c r="H24" s="9">
        <f t="shared" si="0"/>
        <v>4.0019999999999995E-3</v>
      </c>
      <c r="I24" s="9">
        <f t="shared" si="1"/>
        <v>1.6007999999999998E-2</v>
      </c>
      <c r="J24" s="5">
        <f t="shared" si="11"/>
        <v>186365308.59445286</v>
      </c>
      <c r="K24" s="5">
        <f t="shared" si="12"/>
        <v>2866500548.7812648</v>
      </c>
      <c r="L24" s="6">
        <v>4</v>
      </c>
      <c r="M24" s="6">
        <f t="shared" si="37"/>
        <v>5.7666994227416346E-4</v>
      </c>
      <c r="N24" s="6">
        <f t="shared" si="14"/>
        <v>8.8698090779957099E-3</v>
      </c>
    </row>
    <row r="25" spans="1:16" x14ac:dyDescent="0.2">
      <c r="C25">
        <v>10</v>
      </c>
      <c r="D25" s="9">
        <v>0.18135063952248201</v>
      </c>
      <c r="E25" s="9">
        <v>0.185035768346477</v>
      </c>
      <c r="F25" s="5">
        <v>2E-3</v>
      </c>
      <c r="G25" s="5">
        <v>1E-3</v>
      </c>
      <c r="H25" s="9">
        <f t="shared" si="0"/>
        <v>4.0019999999999995E-3</v>
      </c>
      <c r="I25" s="9">
        <f t="shared" si="1"/>
        <v>2.0009999999999997E-3</v>
      </c>
      <c r="J25" s="5">
        <f t="shared" si="11"/>
        <v>186365308.59445286</v>
      </c>
      <c r="K25" s="5">
        <f t="shared" si="12"/>
        <v>44789071.074707262</v>
      </c>
      <c r="L25" s="6">
        <v>4</v>
      </c>
      <c r="M25" s="6">
        <f t="shared" si="37"/>
        <v>5.7666994227416346E-4</v>
      </c>
      <c r="N25" s="6">
        <f t="shared" si="14"/>
        <v>1.3859076684368297E-4</v>
      </c>
    </row>
    <row r="26" spans="1:16" x14ac:dyDescent="0.2">
      <c r="C26" s="6" t="s">
        <v>42</v>
      </c>
      <c r="D26" s="6">
        <f>AVERAGE(D23:D25)</f>
        <v>0.18135063952248201</v>
      </c>
      <c r="E26" s="6">
        <f t="shared" ref="E26" si="38">AVERAGE(E23:E25)</f>
        <v>0.18503576834647703</v>
      </c>
      <c r="F26" s="6">
        <f t="shared" ref="F26" si="39">AVERAGE(F23:F25)</f>
        <v>4.3333333333333331E-3</v>
      </c>
      <c r="G26" s="6">
        <f t="shared" ref="G26" si="40">AVERAGE(G23:G25)</f>
        <v>6.333333333333334E-3</v>
      </c>
      <c r="H26" s="6"/>
      <c r="I26" s="6"/>
      <c r="J26" s="6"/>
      <c r="K26" s="6"/>
      <c r="L26" s="6"/>
      <c r="M26" s="6">
        <f t="shared" ref="M26" si="41">AVERAGE(M23:M25)</f>
        <v>4.2769687385333793E-3</v>
      </c>
      <c r="N26" s="6">
        <f t="shared" ref="N26" si="42">AVERAGE(N23:N25)</f>
        <v>7.6224921764025642E-3</v>
      </c>
    </row>
    <row r="27" spans="1:16" x14ac:dyDescent="0.2">
      <c r="C27" s="6" t="s">
        <v>41</v>
      </c>
      <c r="D27" s="6">
        <f>STDEV(D23:D25)</f>
        <v>0</v>
      </c>
      <c r="E27" s="6">
        <f t="shared" ref="E27:G27" si="43">STDEV(E23:E25)</f>
        <v>3.3993498887762956E-17</v>
      </c>
      <c r="F27" s="6">
        <f t="shared" si="43"/>
        <v>4.0414518843273801E-3</v>
      </c>
      <c r="G27" s="6">
        <f t="shared" si="43"/>
        <v>4.7258156262526066E-3</v>
      </c>
      <c r="H27" s="6"/>
      <c r="I27" s="6"/>
      <c r="J27" s="6"/>
      <c r="K27" s="6"/>
      <c r="L27" s="6"/>
      <c r="M27" s="6">
        <f t="shared" ref="M27:N27" si="44">STDEV(M23:M25)</f>
        <v>6.40910551830692E-3</v>
      </c>
      <c r="N27" s="6">
        <f t="shared" si="44"/>
        <v>6.9447665938458854E-3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2337-506E-BA4A-B135-8585B6DB5F75}">
  <dimension ref="A1:AK16"/>
  <sheetViews>
    <sheetView topLeftCell="F1" workbookViewId="0">
      <selection activeCell="H6" sqref="H6:I8"/>
    </sheetView>
  </sheetViews>
  <sheetFormatPr baseColWidth="10" defaultColWidth="11" defaultRowHeight="16" x14ac:dyDescent="0.2"/>
  <sheetData>
    <row r="1" spans="1:37" x14ac:dyDescent="0.2">
      <c r="A1" t="s">
        <v>5</v>
      </c>
      <c r="B1" t="s">
        <v>0</v>
      </c>
      <c r="C1" t="s">
        <v>40</v>
      </c>
      <c r="D1" t="s">
        <v>4</v>
      </c>
      <c r="E1" t="s">
        <v>3</v>
      </c>
      <c r="F1" t="s">
        <v>1</v>
      </c>
      <c r="G1" t="s">
        <v>2</v>
      </c>
      <c r="H1" t="s">
        <v>19</v>
      </c>
      <c r="I1" t="s">
        <v>20</v>
      </c>
      <c r="J1" t="s">
        <v>12</v>
      </c>
      <c r="K1" t="s">
        <v>13</v>
      </c>
      <c r="L1" t="s">
        <v>14</v>
      </c>
      <c r="M1" t="s">
        <v>6</v>
      </c>
      <c r="N1" t="s">
        <v>7</v>
      </c>
      <c r="O1" t="s">
        <v>98</v>
      </c>
      <c r="P1" t="s">
        <v>99</v>
      </c>
      <c r="Q1" t="s">
        <v>44</v>
      </c>
      <c r="R1" t="s">
        <v>72</v>
      </c>
      <c r="S1" t="s">
        <v>73</v>
      </c>
      <c r="U1" t="s">
        <v>45</v>
      </c>
      <c r="V1" t="s">
        <v>74</v>
      </c>
      <c r="W1" t="s">
        <v>75</v>
      </c>
      <c r="Y1" t="s">
        <v>46</v>
      </c>
      <c r="Z1" t="s">
        <v>50</v>
      </c>
      <c r="AA1" t="s">
        <v>51</v>
      </c>
      <c r="AC1" t="s">
        <v>47</v>
      </c>
      <c r="AD1" t="s">
        <v>52</v>
      </c>
      <c r="AE1" t="s">
        <v>53</v>
      </c>
      <c r="AG1" t="s">
        <v>48</v>
      </c>
      <c r="AH1" t="s">
        <v>54</v>
      </c>
      <c r="AJ1" t="s">
        <v>49</v>
      </c>
      <c r="AK1" t="s">
        <v>55</v>
      </c>
    </row>
    <row r="2" spans="1:37" x14ac:dyDescent="0.2">
      <c r="A2" t="s">
        <v>18</v>
      </c>
      <c r="B2" t="s">
        <v>82</v>
      </c>
      <c r="C2">
        <v>6</v>
      </c>
      <c r="D2" s="5">
        <v>5.2973958406977804E-3</v>
      </c>
      <c r="E2" s="5">
        <v>-2.17801562637286E-2</v>
      </c>
      <c r="F2" s="5">
        <v>2E-3</v>
      </c>
      <c r="G2" s="5">
        <v>2.3E-2</v>
      </c>
      <c r="H2" s="5">
        <f>F2*2.001</f>
        <v>4.0019999999999995E-3</v>
      </c>
      <c r="I2" s="5">
        <f>G2*2.001</f>
        <v>4.6022999999999994E-2</v>
      </c>
      <c r="J2" s="5">
        <f>(((H2^2) / ((4.135667696E-15))) * (1/(SQRT(PI()*((D2+0.3)*0.000086173*300)))) * EXP(-(D2+0.3) / (4 * 0.000086173 * 300)))</f>
        <v>1284186896.7038703</v>
      </c>
      <c r="K2" s="5">
        <f>(((I2^2) / ((4.135667696E-15))) * (1/(SQRT(PI()*((E2+0.3)*0.000086173*300)))) * EXP(-(E2+0.3) / (4 * 0.000086173 * 300)))</f>
        <v>231159936404.99347</v>
      </c>
      <c r="L2" s="6">
        <v>4</v>
      </c>
      <c r="M2" s="6">
        <f>(((1.6E-19)*(L2*0.0000001)^2)*J2)/(2*300*0.00008618*1.6E-19)</f>
        <v>3.9736579150734738E-3</v>
      </c>
      <c r="N2" s="6">
        <f>(((1.6E-19)*(L2*0.0000001)^2)*K2)/(2*300*0.00008618*1.6E-19)</f>
        <v>0.71527790331861496</v>
      </c>
      <c r="P2" t="s">
        <v>38</v>
      </c>
      <c r="Q2" t="s">
        <v>96</v>
      </c>
      <c r="R2" s="7">
        <f>M6</f>
        <v>8.1956694498390402E-3</v>
      </c>
      <c r="S2" s="7">
        <f>M7</f>
        <v>5.6415097743165166E-3</v>
      </c>
      <c r="T2" s="7"/>
      <c r="U2" t="s">
        <v>96</v>
      </c>
      <c r="V2" s="7">
        <f>N6</f>
        <v>0.67031950958450548</v>
      </c>
      <c r="W2" s="7">
        <f>N7</f>
        <v>5.7082560876361488E-2</v>
      </c>
      <c r="Y2" t="s">
        <v>96</v>
      </c>
      <c r="Z2" s="7">
        <f>F6</f>
        <v>2.7500000000000003E-3</v>
      </c>
      <c r="AA2" s="7">
        <f>F7</f>
        <v>9.5742710775633809E-4</v>
      </c>
      <c r="AC2" t="s">
        <v>96</v>
      </c>
      <c r="AD2" s="7">
        <f>G6</f>
        <v>2.2249999999999999E-2</v>
      </c>
      <c r="AE2" s="7">
        <f>G7</f>
        <v>9.5742710775633744E-4</v>
      </c>
      <c r="AG2" t="s">
        <v>96</v>
      </c>
      <c r="AH2" s="7">
        <f>D2</f>
        <v>5.2973958406977804E-3</v>
      </c>
      <c r="AJ2" t="s">
        <v>96</v>
      </c>
      <c r="AK2" s="7">
        <f>E2</f>
        <v>-2.17801562637286E-2</v>
      </c>
    </row>
    <row r="3" spans="1:37" x14ac:dyDescent="0.2">
      <c r="C3">
        <v>7</v>
      </c>
      <c r="D3" s="5">
        <v>5.2973958406977804E-3</v>
      </c>
      <c r="E3" s="5">
        <v>-2.17801562637286E-2</v>
      </c>
      <c r="F3" s="5">
        <v>4.0000000000000001E-3</v>
      </c>
      <c r="G3" s="5">
        <v>2.3E-2</v>
      </c>
      <c r="H3" s="5">
        <f t="shared" ref="H3:H10" si="0">F3*2.001</f>
        <v>8.003999999999999E-3</v>
      </c>
      <c r="I3" s="5">
        <f t="shared" ref="I3:I10" si="1">G3*2.001</f>
        <v>4.6022999999999994E-2</v>
      </c>
      <c r="J3" s="5">
        <f t="shared" ref="J3:K5" si="2">(((H3^2) / ((4.135667696E-15))) * (1/(SQRT(PI()*((D3+0.3)*0.000086173*300)))) * EXP(-(D3+0.3) / (4 * 0.000086173 * 300)))</f>
        <v>5136747586.8154812</v>
      </c>
      <c r="K3" s="5">
        <f t="shared" si="2"/>
        <v>231159936404.99347</v>
      </c>
      <c r="L3" s="6">
        <v>4</v>
      </c>
      <c r="M3" s="6">
        <f t="shared" ref="M3:M5" si="3">(((1.6E-19)*(L3*0.0000001)^2)*J3)/(2*300*0.00008618*1.6E-19)</f>
        <v>1.5894631660293895E-2</v>
      </c>
      <c r="N3" s="6">
        <f t="shared" ref="N3:N5" si="4">(((1.6E-19)*(L3*0.0000001)^2)*K3)/(2*300*0.00008618*1.6E-19)</f>
        <v>0.71527790331861496</v>
      </c>
      <c r="Q3" t="s">
        <v>96</v>
      </c>
      <c r="R3" s="7">
        <f>M11</f>
        <v>1.4404509942141343E-2</v>
      </c>
      <c r="S3" s="7">
        <f>M12</f>
        <v>1.4751452403786272E-2</v>
      </c>
      <c r="T3" s="7"/>
      <c r="U3" t="s">
        <v>96</v>
      </c>
      <c r="V3" s="7">
        <f>N11</f>
        <v>5.7465616051117482E-2</v>
      </c>
      <c r="W3" s="7">
        <f>N12</f>
        <v>1.2429323490176416E-2</v>
      </c>
      <c r="Y3" t="s">
        <v>96</v>
      </c>
      <c r="Z3" s="7">
        <f>F11</f>
        <v>3.5000000000000001E-3</v>
      </c>
      <c r="AA3" s="7">
        <f>F12</f>
        <v>2.121320343559642E-3</v>
      </c>
      <c r="AC3" t="s">
        <v>96</v>
      </c>
      <c r="AD3" s="7">
        <f>G11</f>
        <v>6.5000000000000006E-3</v>
      </c>
      <c r="AE3" s="7">
        <f>G12</f>
        <v>7.0710678118654762E-4</v>
      </c>
      <c r="AG3" t="s">
        <v>96</v>
      </c>
      <c r="AH3" s="7">
        <f>D2</f>
        <v>5.2973958406977804E-3</v>
      </c>
      <c r="AJ3" t="s">
        <v>96</v>
      </c>
      <c r="AK3" s="7">
        <f>E2</f>
        <v>-2.17801562637286E-2</v>
      </c>
    </row>
    <row r="4" spans="1:37" x14ac:dyDescent="0.2">
      <c r="C4">
        <v>8</v>
      </c>
      <c r="D4" s="5">
        <v>5.2973958406977804E-3</v>
      </c>
      <c r="E4" s="5">
        <v>-2.17801562637286E-2</v>
      </c>
      <c r="F4" s="5">
        <v>3.0000000000000001E-3</v>
      </c>
      <c r="G4" s="5">
        <v>2.1000000000000001E-2</v>
      </c>
      <c r="H4" s="5">
        <f t="shared" si="0"/>
        <v>6.0029999999999997E-3</v>
      </c>
      <c r="I4" s="5">
        <f t="shared" si="1"/>
        <v>4.2021000000000003E-2</v>
      </c>
      <c r="J4" s="5">
        <f t="shared" si="2"/>
        <v>2889420517.5837083</v>
      </c>
      <c r="K4" s="5">
        <f t="shared" si="2"/>
        <v>192706109555.01355</v>
      </c>
      <c r="L4" s="6">
        <v>4</v>
      </c>
      <c r="M4" s="6">
        <f t="shared" si="3"/>
        <v>8.9407303089153161E-3</v>
      </c>
      <c r="N4" s="6">
        <f t="shared" si="4"/>
        <v>0.59629027478924257</v>
      </c>
      <c r="Q4" t="s">
        <v>97</v>
      </c>
      <c r="R4">
        <v>0</v>
      </c>
      <c r="S4">
        <v>0</v>
      </c>
      <c r="U4" t="s">
        <v>97</v>
      </c>
      <c r="V4">
        <v>0</v>
      </c>
      <c r="W4">
        <v>0</v>
      </c>
      <c r="Y4" t="s">
        <v>97</v>
      </c>
      <c r="Z4">
        <v>0</v>
      </c>
      <c r="AA4">
        <v>0</v>
      </c>
      <c r="AC4" t="s">
        <v>97</v>
      </c>
      <c r="AD4">
        <v>0</v>
      </c>
      <c r="AE4">
        <v>0</v>
      </c>
      <c r="AG4" t="s">
        <v>97</v>
      </c>
      <c r="AH4" s="7">
        <f t="shared" ref="AH4" si="5">D14</f>
        <v>0.10025054319424</v>
      </c>
      <c r="AJ4" t="s">
        <v>97</v>
      </c>
      <c r="AK4" s="7">
        <f>E14</f>
        <v>9.6006349081123099E-2</v>
      </c>
    </row>
    <row r="5" spans="1:37" x14ac:dyDescent="0.2">
      <c r="C5">
        <v>5</v>
      </c>
      <c r="D5" s="5">
        <v>5.2973958406977804E-3</v>
      </c>
      <c r="E5" s="5">
        <v>-2.17801562637286E-2</v>
      </c>
      <c r="F5" s="5">
        <v>2E-3</v>
      </c>
      <c r="G5" s="5">
        <v>2.1999999999999999E-2</v>
      </c>
      <c r="H5" s="5">
        <f t="shared" si="0"/>
        <v>4.0019999999999995E-3</v>
      </c>
      <c r="I5" s="5">
        <f t="shared" si="1"/>
        <v>4.4021999999999992E-2</v>
      </c>
      <c r="J5" s="5">
        <f t="shared" si="2"/>
        <v>1284186896.7038703</v>
      </c>
      <c r="K5" s="5">
        <f t="shared" si="2"/>
        <v>211496047674.89008</v>
      </c>
      <c r="L5" s="6">
        <v>4</v>
      </c>
      <c r="M5" s="6">
        <f t="shared" si="3"/>
        <v>3.9736579150734738E-3</v>
      </c>
      <c r="N5" s="6">
        <f t="shared" si="4"/>
        <v>0.65443195691154943</v>
      </c>
    </row>
    <row r="6" spans="1:37" x14ac:dyDescent="0.2">
      <c r="C6" s="6" t="s">
        <v>42</v>
      </c>
      <c r="D6" s="6">
        <f>AVERAGE(D2:D5)</f>
        <v>5.2973958406977804E-3</v>
      </c>
      <c r="E6" s="6">
        <f>AVERAGE(E2:E5)</f>
        <v>-2.17801562637286E-2</v>
      </c>
      <c r="F6" s="6">
        <f>AVERAGE(F2:F5)</f>
        <v>2.7500000000000003E-3</v>
      </c>
      <c r="G6" s="6">
        <f>AVERAGE(G2:G5)</f>
        <v>2.2249999999999999E-2</v>
      </c>
      <c r="H6" s="5"/>
      <c r="I6" s="5"/>
      <c r="J6" s="6"/>
      <c r="K6" s="6"/>
      <c r="L6" s="6"/>
      <c r="M6" s="6">
        <f>AVERAGE(M2:M5)</f>
        <v>8.1956694498390402E-3</v>
      </c>
      <c r="N6" s="6">
        <f>AVERAGE(N2:N5)</f>
        <v>0.67031950958450548</v>
      </c>
    </row>
    <row r="7" spans="1:37" x14ac:dyDescent="0.2">
      <c r="C7" s="6" t="s">
        <v>41</v>
      </c>
      <c r="D7" s="6">
        <f>STDEV(D2:D5)</f>
        <v>0</v>
      </c>
      <c r="E7" s="6">
        <f>STDEV(E2:E5)</f>
        <v>0</v>
      </c>
      <c r="F7" s="6">
        <f>STDEV(F2:F5)</f>
        <v>9.5742710775633809E-4</v>
      </c>
      <c r="G7" s="6">
        <f>STDEV(G2:G5)</f>
        <v>9.5742710775633744E-4</v>
      </c>
      <c r="H7" s="5"/>
      <c r="I7" s="5"/>
      <c r="J7" s="6"/>
      <c r="K7" s="6"/>
      <c r="L7" s="6"/>
      <c r="M7" s="6">
        <f>STDEV(M2:M5)</f>
        <v>5.6415097743165166E-3</v>
      </c>
      <c r="N7" s="6">
        <f>STDEV(N2:N5)</f>
        <v>5.7082560876361488E-2</v>
      </c>
    </row>
    <row r="8" spans="1:37" x14ac:dyDescent="0.2">
      <c r="D8" s="5"/>
      <c r="E8" s="5"/>
      <c r="F8" s="5"/>
      <c r="G8" s="5"/>
      <c r="H8" s="5"/>
      <c r="I8" s="5"/>
      <c r="J8" s="5"/>
      <c r="K8" s="5"/>
      <c r="L8" s="6"/>
      <c r="M8" s="6"/>
      <c r="N8" s="6"/>
    </row>
    <row r="9" spans="1:37" x14ac:dyDescent="0.2">
      <c r="B9" t="s">
        <v>83</v>
      </c>
      <c r="C9">
        <v>9</v>
      </c>
      <c r="D9" s="5">
        <v>5.2973958406977804E-3</v>
      </c>
      <c r="E9" s="5">
        <v>-2.17801562637286E-2</v>
      </c>
      <c r="F9" s="5">
        <v>2E-3</v>
      </c>
      <c r="G9" s="5">
        <v>6.0000000000000001E-3</v>
      </c>
      <c r="H9" s="5">
        <f t="shared" si="0"/>
        <v>4.0019999999999995E-3</v>
      </c>
      <c r="I9" s="5">
        <f t="shared" si="1"/>
        <v>1.2005999999999999E-2</v>
      </c>
      <c r="J9" s="5">
        <f t="shared" ref="J9:K10" si="6">(((H9^2) / ((4.135667696E-15))) * (1/(SQRT(PI()*((D9+0.3)*0.000086173*300)))) * EXP(-(D9+0.3) / (4 * 0.000086173 * 300)))</f>
        <v>1284186896.7038703</v>
      </c>
      <c r="K9" s="5">
        <f t="shared" si="6"/>
        <v>15731110984.082733</v>
      </c>
      <c r="L9" s="6">
        <v>4</v>
      </c>
      <c r="M9" s="6">
        <f t="shared" ref="M9:M10" si="7">(((1.6E-19)*(L9*0.0000001)^2)*J9)/(2*300*0.00008618*1.6E-19)</f>
        <v>3.9736579150734738E-3</v>
      </c>
      <c r="N9" s="6">
        <f t="shared" ref="N9:N10" si="8">(((1.6E-19)*(L9*0.0000001)^2)*K9)/(2*300*0.00008618*1.6E-19)</f>
        <v>4.8676757125652441E-2</v>
      </c>
    </row>
    <row r="10" spans="1:37" x14ac:dyDescent="0.2">
      <c r="C10">
        <v>10</v>
      </c>
      <c r="D10" s="5">
        <v>5.2973958406977804E-3</v>
      </c>
      <c r="E10" s="5">
        <v>-2.17801562637286E-2</v>
      </c>
      <c r="F10" s="5">
        <v>5.0000000000000001E-3</v>
      </c>
      <c r="G10" s="5">
        <v>7.0000000000000001E-3</v>
      </c>
      <c r="H10" s="5">
        <f t="shared" si="0"/>
        <v>1.0005E-2</v>
      </c>
      <c r="I10" s="5">
        <f t="shared" si="1"/>
        <v>1.4007E-2</v>
      </c>
      <c r="J10" s="5">
        <f t="shared" si="6"/>
        <v>8026168104.3991909</v>
      </c>
      <c r="K10" s="5">
        <f t="shared" si="6"/>
        <v>21411789950.55706</v>
      </c>
      <c r="L10" s="6">
        <v>4</v>
      </c>
      <c r="M10" s="6">
        <f t="shared" si="7"/>
        <v>2.4835361969209213E-2</v>
      </c>
      <c r="N10" s="6">
        <f t="shared" si="8"/>
        <v>6.6254474976582517E-2</v>
      </c>
    </row>
    <row r="11" spans="1:37" x14ac:dyDescent="0.2">
      <c r="C11" s="6" t="s">
        <v>42</v>
      </c>
      <c r="D11" s="6">
        <f>AVERAGE(D9:D10)</f>
        <v>5.2973958406977804E-3</v>
      </c>
      <c r="E11" s="6">
        <f t="shared" ref="E11:N11" si="9">AVERAGE(E9:E10)</f>
        <v>-2.17801562637286E-2</v>
      </c>
      <c r="F11" s="6">
        <f t="shared" si="9"/>
        <v>3.5000000000000001E-3</v>
      </c>
      <c r="G11" s="6">
        <f t="shared" si="9"/>
        <v>6.5000000000000006E-3</v>
      </c>
      <c r="H11" s="6"/>
      <c r="I11" s="6"/>
      <c r="J11" s="6"/>
      <c r="K11" s="6"/>
      <c r="L11" s="6"/>
      <c r="M11" s="6">
        <f t="shared" si="9"/>
        <v>1.4404509942141343E-2</v>
      </c>
      <c r="N11" s="6">
        <f t="shared" si="9"/>
        <v>5.7465616051117482E-2</v>
      </c>
    </row>
    <row r="12" spans="1:37" x14ac:dyDescent="0.2">
      <c r="C12" s="6" t="s">
        <v>41</v>
      </c>
      <c r="D12" s="6">
        <f>STDEV(D9:D10)</f>
        <v>0</v>
      </c>
      <c r="E12" s="6">
        <f t="shared" ref="E12:N12" si="10">STDEV(E9:E10)</f>
        <v>0</v>
      </c>
      <c r="F12" s="6">
        <f t="shared" si="10"/>
        <v>2.121320343559642E-3</v>
      </c>
      <c r="G12" s="6">
        <f t="shared" si="10"/>
        <v>7.0710678118654762E-4</v>
      </c>
      <c r="H12" s="6"/>
      <c r="I12" s="6"/>
      <c r="J12" s="6"/>
      <c r="K12" s="6"/>
      <c r="L12" s="6"/>
      <c r="M12" s="6">
        <f t="shared" si="10"/>
        <v>1.4751452403786272E-2</v>
      </c>
      <c r="N12" s="6">
        <f t="shared" si="10"/>
        <v>1.2429323490176416E-2</v>
      </c>
    </row>
    <row r="13" spans="1:37" x14ac:dyDescent="0.2"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</row>
    <row r="14" spans="1:37" x14ac:dyDescent="0.2">
      <c r="A14" t="s">
        <v>18</v>
      </c>
      <c r="B14" t="s">
        <v>21</v>
      </c>
      <c r="C14">
        <v>6</v>
      </c>
      <c r="D14" s="5">
        <v>0.10025054319424</v>
      </c>
      <c r="E14" s="5">
        <v>9.6006349081123099E-2</v>
      </c>
      <c r="F14">
        <v>0</v>
      </c>
      <c r="G14">
        <v>0</v>
      </c>
      <c r="H14" s="5">
        <f t="shared" ref="H14:I14" si="11">F14*1.921</f>
        <v>0</v>
      </c>
      <c r="I14" s="5">
        <f t="shared" si="11"/>
        <v>0</v>
      </c>
      <c r="J14" s="5">
        <f t="shared" ref="J14:K14" si="12">(((H14^2) / ((4.135667696E-15))) * (1/(SQRT(PI()*((D14+0.3)*0.000086173*300)))) * EXP(-(D14+0.3) / (4 * 0.000086173 * 300)))</f>
        <v>0</v>
      </c>
      <c r="K14" s="5">
        <f t="shared" si="12"/>
        <v>0</v>
      </c>
      <c r="L14" s="6">
        <v>4</v>
      </c>
      <c r="M14" s="6">
        <f t="shared" ref="M14" si="13">(((1.6E-19)*(L14*0.0000001)^2)*J14)/(2*300*0.00008618*1.6E-19)</f>
        <v>0</v>
      </c>
      <c r="N14" s="6">
        <f t="shared" ref="N14" si="14">(((1.6E-19)*(L14*0.0000001)^2)*K14)/(2*300*0.00008618*1.6E-19)</f>
        <v>0</v>
      </c>
    </row>
    <row r="15" spans="1:37" x14ac:dyDescent="0.2">
      <c r="C15" s="6" t="s">
        <v>42</v>
      </c>
      <c r="D15" s="6">
        <f>AVERAGE(D14:D14)</f>
        <v>0.10025054319424</v>
      </c>
      <c r="E15" s="6">
        <f t="shared" ref="E15:N15" si="15">AVERAGE(E14:E14)</f>
        <v>9.6006349081123099E-2</v>
      </c>
      <c r="F15" s="6">
        <f t="shared" si="15"/>
        <v>0</v>
      </c>
      <c r="G15" s="6">
        <f t="shared" si="15"/>
        <v>0</v>
      </c>
      <c r="H15" s="6"/>
      <c r="I15" s="6"/>
      <c r="J15" s="6"/>
      <c r="K15" s="6"/>
      <c r="L15" s="6">
        <f t="shared" si="15"/>
        <v>4</v>
      </c>
      <c r="M15" s="6">
        <f t="shared" si="15"/>
        <v>0</v>
      </c>
      <c r="N15" s="6">
        <f t="shared" si="15"/>
        <v>0</v>
      </c>
    </row>
    <row r="16" spans="1:37" x14ac:dyDescent="0.2">
      <c r="C16" s="6" t="s">
        <v>41</v>
      </c>
      <c r="D16" s="6" t="e">
        <f>STDEV(D14:D14)</f>
        <v>#DIV/0!</v>
      </c>
      <c r="E16" s="6" t="e">
        <f t="shared" ref="E16:N16" si="16">STDEV(E14:E14)</f>
        <v>#DIV/0!</v>
      </c>
      <c r="F16" s="6" t="e">
        <f t="shared" si="16"/>
        <v>#DIV/0!</v>
      </c>
      <c r="G16" s="6" t="e">
        <f t="shared" si="16"/>
        <v>#DIV/0!</v>
      </c>
      <c r="H16" s="6"/>
      <c r="I16" s="6"/>
      <c r="J16" s="6"/>
      <c r="K16" s="6"/>
      <c r="L16" s="6" t="e">
        <f t="shared" si="16"/>
        <v>#DIV/0!</v>
      </c>
      <c r="M16" s="6" t="e">
        <f t="shared" si="16"/>
        <v>#DIV/0!</v>
      </c>
      <c r="N16" s="6" t="e">
        <f t="shared" si="16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7D33-F3C2-B74A-BFAE-2378A19E2836}">
  <dimension ref="A1:AJ49"/>
  <sheetViews>
    <sheetView topLeftCell="A14" workbookViewId="0">
      <selection activeCell="F23" sqref="F23"/>
    </sheetView>
  </sheetViews>
  <sheetFormatPr baseColWidth="10" defaultColWidth="11" defaultRowHeight="16" x14ac:dyDescent="0.2"/>
  <cols>
    <col min="3" max="6" width="11" bestFit="1" customWidth="1"/>
    <col min="7" max="7" width="14.83203125" customWidth="1"/>
    <col min="8" max="8" width="14.33203125" customWidth="1"/>
    <col min="9" max="9" width="14.1640625" bestFit="1" customWidth="1"/>
    <col min="10" max="10" width="14" bestFit="1" customWidth="1"/>
    <col min="11" max="11" width="12.83203125" customWidth="1"/>
    <col min="12" max="12" width="15.5" customWidth="1"/>
    <col min="13" max="13" width="14.1640625" customWidth="1"/>
    <col min="14" max="14" width="25.1640625" customWidth="1"/>
    <col min="15" max="15" width="8.83203125" customWidth="1"/>
    <col min="16" max="16" width="12" customWidth="1"/>
    <col min="17" max="17" width="14.6640625" customWidth="1"/>
  </cols>
  <sheetData>
    <row r="1" spans="1:36" x14ac:dyDescent="0.2">
      <c r="A1" t="s">
        <v>5</v>
      </c>
      <c r="B1" t="s">
        <v>0</v>
      </c>
      <c r="C1" t="s">
        <v>40</v>
      </c>
      <c r="D1" t="s">
        <v>4</v>
      </c>
      <c r="E1" t="s">
        <v>3</v>
      </c>
      <c r="F1" t="s">
        <v>1</v>
      </c>
      <c r="G1" t="s">
        <v>2</v>
      </c>
      <c r="H1" t="s">
        <v>19</v>
      </c>
      <c r="I1" t="s">
        <v>20</v>
      </c>
      <c r="J1" t="s">
        <v>12</v>
      </c>
      <c r="K1" t="s">
        <v>13</v>
      </c>
      <c r="L1" t="s">
        <v>14</v>
      </c>
      <c r="M1" t="s">
        <v>6</v>
      </c>
      <c r="N1" t="s">
        <v>7</v>
      </c>
      <c r="O1" t="s">
        <v>98</v>
      </c>
      <c r="P1" t="s">
        <v>44</v>
      </c>
      <c r="Q1" t="s">
        <v>72</v>
      </c>
      <c r="R1" t="s">
        <v>73</v>
      </c>
      <c r="T1" t="s">
        <v>45</v>
      </c>
      <c r="U1" t="s">
        <v>74</v>
      </c>
      <c r="V1" t="s">
        <v>75</v>
      </c>
      <c r="X1" t="s">
        <v>46</v>
      </c>
      <c r="Y1" t="s">
        <v>50</v>
      </c>
      <c r="Z1" t="s">
        <v>51</v>
      </c>
      <c r="AB1" t="s">
        <v>47</v>
      </c>
      <c r="AC1" t="s">
        <v>52</v>
      </c>
      <c r="AD1" t="s">
        <v>53</v>
      </c>
      <c r="AF1" t="s">
        <v>48</v>
      </c>
      <c r="AG1" t="s">
        <v>54</v>
      </c>
      <c r="AI1" t="s">
        <v>49</v>
      </c>
      <c r="AJ1" t="s">
        <v>55</v>
      </c>
    </row>
    <row r="2" spans="1:36" x14ac:dyDescent="0.2">
      <c r="A2" t="s">
        <v>88</v>
      </c>
      <c r="B2" t="s">
        <v>8</v>
      </c>
      <c r="C2">
        <v>4</v>
      </c>
      <c r="D2" s="9">
        <v>8.0749515561685095E-2</v>
      </c>
      <c r="E2" s="9">
        <v>0.19936570830266601</v>
      </c>
      <c r="F2" s="9">
        <v>7.0000000000000001E-3</v>
      </c>
      <c r="G2" s="9">
        <v>2E-3</v>
      </c>
      <c r="H2" s="9">
        <f>F2*2.001</f>
        <v>1.4007E-2</v>
      </c>
      <c r="I2" s="9">
        <f>G2*2.001</f>
        <v>4.0019999999999995E-3</v>
      </c>
      <c r="J2" s="9">
        <f t="shared" ref="J2:K7" si="0">(((H2^2) / ((4.135667696E-15))) * (1/(SQRT(PI()*((D2+0.3)*0.000086173*300)))) * EXP(-(D2+0.3) / (4 * 0.000086173 * 300)))</f>
        <v>6790785523.2461119</v>
      </c>
      <c r="K2" s="9">
        <f t="shared" si="0"/>
        <v>153718536.31942615</v>
      </c>
      <c r="L2" s="10">
        <v>4</v>
      </c>
      <c r="M2" s="10">
        <f t="shared" ref="M2:M7" si="1">(((1.6E-19)*(L2*0.0000001)^2)*J2)/(2*300*0.00008618*1.6E-19)</f>
        <v>2.1012719186960963E-2</v>
      </c>
      <c r="N2" s="10">
        <f t="shared" ref="N2:N7" si="2">(((1.6E-19)*(L2*0.0000001)^2)*K2)/(2*300*0.00008618*1.6E-19)</f>
        <v>4.7565107548364229E-4</v>
      </c>
      <c r="P2" t="s">
        <v>96</v>
      </c>
      <c r="Q2" s="7">
        <f>M8</f>
        <v>3.1161719610595162E-2</v>
      </c>
      <c r="R2" s="7">
        <f>M9</f>
        <v>1.4373623748039422E-2</v>
      </c>
      <c r="T2" t="s">
        <v>96</v>
      </c>
      <c r="U2" s="7">
        <f>N8</f>
        <v>8.5220817690819233E-4</v>
      </c>
      <c r="V2" s="7">
        <f>N9</f>
        <v>6.3556251558936449E-4</v>
      </c>
      <c r="X2" t="s">
        <v>96</v>
      </c>
      <c r="Y2" s="7">
        <f>F8</f>
        <v>8.3333333333333332E-3</v>
      </c>
      <c r="Z2" s="7">
        <f>F9</f>
        <v>1.9663841605003498E-3</v>
      </c>
      <c r="AB2" t="s">
        <v>96</v>
      </c>
      <c r="AC2" s="7">
        <f>G8</f>
        <v>2.5000000000000001E-3</v>
      </c>
      <c r="AD2" s="7">
        <f>G9</f>
        <v>1.0488088481701515E-3</v>
      </c>
      <c r="AF2" t="s">
        <v>96</v>
      </c>
      <c r="AG2" s="7">
        <f>D8</f>
        <v>8.0749515561685095E-2</v>
      </c>
      <c r="AI2" t="s">
        <v>96</v>
      </c>
      <c r="AJ2" s="7">
        <f>E8</f>
        <v>0.19936570830266601</v>
      </c>
    </row>
    <row r="3" spans="1:36" x14ac:dyDescent="0.2">
      <c r="C3">
        <v>5</v>
      </c>
      <c r="D3" s="9">
        <v>8.0749515561685095E-2</v>
      </c>
      <c r="E3" s="9">
        <v>0.19936570830266601</v>
      </c>
      <c r="F3">
        <v>6.0000000000000001E-3</v>
      </c>
      <c r="G3">
        <v>1E-3</v>
      </c>
      <c r="H3" s="9">
        <f t="shared" ref="H3:H36" si="3">F3*2.001</f>
        <v>1.2005999999999999E-2</v>
      </c>
      <c r="I3" s="9">
        <f t="shared" ref="I3:I36" si="4">G3*2.001</f>
        <v>2.0009999999999997E-3</v>
      </c>
      <c r="J3" s="9">
        <f t="shared" si="0"/>
        <v>4989148547.6910191</v>
      </c>
      <c r="K3" s="9">
        <f t="shared" si="0"/>
        <v>38429634.079856537</v>
      </c>
      <c r="L3" s="10">
        <v>4</v>
      </c>
      <c r="M3" s="10">
        <f t="shared" si="1"/>
        <v>1.543791613735907E-2</v>
      </c>
      <c r="N3" s="10">
        <f t="shared" si="2"/>
        <v>1.1891276887091057E-4</v>
      </c>
      <c r="P3" t="s">
        <v>43</v>
      </c>
      <c r="Q3" s="7">
        <f>M17</f>
        <v>1.6556266126874369E-2</v>
      </c>
      <c r="R3" s="7">
        <f>M18</f>
        <v>1.8425515836039911E-2</v>
      </c>
      <c r="T3" t="s">
        <v>43</v>
      </c>
      <c r="U3" s="7">
        <f>N17</f>
        <v>3.1109083768528314E-3</v>
      </c>
      <c r="V3" s="7">
        <f>N18</f>
        <v>8.2282413995997188E-4</v>
      </c>
      <c r="X3" t="s">
        <v>43</v>
      </c>
      <c r="Y3" s="7">
        <f>F17</f>
        <v>7.4999999999999997E-3</v>
      </c>
      <c r="Z3" s="7">
        <f>F18</f>
        <v>4.3243496620879304E-3</v>
      </c>
      <c r="AB3" t="s">
        <v>43</v>
      </c>
      <c r="AC3" s="7">
        <f>G17</f>
        <v>3.666666666666667E-3</v>
      </c>
      <c r="AD3" s="7">
        <f>G18</f>
        <v>5.1639777949432221E-4</v>
      </c>
      <c r="AF3" t="s">
        <v>43</v>
      </c>
      <c r="AG3" s="7">
        <f>D17</f>
        <v>0.13774232897008101</v>
      </c>
      <c r="AI3" t="s">
        <v>43</v>
      </c>
      <c r="AJ3" s="7">
        <f>E17</f>
        <v>0.13889493440377901</v>
      </c>
    </row>
    <row r="4" spans="1:36" x14ac:dyDescent="0.2">
      <c r="C4">
        <v>6</v>
      </c>
      <c r="D4" s="9">
        <v>8.0749515561685095E-2</v>
      </c>
      <c r="E4" s="9">
        <v>0.19936570830266601</v>
      </c>
      <c r="F4" s="9">
        <v>7.0000000000000001E-3</v>
      </c>
      <c r="G4" s="9">
        <v>2E-3</v>
      </c>
      <c r="H4" s="9">
        <f t="shared" si="3"/>
        <v>1.4007E-2</v>
      </c>
      <c r="I4" s="9">
        <f t="shared" si="4"/>
        <v>4.0019999999999995E-3</v>
      </c>
      <c r="J4" s="9">
        <f t="shared" si="0"/>
        <v>6790785523.2461119</v>
      </c>
      <c r="K4" s="9">
        <f t="shared" si="0"/>
        <v>153718536.31942615</v>
      </c>
      <c r="L4" s="10">
        <v>4</v>
      </c>
      <c r="M4" s="10">
        <f t="shared" si="1"/>
        <v>2.1012719186960963E-2</v>
      </c>
      <c r="N4" s="10">
        <f t="shared" si="2"/>
        <v>4.7565107548364229E-4</v>
      </c>
      <c r="P4" t="s">
        <v>10</v>
      </c>
      <c r="Q4" s="7">
        <f>M23</f>
        <v>0.62633463088556107</v>
      </c>
      <c r="R4" s="7">
        <f>M24</f>
        <v>8.8374968627663534E-3</v>
      </c>
      <c r="T4" t="s">
        <v>10</v>
      </c>
      <c r="U4" s="7">
        <f>N23</f>
        <v>8.8878736274049231E-4</v>
      </c>
      <c r="V4" s="7">
        <f>N24</f>
        <v>0</v>
      </c>
      <c r="X4" t="s">
        <v>10</v>
      </c>
      <c r="Y4" s="7">
        <f>F23</f>
        <v>8.1666666666666665E-2</v>
      </c>
      <c r="Z4" s="7">
        <f>F24</f>
        <v>5.7735026918962634E-4</v>
      </c>
      <c r="AB4" t="s">
        <v>10</v>
      </c>
      <c r="AC4" s="7">
        <f>G23</f>
        <v>5.0000000000000001E-3</v>
      </c>
      <c r="AD4" s="7">
        <f>G24</f>
        <v>0</v>
      </c>
      <c r="AF4" t="s">
        <v>10</v>
      </c>
      <c r="AG4" s="7">
        <f>D23</f>
        <v>0.22153208372215097</v>
      </c>
      <c r="AI4" t="s">
        <v>10</v>
      </c>
      <c r="AJ4" s="7">
        <f>E23</f>
        <v>0.31357201209075902</v>
      </c>
    </row>
    <row r="5" spans="1:36" x14ac:dyDescent="0.2">
      <c r="C5">
        <v>7</v>
      </c>
      <c r="D5" s="9">
        <v>8.0749515561685095E-2</v>
      </c>
      <c r="E5" s="9">
        <v>0.19936570830266601</v>
      </c>
      <c r="F5" s="9">
        <v>8.9999999999999993E-3</v>
      </c>
      <c r="G5" s="9">
        <v>3.0000000000000001E-3</v>
      </c>
      <c r="H5" s="9">
        <f t="shared" si="3"/>
        <v>1.8008999999999997E-2</v>
      </c>
      <c r="I5" s="9">
        <f t="shared" si="4"/>
        <v>6.0029999999999997E-3</v>
      </c>
      <c r="J5" s="5">
        <f t="shared" si="0"/>
        <v>11225584232.304792</v>
      </c>
      <c r="K5" s="5">
        <f t="shared" si="0"/>
        <v>345866706.71870893</v>
      </c>
      <c r="L5" s="6">
        <v>4</v>
      </c>
      <c r="M5" s="6">
        <f t="shared" si="1"/>
        <v>3.4735311309057902E-2</v>
      </c>
      <c r="N5" s="6">
        <f t="shared" si="2"/>
        <v>1.0702149198381953E-3</v>
      </c>
      <c r="P5" t="s">
        <v>10</v>
      </c>
      <c r="Q5" s="7">
        <f>M30</f>
        <v>0.13764555728229966</v>
      </c>
      <c r="R5" s="7">
        <f>M31</f>
        <v>1.3878770119174291E-2</v>
      </c>
      <c r="T5" t="s">
        <v>10</v>
      </c>
      <c r="U5" s="7">
        <f>N30</f>
        <v>1.3154052968559287E-3</v>
      </c>
      <c r="V5" s="7">
        <f>N31</f>
        <v>8.5323586823087265E-4</v>
      </c>
      <c r="X5" t="s">
        <v>10</v>
      </c>
      <c r="Y5" s="7">
        <f>F30</f>
        <v>3.8249999999999999E-2</v>
      </c>
      <c r="Z5" s="7">
        <f>F31</f>
        <v>1.8929694486000928E-3</v>
      </c>
      <c r="AB5" t="s">
        <v>10</v>
      </c>
      <c r="AC5" s="7">
        <f>G30</f>
        <v>5.4999999999999997E-3</v>
      </c>
      <c r="AD5" s="7">
        <f>G31</f>
        <v>3.0000000000000018E-3</v>
      </c>
      <c r="AF5" t="s">
        <v>10</v>
      </c>
      <c r="AG5" s="7">
        <f>D30</f>
        <v>0.221532083722151</v>
      </c>
      <c r="AI5" t="s">
        <v>10</v>
      </c>
      <c r="AJ5" s="7">
        <f>E30</f>
        <v>0.31357201209075902</v>
      </c>
    </row>
    <row r="6" spans="1:36" x14ac:dyDescent="0.2">
      <c r="C6">
        <v>8</v>
      </c>
      <c r="D6" s="9">
        <v>8.0749515561685095E-2</v>
      </c>
      <c r="E6" s="9">
        <v>0.19936570830266601</v>
      </c>
      <c r="F6" s="9">
        <v>1.0999999999999999E-2</v>
      </c>
      <c r="G6" s="9">
        <v>4.0000000000000001E-3</v>
      </c>
      <c r="H6" s="9">
        <f t="shared" si="3"/>
        <v>2.2010999999999996E-2</v>
      </c>
      <c r="I6" s="9">
        <f t="shared" si="4"/>
        <v>8.003999999999999E-3</v>
      </c>
      <c r="J6" s="5">
        <f t="shared" si="0"/>
        <v>16769082618.628145</v>
      </c>
      <c r="K6" s="5">
        <f t="shared" si="0"/>
        <v>614874145.2777046</v>
      </c>
      <c r="L6" s="6">
        <v>4</v>
      </c>
      <c r="M6" s="6">
        <f t="shared" si="1"/>
        <v>5.1888551461679089E-2</v>
      </c>
      <c r="N6" s="6">
        <f t="shared" si="2"/>
        <v>1.9026043019345692E-3</v>
      </c>
      <c r="P6" t="s">
        <v>11</v>
      </c>
      <c r="Q6" s="7">
        <f>M37</f>
        <v>2.928955885587988E-4</v>
      </c>
      <c r="R6" s="7">
        <f>M38</f>
        <v>3.0831114585136719E-4</v>
      </c>
      <c r="T6" t="s">
        <v>11</v>
      </c>
      <c r="U6" s="7">
        <f>N37</f>
        <v>5.2587206253852116E-4</v>
      </c>
      <c r="V6" s="7">
        <f>N38</f>
        <v>4.8124206136971904E-4</v>
      </c>
      <c r="X6" t="s">
        <v>11</v>
      </c>
      <c r="Y6" s="7">
        <f>F37</f>
        <v>4.0000000000000001E-3</v>
      </c>
      <c r="Z6" s="7">
        <f>F38</f>
        <v>2.0000000000000005E-3</v>
      </c>
      <c r="AB6" t="s">
        <v>11</v>
      </c>
      <c r="AC6" s="7">
        <f>G37</f>
        <v>3.0000000000000001E-3</v>
      </c>
      <c r="AD6" s="7">
        <f>G38</f>
        <v>1.6329931618554519E-3</v>
      </c>
      <c r="AF6" t="s">
        <v>11</v>
      </c>
      <c r="AG6" s="7">
        <f>D37</f>
        <v>0.39363829187570698</v>
      </c>
      <c r="AI6" t="s">
        <v>11</v>
      </c>
      <c r="AJ6" s="7">
        <f>E37</f>
        <v>0.285376931681323</v>
      </c>
    </row>
    <row r="7" spans="1:36" x14ac:dyDescent="0.2">
      <c r="C7">
        <v>9</v>
      </c>
      <c r="D7" s="9">
        <v>8.0749515561685095E-2</v>
      </c>
      <c r="E7" s="9">
        <v>0.19936570830266601</v>
      </c>
      <c r="F7" s="9">
        <v>0.01</v>
      </c>
      <c r="G7" s="9">
        <v>3.0000000000000001E-3</v>
      </c>
      <c r="H7" s="9">
        <f t="shared" si="3"/>
        <v>2.001E-2</v>
      </c>
      <c r="I7" s="9">
        <f t="shared" si="4"/>
        <v>6.0029999999999997E-3</v>
      </c>
      <c r="J7" s="5">
        <f t="shared" si="0"/>
        <v>13858745965.808392</v>
      </c>
      <c r="K7" s="5">
        <f t="shared" si="0"/>
        <v>345866706.71870893</v>
      </c>
      <c r="L7" s="6">
        <v>4</v>
      </c>
      <c r="M7" s="6">
        <f t="shared" si="1"/>
        <v>4.2883100381552984E-2</v>
      </c>
      <c r="N7" s="6">
        <f t="shared" si="2"/>
        <v>1.0702149198381953E-3</v>
      </c>
    </row>
    <row r="8" spans="1:36" x14ac:dyDescent="0.2">
      <c r="C8" s="6" t="s">
        <v>42</v>
      </c>
      <c r="D8" s="6">
        <f>AVERAGE(D2:D7)</f>
        <v>8.0749515561685095E-2</v>
      </c>
      <c r="E8" s="6">
        <f>AVERAGE(E2:E7)</f>
        <v>0.19936570830266601</v>
      </c>
      <c r="F8" s="6">
        <f>AVERAGE(F2:F7)</f>
        <v>8.3333333333333332E-3</v>
      </c>
      <c r="G8" s="6">
        <f>AVERAGE(G2:G7)</f>
        <v>2.5000000000000001E-3</v>
      </c>
      <c r="H8" s="9"/>
      <c r="I8" s="9"/>
      <c r="J8" s="5"/>
      <c r="K8" s="5"/>
      <c r="L8" s="6"/>
      <c r="M8" s="6">
        <f>AVERAGE(M2:M7)</f>
        <v>3.1161719610595162E-2</v>
      </c>
      <c r="N8" s="6">
        <f>AVERAGE(N2:N7)</f>
        <v>8.5220817690819233E-4</v>
      </c>
    </row>
    <row r="9" spans="1:36" x14ac:dyDescent="0.2">
      <c r="C9" s="6" t="s">
        <v>41</v>
      </c>
      <c r="D9" s="6">
        <f>STDEV(D2:D7)</f>
        <v>0</v>
      </c>
      <c r="E9" s="6">
        <f>STDEV(E2:E7)</f>
        <v>0</v>
      </c>
      <c r="F9" s="6">
        <f>STDEV(F2:F7)</f>
        <v>1.9663841605003498E-3</v>
      </c>
      <c r="G9" s="6">
        <f>STDEV(G2:G7)</f>
        <v>1.0488088481701515E-3</v>
      </c>
      <c r="H9" s="9"/>
      <c r="I9" s="9"/>
      <c r="J9" s="5"/>
      <c r="K9" s="5"/>
      <c r="L9" s="6"/>
      <c r="M9" s="6">
        <f>STDEV(M2:M7)</f>
        <v>1.4373623748039422E-2</v>
      </c>
      <c r="N9" s="6">
        <f>STDEV(N2:N7)</f>
        <v>6.3556251558936449E-4</v>
      </c>
    </row>
    <row r="10" spans="1:36" x14ac:dyDescent="0.2">
      <c r="D10" s="5"/>
      <c r="E10" s="5"/>
      <c r="H10" s="9"/>
      <c r="I10" s="9"/>
      <c r="J10" s="5"/>
      <c r="K10" s="5"/>
      <c r="L10" s="6"/>
      <c r="M10" s="6"/>
      <c r="N10" s="6"/>
    </row>
    <row r="11" spans="1:36" x14ac:dyDescent="0.2">
      <c r="A11" t="s">
        <v>88</v>
      </c>
      <c r="B11" t="s">
        <v>9</v>
      </c>
      <c r="C11">
        <v>5</v>
      </c>
      <c r="D11" s="9">
        <v>0.13774232897008101</v>
      </c>
      <c r="E11" s="9">
        <v>0.13889493440377901</v>
      </c>
      <c r="F11">
        <v>6.0000000000000001E-3</v>
      </c>
      <c r="G11">
        <v>4.0000000000000001E-3</v>
      </c>
      <c r="H11" s="9">
        <f t="shared" si="3"/>
        <v>1.2005999999999999E-2</v>
      </c>
      <c r="I11" s="9">
        <f t="shared" si="4"/>
        <v>8.003999999999999E-3</v>
      </c>
      <c r="J11" s="5">
        <f t="shared" ref="J11:K16" si="5">(((H11^2) / ((4.135667696E-15))) * (1/(SQRT(PI()*((D11+0.3)*0.000086173*300)))) * EXP(-(D11+0.3) / (4 * 0.000086173 * 300)))</f>
        <v>2681492812.0634966</v>
      </c>
      <c r="K11" s="5">
        <f t="shared" si="5"/>
        <v>1177015978.1729727</v>
      </c>
      <c r="L11" s="6">
        <v>4</v>
      </c>
      <c r="M11" s="6">
        <f t="shared" ref="M11:M16" si="6">(((1.6E-19)*(L11*0.0000001)^2)*J11)/(2*300*0.00008618*1.6E-19)</f>
        <v>8.2973398686887762E-3</v>
      </c>
      <c r="N11" s="6">
        <f t="shared" ref="N11:N16" si="7">(((1.6E-19)*(L11*0.0000001)^2)*K11)/(2*300*0.00008618*1.6E-19)</f>
        <v>3.6420390753398998E-3</v>
      </c>
    </row>
    <row r="12" spans="1:36" x14ac:dyDescent="0.2">
      <c r="C12">
        <v>6</v>
      </c>
      <c r="D12" s="9">
        <v>0.13774232897008101</v>
      </c>
      <c r="E12" s="9">
        <v>0.13889493440377901</v>
      </c>
      <c r="F12" s="9">
        <v>4.0000000000000001E-3</v>
      </c>
      <c r="G12" s="9">
        <v>3.0000000000000001E-3</v>
      </c>
      <c r="H12" s="9">
        <f t="shared" si="3"/>
        <v>8.003999999999999E-3</v>
      </c>
      <c r="I12" s="9">
        <f t="shared" si="4"/>
        <v>6.0029999999999997E-3</v>
      </c>
      <c r="J12" s="9">
        <f t="shared" si="5"/>
        <v>1191774583.1393316</v>
      </c>
      <c r="K12" s="9">
        <f t="shared" si="5"/>
        <v>662071487.72229731</v>
      </c>
      <c r="L12" s="10">
        <v>4</v>
      </c>
      <c r="M12" s="10">
        <f>(((1.6E-19)*(L12*0.0000001)^2)*J12)/(2*300*0.00008618*1.6E-19)</f>
        <v>3.6877066083061227E-3</v>
      </c>
      <c r="N12" s="10">
        <f t="shared" si="7"/>
        <v>2.0486469798786941E-3</v>
      </c>
    </row>
    <row r="13" spans="1:36" x14ac:dyDescent="0.2">
      <c r="C13">
        <v>7</v>
      </c>
      <c r="D13" s="9">
        <v>0.13774232897008101</v>
      </c>
      <c r="E13" s="9">
        <v>0.13889493440377901</v>
      </c>
      <c r="F13" s="9">
        <v>3.0000000000000001E-3</v>
      </c>
      <c r="G13" s="9">
        <v>3.0000000000000001E-3</v>
      </c>
      <c r="H13" s="9">
        <f t="shared" si="3"/>
        <v>6.0029999999999997E-3</v>
      </c>
      <c r="I13" s="9">
        <f t="shared" si="4"/>
        <v>6.0029999999999997E-3</v>
      </c>
      <c r="J13" s="5">
        <f t="shared" si="5"/>
        <v>670373203.01587415</v>
      </c>
      <c r="K13" s="5">
        <f t="shared" si="5"/>
        <v>662071487.72229731</v>
      </c>
      <c r="L13" s="6">
        <v>4</v>
      </c>
      <c r="M13" s="6">
        <f t="shared" si="6"/>
        <v>2.0743349671721941E-3</v>
      </c>
      <c r="N13" s="6">
        <f t="shared" si="7"/>
        <v>2.0486469798786941E-3</v>
      </c>
    </row>
    <row r="14" spans="1:36" x14ac:dyDescent="0.2">
      <c r="C14">
        <v>8</v>
      </c>
      <c r="D14" s="9">
        <v>0.13774232897008101</v>
      </c>
      <c r="E14" s="9">
        <v>0.13889493440377901</v>
      </c>
      <c r="F14">
        <v>8.9999999999999993E-3</v>
      </c>
      <c r="G14">
        <v>4.0000000000000001E-3</v>
      </c>
      <c r="H14" s="9">
        <f t="shared" si="3"/>
        <v>1.8008999999999997E-2</v>
      </c>
      <c r="I14" s="9">
        <f t="shared" si="4"/>
        <v>8.003999999999999E-3</v>
      </c>
      <c r="J14" s="5">
        <f t="shared" si="5"/>
        <v>6033358827.1428671</v>
      </c>
      <c r="K14" s="5">
        <f t="shared" si="5"/>
        <v>1177015978.1729727</v>
      </c>
      <c r="L14" s="6">
        <v>4</v>
      </c>
      <c r="M14" s="6">
        <f t="shared" si="6"/>
        <v>1.866901470454975E-2</v>
      </c>
      <c r="N14" s="6">
        <f t="shared" si="7"/>
        <v>3.6420390753398998E-3</v>
      </c>
    </row>
    <row r="15" spans="1:36" x14ac:dyDescent="0.2">
      <c r="C15">
        <v>9</v>
      </c>
      <c r="D15" s="9">
        <v>0.13774232897008101</v>
      </c>
      <c r="E15" s="9">
        <v>0.13889493440377901</v>
      </c>
      <c r="F15">
        <v>1.4999999999999999E-2</v>
      </c>
      <c r="G15">
        <v>4.0000000000000001E-3</v>
      </c>
      <c r="H15" s="9">
        <f t="shared" si="3"/>
        <v>3.0014999999999997E-2</v>
      </c>
      <c r="I15" s="9">
        <f t="shared" si="4"/>
        <v>8.003999999999999E-3</v>
      </c>
      <c r="J15" s="5">
        <f t="shared" si="5"/>
        <v>16759330075.396856</v>
      </c>
      <c r="K15" s="5">
        <f t="shared" si="5"/>
        <v>1177015978.1729727</v>
      </c>
      <c r="L15" s="6">
        <v>4</v>
      </c>
      <c r="M15" s="6">
        <f t="shared" si="6"/>
        <v>5.1858374179304868E-2</v>
      </c>
      <c r="N15" s="6">
        <f t="shared" si="7"/>
        <v>3.6420390753398998E-3</v>
      </c>
    </row>
    <row r="16" spans="1:36" x14ac:dyDescent="0.2">
      <c r="C16">
        <v>10</v>
      </c>
      <c r="D16" s="9">
        <v>0.13774232897008101</v>
      </c>
      <c r="E16" s="9">
        <v>0.13889493440377901</v>
      </c>
      <c r="F16">
        <v>8.0000000000000002E-3</v>
      </c>
      <c r="G16">
        <v>4.0000000000000001E-3</v>
      </c>
      <c r="H16" s="9">
        <f t="shared" si="3"/>
        <v>1.6007999999999998E-2</v>
      </c>
      <c r="I16" s="9">
        <f t="shared" si="4"/>
        <v>8.003999999999999E-3</v>
      </c>
      <c r="J16" s="5">
        <f t="shared" si="5"/>
        <v>4767098332.5573263</v>
      </c>
      <c r="K16" s="5">
        <f t="shared" si="5"/>
        <v>1177015978.1729727</v>
      </c>
      <c r="L16" s="6">
        <v>4</v>
      </c>
      <c r="M16" s="6">
        <f t="shared" si="6"/>
        <v>1.4750826433224491E-2</v>
      </c>
      <c r="N16" s="6">
        <f t="shared" si="7"/>
        <v>3.6420390753398998E-3</v>
      </c>
    </row>
    <row r="17" spans="1:14" x14ac:dyDescent="0.2">
      <c r="C17" s="6" t="s">
        <v>42</v>
      </c>
      <c r="D17" s="6">
        <f>AVERAGE(D11:D16)</f>
        <v>0.13774232897008101</v>
      </c>
      <c r="E17" s="6">
        <f>AVERAGE(E11:E16)</f>
        <v>0.13889493440377901</v>
      </c>
      <c r="F17" s="6">
        <f>AVERAGE(F11:F16)</f>
        <v>7.4999999999999997E-3</v>
      </c>
      <c r="G17" s="6">
        <f>AVERAGE(G11:G16)</f>
        <v>3.666666666666667E-3</v>
      </c>
      <c r="H17" s="9"/>
      <c r="I17" s="9"/>
      <c r="J17" s="5"/>
      <c r="K17" s="5"/>
      <c r="L17" s="6"/>
      <c r="M17" s="6">
        <f>AVERAGE(M11:M16)</f>
        <v>1.6556266126874369E-2</v>
      </c>
      <c r="N17" s="6">
        <f>AVERAGE(N11:N16)</f>
        <v>3.1109083768528314E-3</v>
      </c>
    </row>
    <row r="18" spans="1:14" x14ac:dyDescent="0.2">
      <c r="C18" s="6" t="s">
        <v>41</v>
      </c>
      <c r="D18" s="6">
        <f>STDEV(D11:D16)</f>
        <v>0</v>
      </c>
      <c r="E18" s="6">
        <f>STDEV(E11:E16)</f>
        <v>0</v>
      </c>
      <c r="F18" s="6">
        <f>STDEV(F11:F16)</f>
        <v>4.3243496620879304E-3</v>
      </c>
      <c r="G18" s="6">
        <f>STDEV(G11:G16)</f>
        <v>5.1639777949432221E-4</v>
      </c>
      <c r="H18" s="9"/>
      <c r="I18" s="9"/>
      <c r="J18" s="5"/>
      <c r="K18" s="5"/>
      <c r="L18" s="6"/>
      <c r="M18" s="6">
        <f>STDEV(M11:M16)</f>
        <v>1.8425515836039911E-2</v>
      </c>
      <c r="N18" s="6">
        <f>STDEV(N11:N16)</f>
        <v>8.2282413995997188E-4</v>
      </c>
    </row>
    <row r="19" spans="1:14" x14ac:dyDescent="0.2">
      <c r="D19" s="5"/>
      <c r="E19" s="5"/>
      <c r="H19" s="9"/>
      <c r="I19" s="9"/>
      <c r="J19" s="5"/>
      <c r="K19" s="5"/>
      <c r="L19" s="6"/>
      <c r="M19" s="6"/>
      <c r="N19" s="6"/>
    </row>
    <row r="20" spans="1:14" x14ac:dyDescent="0.2">
      <c r="A20" t="s">
        <v>88</v>
      </c>
      <c r="B20" t="s">
        <v>70</v>
      </c>
      <c r="C20">
        <v>4</v>
      </c>
      <c r="D20" s="9">
        <v>0.221532083722151</v>
      </c>
      <c r="E20" s="9">
        <v>0.31357201209075902</v>
      </c>
      <c r="F20">
        <v>8.1000000000000003E-2</v>
      </c>
      <c r="G20">
        <v>5.0000000000000001E-3</v>
      </c>
      <c r="H20" s="9">
        <f t="shared" si="3"/>
        <v>0.162081</v>
      </c>
      <c r="I20" s="9">
        <f t="shared" si="4"/>
        <v>1.0005E-2</v>
      </c>
      <c r="J20" s="5">
        <f t="shared" ref="J20" si="8">(((H20^2) / ((4.135667696E-15))) * (1/(SQRT(PI()*((D20+0.3)*0.000086173*300)))) * EXP(-(D20+0.3) / (4 * 0.000086173 * 300)))</f>
        <v>199117802570.05219</v>
      </c>
      <c r="K20" s="5">
        <f t="shared" ref="K20" si="9">(((I20^2) / ((4.135667696E-15))) * (1/(SQRT(PI()*((E20+0.3)*0.000086173*300)))) * EXP(-(E20+0.3) / (4 * 0.000086173 * 300)))</f>
        <v>287233855.9536587</v>
      </c>
      <c r="L20" s="6">
        <v>4</v>
      </c>
      <c r="M20" s="6">
        <f t="shared" ref="M20" si="10">(((1.6E-19)*(L20*0.0000001)^2)*J20)/(2*300*0.00008618*1.6E-19)</f>
        <v>0.61612996850019985</v>
      </c>
      <c r="N20" s="6">
        <f t="shared" ref="N20" si="11">(((1.6E-19)*(L20*0.0000001)^2)*K20)/(2*300*0.00008618*1.6E-19)</f>
        <v>8.8878736274049231E-4</v>
      </c>
    </row>
    <row r="21" spans="1:14" x14ac:dyDescent="0.2">
      <c r="C21">
        <v>5</v>
      </c>
      <c r="D21" s="9">
        <v>0.221532083722151</v>
      </c>
      <c r="E21" s="9">
        <v>0.31357201209075902</v>
      </c>
      <c r="F21" s="8">
        <v>8.2000000000000003E-2</v>
      </c>
      <c r="G21" s="8">
        <v>5.0000000000000001E-3</v>
      </c>
      <c r="H21" s="9">
        <f t="shared" si="3"/>
        <v>0.16408200000000001</v>
      </c>
      <c r="I21" s="9">
        <f t="shared" si="4"/>
        <v>1.0005E-2</v>
      </c>
      <c r="J21" s="5">
        <f t="shared" ref="J21:K22" si="12">(((H21^2) / ((4.135667696E-15))) * (1/(SQRT(PI()*((D21+0.3)*0.000086173*300)))) * EXP(-(D21+0.3) / (4 * 0.000086173 * 300)))</f>
        <v>204064640219.63586</v>
      </c>
      <c r="K21" s="5">
        <f t="shared" si="12"/>
        <v>287233855.9536587</v>
      </c>
      <c r="L21" s="6">
        <v>4</v>
      </c>
      <c r="M21" s="6">
        <f t="shared" ref="M21" si="13">(((1.6E-19)*(L21*0.0000001)^2)*J21)/(2*300*0.00008618*1.6E-19)</f>
        <v>0.63143696207824174</v>
      </c>
      <c r="N21" s="6">
        <f t="shared" ref="N21:N22" si="14">(((1.6E-19)*(L21*0.0000001)^2)*K21)/(2*300*0.00008618*1.6E-19)</f>
        <v>8.8878736274049231E-4</v>
      </c>
    </row>
    <row r="22" spans="1:14" x14ac:dyDescent="0.2">
      <c r="C22">
        <v>6</v>
      </c>
      <c r="D22" s="9">
        <v>0.221532083722151</v>
      </c>
      <c r="E22" s="9">
        <v>0.31357201209075902</v>
      </c>
      <c r="F22" s="8">
        <v>8.2000000000000003E-2</v>
      </c>
      <c r="G22" s="8">
        <v>5.0000000000000001E-3</v>
      </c>
      <c r="H22" s="9">
        <f t="shared" si="3"/>
        <v>0.16408200000000001</v>
      </c>
      <c r="I22" s="9">
        <f t="shared" si="4"/>
        <v>1.0005E-2</v>
      </c>
      <c r="J22" s="9">
        <f t="shared" si="12"/>
        <v>204064640219.63586</v>
      </c>
      <c r="K22" s="9">
        <f t="shared" si="12"/>
        <v>287233855.9536587</v>
      </c>
      <c r="L22" s="10">
        <v>4</v>
      </c>
      <c r="M22" s="10">
        <f>(((1.6E-19)*(L22*0.0000001)^2)*J22)/(2*300*0.00008618*1.6E-19)</f>
        <v>0.63143696207824174</v>
      </c>
      <c r="N22" s="10">
        <f t="shared" si="14"/>
        <v>8.8878736274049231E-4</v>
      </c>
    </row>
    <row r="23" spans="1:14" x14ac:dyDescent="0.2">
      <c r="C23" s="6" t="s">
        <v>42</v>
      </c>
      <c r="D23" s="6">
        <f>AVERAGE(D20:D22)</f>
        <v>0.22153208372215097</v>
      </c>
      <c r="E23" s="6">
        <f>AVERAGE(E20:E22)</f>
        <v>0.31357201209075902</v>
      </c>
      <c r="F23" s="6">
        <f>AVERAGE(F20:F22)</f>
        <v>8.1666666666666665E-2</v>
      </c>
      <c r="G23" s="6">
        <f>AVERAGE(G20:G22)</f>
        <v>5.0000000000000001E-3</v>
      </c>
      <c r="H23" s="9"/>
      <c r="I23" s="9"/>
      <c r="J23" s="5"/>
      <c r="K23" s="5"/>
      <c r="L23" s="6"/>
      <c r="M23" s="6">
        <f>AVERAGE(M20:M22)</f>
        <v>0.62633463088556107</v>
      </c>
      <c r="N23" s="6">
        <f>AVERAGE(N20:N22)</f>
        <v>8.8878736274049231E-4</v>
      </c>
    </row>
    <row r="24" spans="1:14" x14ac:dyDescent="0.2">
      <c r="C24" s="6" t="s">
        <v>41</v>
      </c>
      <c r="D24" s="6">
        <f>STDEV(D20:D22)</f>
        <v>3.3993498887762956E-17</v>
      </c>
      <c r="E24" s="6">
        <f>STDEV(E20:E22)</f>
        <v>0</v>
      </c>
      <c r="F24" s="6">
        <f>STDEV(F20:F22)</f>
        <v>5.7735026918962634E-4</v>
      </c>
      <c r="G24" s="6">
        <f>STDEV(G20:G22)</f>
        <v>0</v>
      </c>
      <c r="H24" s="9"/>
      <c r="I24" s="9"/>
      <c r="J24" s="5"/>
      <c r="K24" s="5"/>
      <c r="L24" s="6"/>
      <c r="M24" s="6">
        <f>STDEV(M20:M22)</f>
        <v>8.8374968627663534E-3</v>
      </c>
      <c r="N24" s="6">
        <f>STDEV(N20:N22)</f>
        <v>0</v>
      </c>
    </row>
    <row r="25" spans="1:14" x14ac:dyDescent="0.2">
      <c r="D25" s="5"/>
      <c r="H25" s="9"/>
      <c r="I25" s="9"/>
      <c r="J25" s="5"/>
      <c r="K25" s="5"/>
      <c r="L25" s="6"/>
      <c r="M25" s="6"/>
      <c r="N25" s="6"/>
    </row>
    <row r="26" spans="1:14" x14ac:dyDescent="0.2">
      <c r="B26" t="s">
        <v>71</v>
      </c>
      <c r="C26">
        <v>7</v>
      </c>
      <c r="D26" s="9">
        <v>0.221532083722151</v>
      </c>
      <c r="E26" s="9">
        <v>0.31357201209075902</v>
      </c>
      <c r="F26">
        <v>3.6999999999999998E-2</v>
      </c>
      <c r="G26">
        <v>7.0000000000000001E-3</v>
      </c>
      <c r="H26" s="9">
        <f t="shared" si="3"/>
        <v>7.4036999999999992E-2</v>
      </c>
      <c r="I26" s="9">
        <f t="shared" si="4"/>
        <v>1.4007E-2</v>
      </c>
      <c r="J26" s="5">
        <f t="shared" ref="J26:J29" si="15">(((H26^2) / ((4.135667696E-15))) * (1/(SQRT(PI()*((D26+0.3)*0.000086173*300)))) * EXP(-(D26+0.3) / (4 * 0.000086173 * 300)))</f>
        <v>41547366517.05555</v>
      </c>
      <c r="K26" s="5">
        <f t="shared" ref="K26:K29" si="16">(((I26^2) / ((4.135667696E-15))) * (1/(SQRT(PI()*((E26+0.3)*0.000086173*300)))) * EXP(-(E26+0.3) / (4 * 0.000086173 * 300)))</f>
        <v>562978357.66917109</v>
      </c>
      <c r="L26" s="6">
        <v>4</v>
      </c>
      <c r="M26" s="6">
        <f t="shared" ref="M26:M29" si="17">(((1.6E-19)*(L26*0.0000001)^2)*J26)/(2*300*0.00008618*1.6E-19)</f>
        <v>0.12855996446833923</v>
      </c>
      <c r="N26" s="6">
        <f t="shared" ref="N26:N29" si="18">(((1.6E-19)*(L26*0.0000001)^2)*K26)/(2*300*0.00008618*1.6E-19)</f>
        <v>1.742023230971365E-3</v>
      </c>
    </row>
    <row r="27" spans="1:14" x14ac:dyDescent="0.2">
      <c r="C27">
        <v>8</v>
      </c>
      <c r="D27" s="9">
        <v>0.221532083722151</v>
      </c>
      <c r="E27" s="9">
        <v>0.31357201209075902</v>
      </c>
      <c r="F27">
        <v>3.7999999999999999E-2</v>
      </c>
      <c r="G27">
        <v>7.0000000000000001E-3</v>
      </c>
      <c r="H27" s="9">
        <f t="shared" si="3"/>
        <v>7.6037999999999994E-2</v>
      </c>
      <c r="I27" s="9">
        <f t="shared" si="4"/>
        <v>1.4007E-2</v>
      </c>
      <c r="J27" s="5">
        <f t="shared" si="15"/>
        <v>43823518809.808769</v>
      </c>
      <c r="K27" s="5">
        <f t="shared" si="16"/>
        <v>562978357.66917109</v>
      </c>
      <c r="L27" s="6">
        <v>4</v>
      </c>
      <c r="M27" s="6">
        <f t="shared" si="17"/>
        <v>0.13560305967295971</v>
      </c>
      <c r="N27" s="6">
        <f t="shared" si="18"/>
        <v>1.742023230971365E-3</v>
      </c>
    </row>
    <row r="28" spans="1:14" x14ac:dyDescent="0.2">
      <c r="C28">
        <v>9</v>
      </c>
      <c r="D28" s="9">
        <v>0.221532083722151</v>
      </c>
      <c r="E28" s="9">
        <v>0.31357201209075902</v>
      </c>
      <c r="F28">
        <v>4.1000000000000002E-2</v>
      </c>
      <c r="G28">
        <v>1E-3</v>
      </c>
      <c r="H28" s="9">
        <f t="shared" si="3"/>
        <v>8.2041000000000003E-2</v>
      </c>
      <c r="I28" s="9">
        <f t="shared" si="4"/>
        <v>2.0009999999999997E-3</v>
      </c>
      <c r="J28" s="5">
        <f t="shared" si="15"/>
        <v>51016160054.908966</v>
      </c>
      <c r="K28" s="5">
        <f t="shared" si="16"/>
        <v>11489354.238146342</v>
      </c>
      <c r="L28" s="6">
        <v>4</v>
      </c>
      <c r="M28" s="6">
        <f t="shared" si="17"/>
        <v>0.15785924051956043</v>
      </c>
      <c r="N28" s="6">
        <f t="shared" si="18"/>
        <v>3.5551494509619674E-5</v>
      </c>
    </row>
    <row r="29" spans="1:14" x14ac:dyDescent="0.2">
      <c r="C29">
        <v>10</v>
      </c>
      <c r="D29" s="9">
        <v>0.221532083722151</v>
      </c>
      <c r="E29" s="9">
        <v>0.31357201209075902</v>
      </c>
      <c r="F29">
        <v>3.6999999999999998E-2</v>
      </c>
      <c r="G29">
        <v>7.0000000000000001E-3</v>
      </c>
      <c r="H29" s="9">
        <f t="shared" si="3"/>
        <v>7.4036999999999992E-2</v>
      </c>
      <c r="I29" s="9">
        <f t="shared" si="4"/>
        <v>1.4007E-2</v>
      </c>
      <c r="J29" s="5">
        <f t="shared" si="15"/>
        <v>41547366517.05555</v>
      </c>
      <c r="K29" s="5">
        <f t="shared" si="16"/>
        <v>562978357.66917109</v>
      </c>
      <c r="L29" s="6">
        <v>4</v>
      </c>
      <c r="M29" s="6">
        <f t="shared" si="17"/>
        <v>0.12855996446833923</v>
      </c>
      <c r="N29" s="6">
        <f t="shared" si="18"/>
        <v>1.742023230971365E-3</v>
      </c>
    </row>
    <row r="30" spans="1:14" x14ac:dyDescent="0.2">
      <c r="C30" s="6" t="s">
        <v>42</v>
      </c>
      <c r="D30" s="6">
        <f>AVERAGE(D26:D29)</f>
        <v>0.221532083722151</v>
      </c>
      <c r="E30" s="6">
        <f t="shared" ref="E30:N30" si="19">AVERAGE(E26:E29)</f>
        <v>0.31357201209075902</v>
      </c>
      <c r="F30" s="6">
        <f t="shared" si="19"/>
        <v>3.8249999999999999E-2</v>
      </c>
      <c r="G30" s="6">
        <f t="shared" si="19"/>
        <v>5.4999999999999997E-3</v>
      </c>
      <c r="H30" s="9"/>
      <c r="I30" s="9"/>
      <c r="J30" s="6"/>
      <c r="K30" s="6"/>
      <c r="L30" s="6"/>
      <c r="M30" s="6">
        <f t="shared" si="19"/>
        <v>0.13764555728229966</v>
      </c>
      <c r="N30" s="6">
        <f t="shared" si="19"/>
        <v>1.3154052968559287E-3</v>
      </c>
    </row>
    <row r="31" spans="1:14" x14ac:dyDescent="0.2">
      <c r="C31" s="6" t="s">
        <v>41</v>
      </c>
      <c r="D31" s="6">
        <f>STDEV(D26:D29)</f>
        <v>0</v>
      </c>
      <c r="E31" s="6">
        <f t="shared" ref="E31:N31" si="20">STDEV(E26:E29)</f>
        <v>0</v>
      </c>
      <c r="F31" s="6">
        <f t="shared" si="20"/>
        <v>1.8929694486000928E-3</v>
      </c>
      <c r="G31" s="6">
        <f t="shared" si="20"/>
        <v>3.0000000000000018E-3</v>
      </c>
      <c r="H31" s="9"/>
      <c r="I31" s="9"/>
      <c r="J31" s="6"/>
      <c r="K31" s="6"/>
      <c r="L31" s="6"/>
      <c r="M31" s="6">
        <f t="shared" si="20"/>
        <v>1.3878770119174291E-2</v>
      </c>
      <c r="N31" s="6">
        <f t="shared" si="20"/>
        <v>8.5323586823087265E-4</v>
      </c>
    </row>
    <row r="32" spans="1:14" x14ac:dyDescent="0.2">
      <c r="D32" s="5"/>
      <c r="H32" s="9"/>
      <c r="I32" s="9"/>
      <c r="J32" s="5"/>
      <c r="K32" s="5"/>
      <c r="L32" s="6"/>
      <c r="M32" s="6"/>
      <c r="N32" s="6"/>
    </row>
    <row r="33" spans="1:14" x14ac:dyDescent="0.2">
      <c r="A33" t="s">
        <v>88</v>
      </c>
      <c r="B33" t="s">
        <v>11</v>
      </c>
      <c r="C33">
        <v>4</v>
      </c>
      <c r="D33" s="9">
        <v>0.39363829187570698</v>
      </c>
      <c r="E33" s="9">
        <v>0.285376931681323</v>
      </c>
      <c r="F33">
        <v>3.0000000000000001E-3</v>
      </c>
      <c r="G33">
        <v>5.0000000000000001E-3</v>
      </c>
      <c r="H33" s="9">
        <f t="shared" si="3"/>
        <v>6.0029999999999997E-3</v>
      </c>
      <c r="I33" s="9">
        <f t="shared" si="4"/>
        <v>1.0005E-2</v>
      </c>
      <c r="J33" s="5">
        <f>(((H33^2) / ((4.135667696E-15))) * (1/(SQRT(PI()*((D33+0.3)*0.000086173*300)))) * EXP(-(D33+0.3) / (4 * 0.000086173 * 300)))</f>
        <v>44837304.55223202</v>
      </c>
      <c r="K33" s="5">
        <f>(((I33^2) / ((4.135667696E-15))) * (1/(SQRT(PI()*((E33+0.3)*0.000086173*300)))) * EXP(-(E33+0.3) / (4 * 0.000086173 * 300)))</f>
        <v>386247054.11565155</v>
      </c>
      <c r="L33" s="6">
        <v>4</v>
      </c>
      <c r="M33" s="6">
        <f t="shared" ref="M33:M36" si="21">(((1.6E-19)*(L33*0.0000001)^2)*J33)/(2*300*0.00008618*1.6E-19)</f>
        <v>1.3874001563311521E-4</v>
      </c>
      <c r="N33" s="6">
        <f>(((1.6E-19)*(L33*0.0000001)^2)*K33)/(2*300*0.00008618*1.6E-19)</f>
        <v>1.1951637784966393E-3</v>
      </c>
    </row>
    <row r="34" spans="1:14" x14ac:dyDescent="0.2">
      <c r="C34">
        <v>5</v>
      </c>
      <c r="D34" s="9">
        <v>0.39363829187570698</v>
      </c>
      <c r="E34" s="9">
        <v>0.285376931681323</v>
      </c>
      <c r="F34">
        <v>7.0000000000000001E-3</v>
      </c>
      <c r="G34">
        <v>1E-3</v>
      </c>
      <c r="H34" s="9">
        <f t="shared" si="3"/>
        <v>1.4007E-2</v>
      </c>
      <c r="I34" s="9">
        <f t="shared" si="4"/>
        <v>2.0009999999999997E-3</v>
      </c>
      <c r="J34" s="5">
        <f>(((H34^2) / ((4.135667696E-15))) * (1/(SQRT(PI()*((D34+0.3)*0.000086173*300)))) * EXP(-(D34+0.3) / (4 * 0.000086173 * 300)))</f>
        <v>244114213.67326328</v>
      </c>
      <c r="K34" s="5">
        <f>(((I34^2) / ((4.135667696E-15))) * (1/(SQRT(PI()*((E34+0.3)*0.000086173*300)))) * EXP(-(E34+0.3) / (4 * 0.000086173 * 300)))</f>
        <v>15449882.164626054</v>
      </c>
      <c r="L34" s="6">
        <v>4</v>
      </c>
      <c r="M34" s="6">
        <f t="shared" si="21"/>
        <v>7.5536230733584957E-4</v>
      </c>
      <c r="N34" s="6">
        <f>(((1.6E-19)*(L34*0.0000001)^2)*K34)/(2*300*0.00008618*1.6E-19)</f>
        <v>4.7806551139865546E-5</v>
      </c>
    </row>
    <row r="35" spans="1:14" x14ac:dyDescent="0.2">
      <c r="C35">
        <v>6</v>
      </c>
      <c r="D35" s="9">
        <v>0.39363829187570698</v>
      </c>
      <c r="E35" s="9">
        <v>0.285376931681323</v>
      </c>
      <c r="F35" s="8">
        <v>3.0000000000000001E-3</v>
      </c>
      <c r="G35" s="8">
        <v>3.0000000000000001E-3</v>
      </c>
      <c r="H35" s="9">
        <f t="shared" si="3"/>
        <v>6.0029999999999997E-3</v>
      </c>
      <c r="I35" s="9">
        <f t="shared" si="4"/>
        <v>6.0029999999999997E-3</v>
      </c>
      <c r="J35" s="9">
        <f t="shared" ref="J35" si="22">(((H35^2) / ((4.135667696E-15))) * (1/(SQRT(PI()*((D35+0.3)*0.000086173*300)))) * EXP(-(D35+0.3) / (4 * 0.000086173 * 300)))</f>
        <v>44837304.55223202</v>
      </c>
      <c r="K35" s="9">
        <f t="shared" ref="K35" si="23">(((I35^2) / ((4.135667696E-15))) * (1/(SQRT(PI()*((E35+0.3)*0.000086173*300)))) * EXP(-(E35+0.3) / (4 * 0.000086173 * 300)))</f>
        <v>139048939.4816345</v>
      </c>
      <c r="L35" s="10">
        <v>4</v>
      </c>
      <c r="M35" s="10">
        <f>(((1.6E-19)*(L35*0.0000001)^2)*J35)/(2*300*0.00008618*1.6E-19)</f>
        <v>1.3874001563311521E-4</v>
      </c>
      <c r="N35" s="10">
        <f t="shared" ref="N35" si="24">(((1.6E-19)*(L35*0.0000001)^2)*K35)/(2*300*0.00008618*1.6E-19)</f>
        <v>4.3025896025878995E-4</v>
      </c>
    </row>
    <row r="36" spans="1:14" x14ac:dyDescent="0.2">
      <c r="C36">
        <v>7</v>
      </c>
      <c r="D36" s="9">
        <v>0.39363829187570698</v>
      </c>
      <c r="E36" s="9">
        <v>0.285376931681323</v>
      </c>
      <c r="F36" s="8">
        <v>3.0000000000000001E-3</v>
      </c>
      <c r="G36" s="8">
        <v>3.0000000000000001E-3</v>
      </c>
      <c r="H36" s="9">
        <f t="shared" si="3"/>
        <v>6.0029999999999997E-3</v>
      </c>
      <c r="I36" s="9">
        <f t="shared" si="4"/>
        <v>6.0029999999999997E-3</v>
      </c>
      <c r="J36" s="5">
        <f>(((H36^2) / ((4.135667696E-15))) * (1/(SQRT(PI()*((D36+0.3)*0.000086173*300)))) * EXP(-(D36+0.3) / (4 * 0.000086173 * 300)))</f>
        <v>44837304.55223202</v>
      </c>
      <c r="K36" s="5">
        <f>(((I36^2) / ((4.135667696E-15))) * (1/(SQRT(PI()*((E36+0.3)*0.000086173*300)))) * EXP(-(E36+0.3) / (4 * 0.000086173 * 300)))</f>
        <v>139048939.4816345</v>
      </c>
      <c r="L36" s="6">
        <v>4</v>
      </c>
      <c r="M36" s="6">
        <f t="shared" si="21"/>
        <v>1.3874001563311521E-4</v>
      </c>
      <c r="N36" s="6">
        <f>(((1.6E-19)*(L36*0.0000001)^2)*K36)/(2*300*0.00008618*1.6E-19)</f>
        <v>4.3025896025878995E-4</v>
      </c>
    </row>
    <row r="37" spans="1:14" x14ac:dyDescent="0.2">
      <c r="C37" s="6" t="s">
        <v>42</v>
      </c>
      <c r="D37" s="6">
        <f>AVERAGE(D33:D36)</f>
        <v>0.39363829187570698</v>
      </c>
      <c r="E37" s="6">
        <f t="shared" ref="E37:N37" si="25">AVERAGE(E33:E36)</f>
        <v>0.285376931681323</v>
      </c>
      <c r="F37" s="6">
        <f t="shared" si="25"/>
        <v>4.0000000000000001E-3</v>
      </c>
      <c r="G37" s="6">
        <f t="shared" si="25"/>
        <v>3.0000000000000001E-3</v>
      </c>
      <c r="H37" s="6"/>
      <c r="I37" s="6"/>
      <c r="J37" s="6"/>
      <c r="K37" s="6"/>
      <c r="L37" s="6"/>
      <c r="M37" s="6">
        <f t="shared" si="25"/>
        <v>2.928955885587988E-4</v>
      </c>
      <c r="N37" s="6">
        <f t="shared" si="25"/>
        <v>5.2587206253852116E-4</v>
      </c>
    </row>
    <row r="38" spans="1:14" x14ac:dyDescent="0.2">
      <c r="C38" s="6" t="s">
        <v>41</v>
      </c>
      <c r="D38" s="6">
        <f>STDEV(D33:D36)</f>
        <v>0</v>
      </c>
      <c r="E38" s="6">
        <f t="shared" ref="E38:N38" si="26">STDEV(E33:E36)</f>
        <v>0</v>
      </c>
      <c r="F38" s="6">
        <f t="shared" si="26"/>
        <v>2.0000000000000005E-3</v>
      </c>
      <c r="G38" s="6">
        <f t="shared" si="26"/>
        <v>1.6329931618554519E-3</v>
      </c>
      <c r="H38" s="6"/>
      <c r="I38" s="6"/>
      <c r="J38" s="6"/>
      <c r="K38" s="6"/>
      <c r="L38" s="6"/>
      <c r="M38" s="6">
        <f t="shared" si="26"/>
        <v>3.0831114585136719E-4</v>
      </c>
      <c r="N38" s="6">
        <f t="shared" si="26"/>
        <v>4.8124206136971904E-4</v>
      </c>
    </row>
    <row r="39" spans="1:14" x14ac:dyDescent="0.2">
      <c r="A39" s="8"/>
      <c r="B39" s="8"/>
      <c r="C39" s="9"/>
      <c r="D39" s="9"/>
      <c r="E39" s="8"/>
      <c r="F39" s="8"/>
      <c r="G39" s="9"/>
      <c r="H39" s="9"/>
      <c r="I39" s="9"/>
      <c r="J39" s="9"/>
      <c r="K39" s="10"/>
      <c r="L39" s="10"/>
      <c r="M39" s="10"/>
    </row>
    <row r="40" spans="1:14" x14ac:dyDescent="0.2">
      <c r="A40" s="8"/>
      <c r="B40" s="8"/>
      <c r="C40" s="9"/>
      <c r="D40" s="9"/>
      <c r="E40" s="8"/>
      <c r="F40" s="8"/>
      <c r="G40" s="9"/>
      <c r="H40" s="9"/>
      <c r="I40" s="9"/>
      <c r="J40" s="9"/>
      <c r="K40" s="10"/>
      <c r="L40" s="10"/>
      <c r="M40" s="10"/>
    </row>
    <row r="45" spans="1:14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4" x14ac:dyDescent="0.2">
      <c r="A46" s="8"/>
      <c r="B46" s="8"/>
      <c r="C46" s="9"/>
      <c r="D46" s="9"/>
      <c r="E46" s="9"/>
      <c r="F46" s="9"/>
      <c r="G46" s="9"/>
      <c r="H46" s="9"/>
      <c r="I46" s="9"/>
      <c r="J46" s="9"/>
      <c r="K46" s="10"/>
      <c r="L46" s="10"/>
      <c r="M46" s="10"/>
    </row>
    <row r="47" spans="1:14" x14ac:dyDescent="0.2">
      <c r="A47" s="8"/>
      <c r="B47" s="8"/>
      <c r="C47" s="9"/>
      <c r="D47" s="9"/>
      <c r="E47" s="9"/>
      <c r="F47" s="9"/>
      <c r="G47" s="9"/>
      <c r="H47" s="9"/>
      <c r="I47" s="9"/>
      <c r="J47" s="9"/>
      <c r="K47" s="10"/>
      <c r="L47" s="10"/>
      <c r="M47" s="10"/>
    </row>
    <row r="48" spans="1:14" x14ac:dyDescent="0.2">
      <c r="A48" s="8"/>
      <c r="B48" s="8"/>
      <c r="C48" s="9"/>
      <c r="D48" s="9"/>
      <c r="E48" s="8"/>
      <c r="F48" s="8"/>
      <c r="G48" s="9"/>
      <c r="H48" s="9"/>
      <c r="I48" s="9"/>
      <c r="J48" s="9"/>
      <c r="K48" s="10"/>
      <c r="L48" s="10"/>
      <c r="M48" s="10"/>
    </row>
    <row r="49" spans="1:13" x14ac:dyDescent="0.2">
      <c r="A49" s="8"/>
      <c r="B49" s="8"/>
      <c r="C49" s="9"/>
      <c r="D49" s="9"/>
      <c r="E49" s="8"/>
      <c r="F49" s="8"/>
      <c r="G49" s="9"/>
      <c r="H49" s="9"/>
      <c r="I49" s="9"/>
      <c r="J49" s="9"/>
      <c r="K49" s="10"/>
      <c r="L49" s="10"/>
      <c r="M49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CBB2-4DD2-A047-BD37-8B8A12BA28CE}">
  <dimension ref="A1:AJ39"/>
  <sheetViews>
    <sheetView workbookViewId="0">
      <selection activeCell="H6" sqref="H6"/>
    </sheetView>
  </sheetViews>
  <sheetFormatPr baseColWidth="10" defaultColWidth="11" defaultRowHeight="16" x14ac:dyDescent="0.2"/>
  <cols>
    <col min="3" max="3" width="26.5" customWidth="1"/>
    <col min="8" max="8" width="14.6640625" customWidth="1"/>
    <col min="9" max="9" width="14.83203125" customWidth="1"/>
    <col min="10" max="10" width="20.33203125" customWidth="1"/>
    <col min="11" max="11" width="20" customWidth="1"/>
    <col min="12" max="12" width="15.33203125" customWidth="1"/>
  </cols>
  <sheetData>
    <row r="1" spans="1:36" x14ac:dyDescent="0.2">
      <c r="A1" t="s">
        <v>5</v>
      </c>
      <c r="B1" t="s">
        <v>0</v>
      </c>
      <c r="C1" t="s">
        <v>40</v>
      </c>
      <c r="D1" t="s">
        <v>4</v>
      </c>
      <c r="E1" t="s">
        <v>3</v>
      </c>
      <c r="F1" t="s">
        <v>1</v>
      </c>
      <c r="G1" t="s">
        <v>2</v>
      </c>
      <c r="H1" t="s">
        <v>19</v>
      </c>
      <c r="I1" t="s">
        <v>20</v>
      </c>
      <c r="J1" t="s">
        <v>12</v>
      </c>
      <c r="K1" t="s">
        <v>13</v>
      </c>
      <c r="L1" t="s">
        <v>14</v>
      </c>
      <c r="M1" t="s">
        <v>6</v>
      </c>
      <c r="N1" t="s">
        <v>7</v>
      </c>
      <c r="O1" t="s">
        <v>98</v>
      </c>
      <c r="P1" t="s">
        <v>44</v>
      </c>
      <c r="Q1" t="s">
        <v>72</v>
      </c>
      <c r="R1" t="s">
        <v>73</v>
      </c>
      <c r="T1" t="s">
        <v>45</v>
      </c>
      <c r="U1" t="s">
        <v>74</v>
      </c>
      <c r="V1" t="s">
        <v>75</v>
      </c>
      <c r="X1" t="s">
        <v>46</v>
      </c>
      <c r="Y1" t="s">
        <v>50</v>
      </c>
      <c r="Z1" t="s">
        <v>51</v>
      </c>
      <c r="AB1" t="s">
        <v>47</v>
      </c>
      <c r="AC1" t="s">
        <v>52</v>
      </c>
      <c r="AD1" t="s">
        <v>53</v>
      </c>
      <c r="AF1" t="s">
        <v>48</v>
      </c>
      <c r="AG1" t="s">
        <v>54</v>
      </c>
      <c r="AI1" t="s">
        <v>49</v>
      </c>
      <c r="AJ1" t="s">
        <v>55</v>
      </c>
    </row>
    <row r="2" spans="1:36" x14ac:dyDescent="0.2">
      <c r="A2" t="s">
        <v>15</v>
      </c>
      <c r="B2" t="s">
        <v>8</v>
      </c>
      <c r="C2">
        <v>6</v>
      </c>
      <c r="D2" s="5">
        <v>0.312452813521989</v>
      </c>
      <c r="E2" s="5">
        <v>0.31975021939648701</v>
      </c>
      <c r="F2">
        <v>3.0000000000000001E-3</v>
      </c>
      <c r="G2">
        <v>3.0000000000000001E-3</v>
      </c>
      <c r="H2" s="5">
        <f>F2*2.001</f>
        <v>6.0029999999999997E-3</v>
      </c>
      <c r="I2" s="5">
        <f>G2*2.001</f>
        <v>6.0029999999999997E-3</v>
      </c>
      <c r="J2" s="5">
        <f t="shared" ref="J2:K5" si="0">(((H2^2) / ((4.135667696E-15))) * (1/(SQRT(PI()*((D2+0.3)*0.000086173*300)))) * EXP(-(D2+0.3) / (4 * 0.000086173 * 300)))</f>
        <v>104624893.27653733</v>
      </c>
      <c r="K2" s="5">
        <f t="shared" si="0"/>
        <v>96920384.047233835</v>
      </c>
      <c r="L2" s="6">
        <v>4</v>
      </c>
      <c r="M2" s="6">
        <f>(((1.6E-19)*(L2*0.0000001)^2)*J2)/(2*300*0.00008618*1.6E-19)</f>
        <v>3.2374067695996686E-4</v>
      </c>
      <c r="N2" s="6">
        <f>(((1.6E-19)*(L2*0.0000001)^2)*K2)/(2*300*0.00008618*1.6E-19)</f>
        <v>2.9990062364735454E-4</v>
      </c>
      <c r="O2" s="4"/>
      <c r="P2" t="s">
        <v>96</v>
      </c>
      <c r="Q2" s="7">
        <f>M6</f>
        <v>2.6978389746663904E-4</v>
      </c>
      <c r="R2" s="7">
        <f>M7</f>
        <v>2.3587884299787728E-4</v>
      </c>
      <c r="T2" t="s">
        <v>96</v>
      </c>
      <c r="U2" s="7">
        <f>N6</f>
        <v>4.1652864395465912E-4</v>
      </c>
      <c r="V2" s="7">
        <f>N7</f>
        <v>5.3350365854813492E-4</v>
      </c>
      <c r="X2" t="s">
        <v>96</v>
      </c>
      <c r="Y2" s="7">
        <f>F6</f>
        <v>2.5000000000000001E-3</v>
      </c>
      <c r="Z2" s="7">
        <f>F7</f>
        <v>1.2909944487358056E-3</v>
      </c>
      <c r="AB2" t="s">
        <v>96</v>
      </c>
      <c r="AC2" s="7">
        <f>G6</f>
        <v>3.0000000000000001E-3</v>
      </c>
      <c r="AD2" s="7">
        <f>G7</f>
        <v>2.160246899469287E-3</v>
      </c>
      <c r="AF2" t="s">
        <v>96</v>
      </c>
      <c r="AG2" s="7">
        <f>D6</f>
        <v>0.312452813521989</v>
      </c>
      <c r="AI2" t="s">
        <v>96</v>
      </c>
      <c r="AJ2" s="7">
        <f>E6</f>
        <v>0.31975021939648701</v>
      </c>
    </row>
    <row r="3" spans="1:36" x14ac:dyDescent="0.2">
      <c r="C3">
        <v>7</v>
      </c>
      <c r="D3" s="5">
        <v>0.312452813521989</v>
      </c>
      <c r="E3" s="5">
        <v>0.31975021939648701</v>
      </c>
      <c r="F3">
        <v>1E-3</v>
      </c>
      <c r="G3">
        <v>1E-3</v>
      </c>
      <c r="H3" s="5">
        <f t="shared" ref="H3:H37" si="1">F3*2.001</f>
        <v>2.0009999999999997E-3</v>
      </c>
      <c r="I3" s="5">
        <f t="shared" ref="I3:I37" si="2">G3*2.001</f>
        <v>2.0009999999999997E-3</v>
      </c>
      <c r="J3" s="5">
        <f t="shared" si="0"/>
        <v>11624988.14183748</v>
      </c>
      <c r="K3" s="5">
        <f t="shared" si="0"/>
        <v>10768931.560803758</v>
      </c>
      <c r="L3" s="6">
        <v>4</v>
      </c>
      <c r="M3" s="6">
        <f>(((1.6E-19)*(L3*0.0000001)^2)*J3)/(2*300*0.00008618*1.6E-19)</f>
        <v>3.5971186328885201E-5</v>
      </c>
      <c r="N3" s="6">
        <f>(((1.6E-19)*(L3*0.0000001)^2)*K3)/(2*300*0.00008618*1.6E-19)</f>
        <v>3.3322291516372725E-5</v>
      </c>
      <c r="O3" s="4"/>
      <c r="P3" t="s">
        <v>43</v>
      </c>
      <c r="Q3" s="7">
        <f>M12</f>
        <v>3.2315610053352774E-4</v>
      </c>
      <c r="R3" s="7">
        <f>M13</f>
        <v>2.7986139244995302E-4</v>
      </c>
      <c r="T3" t="s">
        <v>43</v>
      </c>
      <c r="U3" s="7">
        <f>N12</f>
        <v>7.3888860434514828E-3</v>
      </c>
      <c r="V3" s="7">
        <f>N13</f>
        <v>1.0409796299335281E-3</v>
      </c>
      <c r="X3" t="s">
        <v>43</v>
      </c>
      <c r="Y3" s="7">
        <f>F12</f>
        <v>4.0000000000000001E-3</v>
      </c>
      <c r="Z3" s="7">
        <f>F13</f>
        <v>2E-3</v>
      </c>
      <c r="AB3" t="s">
        <v>43</v>
      </c>
      <c r="AC3" s="7">
        <f>G12</f>
        <v>8.3333333333333332E-3</v>
      </c>
      <c r="AD3" s="7">
        <f>G13</f>
        <v>5.7735026918962525E-4</v>
      </c>
      <c r="AF3" t="s">
        <v>43</v>
      </c>
      <c r="AG3" s="7">
        <f>D12</f>
        <v>0.38247959114353097</v>
      </c>
      <c r="AI3" t="s">
        <v>43</v>
      </c>
      <c r="AJ3" s="7">
        <f>E12</f>
        <v>0.21009438673703898</v>
      </c>
    </row>
    <row r="4" spans="1:36" x14ac:dyDescent="0.2">
      <c r="C4">
        <v>8</v>
      </c>
      <c r="D4" s="5">
        <v>0.312452813521989</v>
      </c>
      <c r="E4" s="5">
        <v>0.31975021939648701</v>
      </c>
      <c r="F4">
        <v>4.0000000000000001E-3</v>
      </c>
      <c r="G4">
        <v>6.0000000000000001E-3</v>
      </c>
      <c r="H4" s="5">
        <f t="shared" si="1"/>
        <v>8.003999999999999E-3</v>
      </c>
      <c r="I4" s="5">
        <f t="shared" si="2"/>
        <v>1.2005999999999999E-2</v>
      </c>
      <c r="J4" s="5">
        <f t="shared" si="0"/>
        <v>185999810.26939967</v>
      </c>
      <c r="K4" s="5">
        <f t="shared" si="0"/>
        <v>387681536.18893534</v>
      </c>
      <c r="L4" s="6">
        <v>4</v>
      </c>
      <c r="M4" s="6">
        <f>(((1.6E-19)*(L4*0.0000001)^2)*J4)/(2*300*0.00008618*1.6E-19)</f>
        <v>5.7553898126216322E-4</v>
      </c>
      <c r="N4" s="6">
        <f>(((1.6E-19)*(L4*0.0000001)^2)*K4)/(2*300*0.00008618*1.6E-19)</f>
        <v>1.1996024945894182E-3</v>
      </c>
      <c r="O4" s="4"/>
      <c r="P4" t="s">
        <v>43</v>
      </c>
      <c r="Q4" s="7">
        <f>M19</f>
        <v>2.1942876290691775E-3</v>
      </c>
      <c r="R4" s="7">
        <f>M20</f>
        <v>1.9908724050726268E-4</v>
      </c>
      <c r="T4" t="s">
        <v>43</v>
      </c>
      <c r="U4" s="7">
        <f>N19</f>
        <v>2.9882564249891705E-2</v>
      </c>
      <c r="V4" s="7">
        <f>N20</f>
        <v>1.4314476800474814E-2</v>
      </c>
      <c r="X4" t="s">
        <v>43</v>
      </c>
      <c r="Y4" s="7">
        <f>F19</f>
        <v>1.125E-2</v>
      </c>
      <c r="Z4" s="7">
        <f>F20</f>
        <v>5.0000000000000044E-4</v>
      </c>
      <c r="AB4" t="s">
        <v>43</v>
      </c>
      <c r="AC4" s="7">
        <f>G19</f>
        <v>1.6250000000000001E-2</v>
      </c>
      <c r="AD4" s="7">
        <f>G20</f>
        <v>4.8562674281111499E-3</v>
      </c>
      <c r="AF4" t="s">
        <v>43</v>
      </c>
      <c r="AG4" s="7">
        <f>D19</f>
        <v>0.38247959114353097</v>
      </c>
      <c r="AI4" t="s">
        <v>43</v>
      </c>
      <c r="AJ4" s="7">
        <f>E19</f>
        <v>0.21009438673703901</v>
      </c>
    </row>
    <row r="5" spans="1:36" x14ac:dyDescent="0.2">
      <c r="C5">
        <v>9</v>
      </c>
      <c r="D5" s="5">
        <v>0.312452813521989</v>
      </c>
      <c r="E5" s="5">
        <v>0.31975021939648701</v>
      </c>
      <c r="F5">
        <v>2E-3</v>
      </c>
      <c r="G5">
        <v>2E-3</v>
      </c>
      <c r="H5" s="5">
        <f t="shared" si="1"/>
        <v>4.0019999999999995E-3</v>
      </c>
      <c r="I5" s="5">
        <f t="shared" si="2"/>
        <v>4.0019999999999995E-3</v>
      </c>
      <c r="J5" s="5">
        <f t="shared" si="0"/>
        <v>46499952.567349918</v>
      </c>
      <c r="K5" s="5">
        <f t="shared" si="0"/>
        <v>43075726.243215032</v>
      </c>
      <c r="L5" s="6">
        <v>4</v>
      </c>
      <c r="M5" s="6">
        <f>(((1.6E-19)*(L5*0.0000001)^2)*J5)/(2*300*0.00008618*1.6E-19)</f>
        <v>1.438847453155408E-4</v>
      </c>
      <c r="N5" s="6">
        <f>(((1.6E-19)*(L5*0.0000001)^2)*K5)/(2*300*0.00008618*1.6E-19)</f>
        <v>1.332891660654909E-4</v>
      </c>
      <c r="O5" s="4"/>
      <c r="P5" t="s">
        <v>10</v>
      </c>
      <c r="Q5" s="7">
        <f>M28</f>
        <v>9.5525788632589619E-4</v>
      </c>
      <c r="R5" s="7">
        <f>M29</f>
        <v>6.0086078278871345E-4</v>
      </c>
      <c r="T5" t="s">
        <v>10</v>
      </c>
      <c r="U5" s="7">
        <f>N28</f>
        <v>7.1098428389251678E-2</v>
      </c>
      <c r="V5" s="7">
        <f>N29</f>
        <v>2.3187969412900963E-2</v>
      </c>
      <c r="X5" t="s">
        <v>10</v>
      </c>
      <c r="Y5" s="7">
        <f>F28</f>
        <v>0.01</v>
      </c>
      <c r="Z5" s="7">
        <f>F29</f>
        <v>3.949683531626301E-3</v>
      </c>
      <c r="AB5" t="s">
        <v>10</v>
      </c>
      <c r="AC5" s="7">
        <f>G28</f>
        <v>4.1499999999999995E-2</v>
      </c>
      <c r="AD5" s="7">
        <f>G29</f>
        <v>8.2158383625775249E-3</v>
      </c>
      <c r="AF5" t="s">
        <v>10</v>
      </c>
      <c r="AG5" s="7">
        <f>D28</f>
        <v>0.45161354186042996</v>
      </c>
      <c r="AI5" t="s">
        <v>10</v>
      </c>
      <c r="AJ5" s="7">
        <f>E28</f>
        <v>0.30239179587576298</v>
      </c>
    </row>
    <row r="6" spans="1:36" x14ac:dyDescent="0.2">
      <c r="C6" s="6" t="s">
        <v>42</v>
      </c>
      <c r="D6" s="6">
        <f>AVERAGE(D2:D5)</f>
        <v>0.312452813521989</v>
      </c>
      <c r="E6" s="6">
        <f>AVERAGE(E2:E5)</f>
        <v>0.31975021939648701</v>
      </c>
      <c r="F6" s="6">
        <f>AVERAGE(F2:F5)</f>
        <v>2.5000000000000001E-3</v>
      </c>
      <c r="G6" s="6">
        <f>AVERAGE(G2:G5)</f>
        <v>3.0000000000000001E-3</v>
      </c>
      <c r="H6" s="5"/>
      <c r="I6" s="5"/>
      <c r="J6" s="6"/>
      <c r="K6" s="6"/>
      <c r="L6" s="6"/>
      <c r="M6" s="6">
        <f t="shared" ref="M6:N6" si="3">AVERAGE(M2:M5)</f>
        <v>2.6978389746663904E-4</v>
      </c>
      <c r="N6" s="6">
        <f t="shared" si="3"/>
        <v>4.1652864395465912E-4</v>
      </c>
      <c r="O6" s="4"/>
      <c r="P6" t="s">
        <v>11</v>
      </c>
      <c r="Q6" s="7">
        <f>M34</f>
        <v>1.1448970455810203E-3</v>
      </c>
      <c r="R6" s="7">
        <f>M35</f>
        <v>1.1711795101315493E-3</v>
      </c>
      <c r="T6" t="s">
        <v>11</v>
      </c>
      <c r="U6" s="7">
        <f>N34</f>
        <v>2.1818709681395754E-2</v>
      </c>
      <c r="V6" s="7">
        <f>N35</f>
        <v>1.102853513339659E-3</v>
      </c>
      <c r="X6" t="s">
        <v>11</v>
      </c>
      <c r="Y6" s="7">
        <f>F34</f>
        <v>1.6333333333333332E-2</v>
      </c>
      <c r="Z6" s="7">
        <f>F35</f>
        <v>1.101514109457221E-2</v>
      </c>
      <c r="AB6" t="s">
        <v>11</v>
      </c>
      <c r="AC6" s="7">
        <f>G34</f>
        <v>2.2666666666666668E-2</v>
      </c>
      <c r="AD6" s="7">
        <f>G35</f>
        <v>5.7735026918962634E-4</v>
      </c>
      <c r="AF6" t="s">
        <v>11</v>
      </c>
      <c r="AG6" s="7">
        <f>D34</f>
        <v>0.54316031892387195</v>
      </c>
      <c r="AI6" t="s">
        <v>11</v>
      </c>
      <c r="AJ6" s="7">
        <f>E34</f>
        <v>0.29667946313967603</v>
      </c>
    </row>
    <row r="7" spans="1:36" x14ac:dyDescent="0.2">
      <c r="C7" s="6" t="s">
        <v>41</v>
      </c>
      <c r="D7" s="6">
        <f>STDEV(D2:D5)</f>
        <v>0</v>
      </c>
      <c r="E7" s="6">
        <f>STDEV(E2:E5)</f>
        <v>0</v>
      </c>
      <c r="F7" s="6">
        <f>STDEV(F2:F5)</f>
        <v>1.2909944487358056E-3</v>
      </c>
      <c r="G7" s="6">
        <f>STDEV(G2:G5)</f>
        <v>2.160246899469287E-3</v>
      </c>
      <c r="H7" s="5"/>
      <c r="I7" s="5"/>
      <c r="J7" s="6"/>
      <c r="K7" s="6"/>
      <c r="L7" s="6"/>
      <c r="M7" s="6">
        <f t="shared" ref="M7:N7" si="4">STDEV(M2:M5)</f>
        <v>2.3587884299787728E-4</v>
      </c>
      <c r="N7" s="6">
        <f t="shared" si="4"/>
        <v>5.3350365854813492E-4</v>
      </c>
      <c r="O7" s="4"/>
      <c r="P7" t="s">
        <v>11</v>
      </c>
      <c r="Q7" s="7">
        <f>M38</f>
        <v>1.8968188828034545E-3</v>
      </c>
      <c r="R7" s="7">
        <v>0</v>
      </c>
      <c r="T7" t="s">
        <v>11</v>
      </c>
      <c r="U7" s="7">
        <f>N38</f>
        <v>1.3753427892552966E-2</v>
      </c>
      <c r="V7">
        <v>0</v>
      </c>
      <c r="X7" t="s">
        <v>11</v>
      </c>
      <c r="Y7" s="7">
        <f>F38</f>
        <v>2.4E-2</v>
      </c>
      <c r="AB7" t="s">
        <v>11</v>
      </c>
      <c r="AC7" s="7">
        <f>G38</f>
        <v>1.7999999999999999E-2</v>
      </c>
      <c r="AF7" t="s">
        <v>11</v>
      </c>
      <c r="AG7" s="7">
        <f>D38</f>
        <v>0.54316031892387195</v>
      </c>
      <c r="AI7" t="s">
        <v>11</v>
      </c>
      <c r="AJ7" s="7">
        <f>E34</f>
        <v>0.29667946313967603</v>
      </c>
    </row>
    <row r="8" spans="1:36" x14ac:dyDescent="0.2">
      <c r="D8" s="5"/>
      <c r="E8" s="5"/>
      <c r="H8" s="5"/>
      <c r="I8" s="5"/>
      <c r="J8" s="5"/>
      <c r="K8" s="5"/>
      <c r="L8" s="6"/>
      <c r="M8" s="6"/>
      <c r="N8" s="6"/>
      <c r="O8" s="4"/>
    </row>
    <row r="9" spans="1:36" x14ac:dyDescent="0.2">
      <c r="A9" t="s">
        <v>15</v>
      </c>
      <c r="B9" t="s">
        <v>66</v>
      </c>
      <c r="C9">
        <v>4</v>
      </c>
      <c r="D9" s="5">
        <v>0.38247959114353097</v>
      </c>
      <c r="E9" s="5">
        <v>0.21009438673703901</v>
      </c>
      <c r="F9">
        <v>2E-3</v>
      </c>
      <c r="G9">
        <v>8.9999999999999993E-3</v>
      </c>
      <c r="H9" s="5">
        <f t="shared" si="1"/>
        <v>4.0019999999999995E-3</v>
      </c>
      <c r="I9" s="5">
        <f t="shared" si="2"/>
        <v>1.8008999999999997E-2</v>
      </c>
      <c r="J9" s="5">
        <f t="shared" ref="J9" si="5">(((H9^2) / ((4.135667696E-15))) * (1/(SQRT(PI()*((D9+0.3)*0.000086173*300)))) * EXP(-(D9+0.3) / (4 * 0.000086173 * 300)))</f>
        <v>22379137.02641204</v>
      </c>
      <c r="K9" s="5">
        <f t="shared" ref="K9" si="6">(((I9^2) / ((4.135667696E-15))) * (1/(SQRT(PI()*((E9+0.3)*0.000086173*300)))) * EXP(-(E9+0.3) / (4 * 0.000086173 * 300)))</f>
        <v>2776365976.2845044</v>
      </c>
      <c r="L9" s="6">
        <v>4</v>
      </c>
      <c r="M9" s="6">
        <f t="shared" ref="M9" si="7">(((1.6E-19)*(L9*0.0000001)^2)*J9)/(2*300*0.00008618*1.6E-19)</f>
        <v>6.9247735828613071E-5</v>
      </c>
      <c r="N9" s="6">
        <f t="shared" ref="N9" si="8">(((1.6E-19)*(L9*0.0000001)^2)*K9)/(2*300*0.00008618*1.6E-19)</f>
        <v>8.5909057825775612E-3</v>
      </c>
      <c r="O9" s="4"/>
    </row>
    <row r="10" spans="1:36" x14ac:dyDescent="0.2">
      <c r="C10">
        <v>5</v>
      </c>
      <c r="D10" s="5">
        <v>0.38247959114353097</v>
      </c>
      <c r="E10" s="5">
        <v>0.21009438673703901</v>
      </c>
      <c r="F10">
        <v>4.0000000000000001E-3</v>
      </c>
      <c r="G10">
        <v>8.0000000000000002E-3</v>
      </c>
      <c r="H10" s="5">
        <f t="shared" si="1"/>
        <v>8.003999999999999E-3</v>
      </c>
      <c r="I10" s="5">
        <f t="shared" si="2"/>
        <v>1.6007999999999998E-2</v>
      </c>
      <c r="J10" s="5">
        <f t="shared" ref="J10" si="9">(((H10^2) / ((4.135667696E-15))) * (1/(SQRT(PI()*((D10+0.3)*0.000086173*300)))) * EXP(-(D10+0.3) / (4 * 0.000086173 * 300)))</f>
        <v>89516548.10564816</v>
      </c>
      <c r="K10" s="5">
        <f t="shared" ref="K10" si="10">(((I10^2) / ((4.135667696E-15))) * (1/(SQRT(PI()*((E10+0.3)*0.000086173*300)))) * EXP(-(E10+0.3) / (4 * 0.000086173 * 300)))</f>
        <v>2193671882.4963984</v>
      </c>
      <c r="L10" s="6">
        <v>4</v>
      </c>
      <c r="M10" s="6">
        <f t="shared" ref="M10" si="11">(((1.6E-19)*(L10*0.0000001)^2)*J10)/(2*300*0.00008618*1.6E-19)</f>
        <v>2.7699094331445228E-4</v>
      </c>
      <c r="N10" s="6">
        <f t="shared" ref="N10" si="12">(((1.6E-19)*(L10*0.0000001)^2)*K10)/(2*300*0.00008618*1.6E-19)</f>
        <v>6.7878761738884427E-3</v>
      </c>
      <c r="O10" s="4"/>
    </row>
    <row r="11" spans="1:36" x14ac:dyDescent="0.2">
      <c r="C11">
        <v>6</v>
      </c>
      <c r="D11" s="5">
        <v>0.38247959114353097</v>
      </c>
      <c r="E11" s="5">
        <v>0.21009438673703901</v>
      </c>
      <c r="F11">
        <v>6.0000000000000001E-3</v>
      </c>
      <c r="G11">
        <v>8.0000000000000002E-3</v>
      </c>
      <c r="H11" s="5">
        <f t="shared" si="1"/>
        <v>1.2005999999999999E-2</v>
      </c>
      <c r="I11" s="5">
        <f t="shared" si="2"/>
        <v>1.6007999999999998E-2</v>
      </c>
      <c r="J11" s="5">
        <f t="shared" ref="J11" si="13">(((H11^2) / ((4.135667696E-15))) * (1/(SQRT(PI()*((D11+0.3)*0.000086173*300)))) * EXP(-(D11+0.3) / (4 * 0.000086173 * 300)))</f>
        <v>201412233.23770839</v>
      </c>
      <c r="K11" s="5">
        <f t="shared" ref="K11" si="14">(((I11^2) / ((4.135667696E-15))) * (1/(SQRT(PI()*((E11+0.3)*0.000086173*300)))) * EXP(-(E11+0.3) / (4 * 0.000086173 * 300)))</f>
        <v>2193671882.4963984</v>
      </c>
      <c r="L11" s="6">
        <v>4</v>
      </c>
      <c r="M11" s="6">
        <f t="shared" ref="M11" si="15">(((1.6E-19)*(L11*0.0000001)^2)*J11)/(2*300*0.00008618*1.6E-19)</f>
        <v>6.2322962245751781E-4</v>
      </c>
      <c r="N11" s="6">
        <f t="shared" ref="N11" si="16">(((1.6E-19)*(L11*0.0000001)^2)*K11)/(2*300*0.00008618*1.6E-19)</f>
        <v>6.7878761738884427E-3</v>
      </c>
      <c r="O11" s="4"/>
      <c r="Q11" s="7"/>
      <c r="R11" s="7"/>
    </row>
    <row r="12" spans="1:36" x14ac:dyDescent="0.2">
      <c r="C12" s="6" t="s">
        <v>42</v>
      </c>
      <c r="D12" s="6">
        <f>AVERAGE(D9:D11)</f>
        <v>0.38247959114353097</v>
      </c>
      <c r="E12" s="6">
        <f>AVERAGE(E9:E11)</f>
        <v>0.21009438673703898</v>
      </c>
      <c r="F12" s="6">
        <f>AVERAGE(F9:F11)</f>
        <v>4.0000000000000001E-3</v>
      </c>
      <c r="G12" s="6">
        <f>AVERAGE(G9:G11)</f>
        <v>8.3333333333333332E-3</v>
      </c>
      <c r="H12" s="5"/>
      <c r="I12" s="5"/>
      <c r="J12" s="6"/>
      <c r="K12" s="6"/>
      <c r="L12" s="6"/>
      <c r="M12" s="6">
        <f>AVERAGE(M9:M11)</f>
        <v>3.2315610053352774E-4</v>
      </c>
      <c r="N12" s="6">
        <f>AVERAGE(N9:N11)</f>
        <v>7.3888860434514828E-3</v>
      </c>
      <c r="O12" s="4"/>
      <c r="Q12" s="7"/>
      <c r="R12" s="7"/>
    </row>
    <row r="13" spans="1:36" x14ac:dyDescent="0.2">
      <c r="C13" s="6" t="s">
        <v>41</v>
      </c>
      <c r="D13" s="6">
        <f>STDEV(D9:D11)</f>
        <v>0</v>
      </c>
      <c r="E13" s="6">
        <f>STDEV(E9:E11)</f>
        <v>3.3993498887762956E-17</v>
      </c>
      <c r="F13" s="6">
        <f>STDEV(F9:F11)</f>
        <v>2E-3</v>
      </c>
      <c r="G13" s="6">
        <f>STDEV(G9:G11)</f>
        <v>5.7735026918962525E-4</v>
      </c>
      <c r="H13" s="5"/>
      <c r="I13" s="5"/>
      <c r="J13" s="6"/>
      <c r="K13" s="6"/>
      <c r="L13" s="6"/>
      <c r="M13" s="6">
        <f>STDEV(M9:M11)</f>
        <v>2.7986139244995302E-4</v>
      </c>
      <c r="N13" s="6">
        <f>STDEV(N9:N11)</f>
        <v>1.0409796299335281E-3</v>
      </c>
      <c r="O13" s="4"/>
    </row>
    <row r="14" spans="1:36" x14ac:dyDescent="0.2">
      <c r="D14" s="5"/>
      <c r="E14" s="5"/>
      <c r="H14" s="5"/>
      <c r="I14" s="5"/>
      <c r="J14" s="5"/>
      <c r="K14" s="5"/>
      <c r="L14" s="6"/>
      <c r="M14" s="6"/>
      <c r="N14" s="6"/>
      <c r="O14" s="4"/>
    </row>
    <row r="15" spans="1:36" x14ac:dyDescent="0.2">
      <c r="B15" t="s">
        <v>67</v>
      </c>
      <c r="C15">
        <v>7</v>
      </c>
      <c r="D15" s="5">
        <v>0.38247959114353097</v>
      </c>
      <c r="E15" s="5">
        <v>0.21009438673703901</v>
      </c>
      <c r="F15">
        <v>1.0999999999999999E-2</v>
      </c>
      <c r="G15">
        <v>8.9999999999999993E-3</v>
      </c>
      <c r="H15" s="5">
        <f t="shared" si="1"/>
        <v>2.2010999999999996E-2</v>
      </c>
      <c r="I15" s="5">
        <f t="shared" si="2"/>
        <v>1.8008999999999997E-2</v>
      </c>
      <c r="J15" s="5">
        <f t="shared" ref="J15:J18" si="17">(((H15^2) / ((4.135667696E-15))) * (1/(SQRT(PI()*((D15+0.3)*0.000086173*300)))) * EXP(-(D15+0.3) / (4 * 0.000086173 * 300)))</f>
        <v>676968895.04896426</v>
      </c>
      <c r="K15" s="5">
        <f t="shared" ref="K15:K18" si="18">(((I15^2) / ((4.135667696E-15))) * (1/(SQRT(PI()*((E15+0.3)*0.000086173*300)))) * EXP(-(E15+0.3) / (4 * 0.000086173 * 300)))</f>
        <v>2776365976.2845044</v>
      </c>
      <c r="L15" s="6">
        <v>4</v>
      </c>
      <c r="M15" s="6">
        <f t="shared" ref="M15:M18" si="19">(((1.6E-19)*(L15*0.0000001)^2)*J15)/(2*300*0.00008618*1.6E-19)</f>
        <v>2.0947440088155459E-3</v>
      </c>
      <c r="N15" s="6">
        <f t="shared" ref="N15:N18" si="20">(((1.6E-19)*(L15*0.0000001)^2)*K15)/(2*300*0.00008618*1.6E-19)</f>
        <v>8.5909057825775612E-3</v>
      </c>
      <c r="O15" s="4"/>
    </row>
    <row r="16" spans="1:36" x14ac:dyDescent="0.2">
      <c r="C16">
        <v>8</v>
      </c>
      <c r="D16" s="5">
        <v>0.38247959114353097</v>
      </c>
      <c r="E16" s="5">
        <v>0.21009438673703901</v>
      </c>
      <c r="F16">
        <v>1.2E-2</v>
      </c>
      <c r="G16">
        <v>1.7999999999999999E-2</v>
      </c>
      <c r="H16" s="5">
        <f t="shared" si="1"/>
        <v>2.4011999999999999E-2</v>
      </c>
      <c r="I16" s="5">
        <f t="shared" si="2"/>
        <v>3.6017999999999994E-2</v>
      </c>
      <c r="J16" s="5">
        <f t="shared" si="17"/>
        <v>805648932.95083356</v>
      </c>
      <c r="K16" s="5">
        <f t="shared" si="18"/>
        <v>11105463905.138018</v>
      </c>
      <c r="L16" s="6">
        <v>4</v>
      </c>
      <c r="M16" s="6">
        <f t="shared" si="19"/>
        <v>2.4929184898300713E-3</v>
      </c>
      <c r="N16" s="6">
        <f t="shared" si="20"/>
        <v>3.4363623130310245E-2</v>
      </c>
      <c r="O16" s="4"/>
    </row>
    <row r="17" spans="1:15" x14ac:dyDescent="0.2">
      <c r="C17">
        <v>9</v>
      </c>
      <c r="D17" s="5">
        <v>0.38247959114353097</v>
      </c>
      <c r="E17" s="5">
        <v>0.21009438673703901</v>
      </c>
      <c r="F17">
        <v>1.0999999999999999E-2</v>
      </c>
      <c r="G17">
        <v>1.9E-2</v>
      </c>
      <c r="H17" s="5">
        <f t="shared" si="1"/>
        <v>2.2010999999999996E-2</v>
      </c>
      <c r="I17" s="5">
        <f t="shared" si="2"/>
        <v>3.8018999999999997E-2</v>
      </c>
      <c r="J17" s="5">
        <f t="shared" si="17"/>
        <v>676968895.04896426</v>
      </c>
      <c r="K17" s="5">
        <f t="shared" si="18"/>
        <v>12373680462.206249</v>
      </c>
      <c r="L17" s="6">
        <v>4</v>
      </c>
      <c r="M17" s="6">
        <f t="shared" si="19"/>
        <v>2.0947440088155459E-3</v>
      </c>
      <c r="N17" s="6">
        <f t="shared" si="20"/>
        <v>3.8287864043339503E-2</v>
      </c>
      <c r="O17" s="4"/>
    </row>
    <row r="18" spans="1:15" x14ac:dyDescent="0.2">
      <c r="C18">
        <v>10</v>
      </c>
      <c r="D18" s="5">
        <v>0.38247959114353097</v>
      </c>
      <c r="E18" s="5">
        <v>0.21009438673703901</v>
      </c>
      <c r="F18">
        <v>1.0999999999999999E-2</v>
      </c>
      <c r="G18">
        <v>1.9E-2</v>
      </c>
      <c r="H18" s="5">
        <f t="shared" si="1"/>
        <v>2.2010999999999996E-2</v>
      </c>
      <c r="I18" s="5">
        <f t="shared" si="2"/>
        <v>3.8018999999999997E-2</v>
      </c>
      <c r="J18" s="5">
        <f t="shared" si="17"/>
        <v>676968895.04896426</v>
      </c>
      <c r="K18" s="5">
        <f t="shared" si="18"/>
        <v>12373680462.206249</v>
      </c>
      <c r="L18" s="6">
        <v>4</v>
      </c>
      <c r="M18" s="6">
        <f t="shared" si="19"/>
        <v>2.0947440088155459E-3</v>
      </c>
      <c r="N18" s="6">
        <f t="shared" si="20"/>
        <v>3.8287864043339503E-2</v>
      </c>
      <c r="O18" s="4"/>
    </row>
    <row r="19" spans="1:15" x14ac:dyDescent="0.2">
      <c r="C19" s="6" t="s">
        <v>42</v>
      </c>
      <c r="D19" s="6">
        <f>AVERAGE(D15:D18)</f>
        <v>0.38247959114353097</v>
      </c>
      <c r="E19" s="6">
        <f t="shared" ref="E19:N19" si="21">AVERAGE(E15:E18)</f>
        <v>0.21009438673703901</v>
      </c>
      <c r="F19" s="6">
        <f t="shared" si="21"/>
        <v>1.125E-2</v>
      </c>
      <c r="G19" s="6">
        <f t="shared" si="21"/>
        <v>1.6250000000000001E-2</v>
      </c>
      <c r="H19" s="5"/>
      <c r="I19" s="5"/>
      <c r="J19" s="6"/>
      <c r="K19" s="6"/>
      <c r="L19" s="6"/>
      <c r="M19" s="6">
        <f t="shared" si="21"/>
        <v>2.1942876290691775E-3</v>
      </c>
      <c r="N19" s="6">
        <f t="shared" si="21"/>
        <v>2.9882564249891705E-2</v>
      </c>
      <c r="O19" s="4"/>
    </row>
    <row r="20" spans="1:15" x14ac:dyDescent="0.2">
      <c r="C20" s="6" t="s">
        <v>41</v>
      </c>
      <c r="D20" s="6">
        <f>STDEV(D15:D18)</f>
        <v>0</v>
      </c>
      <c r="E20" s="6">
        <f t="shared" ref="E20:N20" si="22">STDEV(E15:E18)</f>
        <v>0</v>
      </c>
      <c r="F20" s="6">
        <f t="shared" si="22"/>
        <v>5.0000000000000044E-4</v>
      </c>
      <c r="G20" s="6">
        <f t="shared" si="22"/>
        <v>4.8562674281111499E-3</v>
      </c>
      <c r="H20" s="5"/>
      <c r="I20" s="5"/>
      <c r="J20" s="6"/>
      <c r="K20" s="6"/>
      <c r="L20" s="6"/>
      <c r="M20" s="6">
        <f t="shared" si="22"/>
        <v>1.9908724050726268E-4</v>
      </c>
      <c r="N20" s="6">
        <f t="shared" si="22"/>
        <v>1.4314476800474814E-2</v>
      </c>
      <c r="O20" s="4"/>
    </row>
    <row r="21" spans="1:15" x14ac:dyDescent="0.2">
      <c r="D21" s="5"/>
      <c r="E21" s="5"/>
      <c r="H21" s="5"/>
      <c r="I21" s="5"/>
      <c r="J21" s="5"/>
      <c r="K21" s="5"/>
      <c r="L21" s="6"/>
      <c r="M21" s="6"/>
      <c r="N21" s="6"/>
      <c r="O21" s="4"/>
    </row>
    <row r="22" spans="1:15" x14ac:dyDescent="0.2">
      <c r="A22" t="s">
        <v>15</v>
      </c>
      <c r="B22" t="s">
        <v>10</v>
      </c>
      <c r="C22">
        <v>5</v>
      </c>
      <c r="D22" s="5">
        <v>0.45161354186043001</v>
      </c>
      <c r="E22">
        <v>0.30239179587576298</v>
      </c>
      <c r="F22">
        <v>5.0000000000000001E-3</v>
      </c>
      <c r="G22">
        <v>4.2999999999999997E-2</v>
      </c>
      <c r="H22" s="5">
        <f t="shared" si="1"/>
        <v>1.0005E-2</v>
      </c>
      <c r="I22" s="5">
        <f t="shared" si="2"/>
        <v>8.6042999999999994E-2</v>
      </c>
      <c r="J22" s="5">
        <f t="shared" ref="J22" si="23">(((H22^2) / ((4.135667696E-15))) * (1/(SQRT(PI()*((D22+0.3)*0.000086173*300)))) * EXP(-(D22+0.3) / (4 * 0.000086173 * 300)))</f>
        <v>68299882.171099916</v>
      </c>
      <c r="K22" s="5">
        <f t="shared" ref="K22" si="24">(((I22^2) / ((4.135667696E-15))) * (1/(SQRT(PI()*((E22+0.3)*0.000086173*300)))) * EXP(-(E22+0.3) / (4 * 0.000086173 * 300)))</f>
        <v>23888055533.086132</v>
      </c>
      <c r="L22" s="6">
        <v>4</v>
      </c>
      <c r="M22" s="6">
        <f t="shared" ref="M22" si="25">(((1.6E-19)*(L22*0.0000001)^2)*J22)/(2*300*0.00008618*1.6E-19)</f>
        <v>2.1134024033758763E-4</v>
      </c>
      <c r="N22" s="6">
        <f t="shared" ref="N22" si="26">(((1.6E-19)*(L22*0.0000001)^2)*K22)/(2*300*0.00008618*1.6E-19)</f>
        <v>7.3916780484524242E-2</v>
      </c>
      <c r="O22" s="4"/>
    </row>
    <row r="23" spans="1:15" x14ac:dyDescent="0.2">
      <c r="C23">
        <v>6</v>
      </c>
      <c r="D23" s="5">
        <v>0.45161354186043001</v>
      </c>
      <c r="E23">
        <v>0.30239179587576298</v>
      </c>
      <c r="F23">
        <v>5.0000000000000001E-3</v>
      </c>
      <c r="G23">
        <v>4.2999999999999997E-2</v>
      </c>
      <c r="H23" s="5">
        <f t="shared" si="1"/>
        <v>1.0005E-2</v>
      </c>
      <c r="I23" s="5">
        <f t="shared" si="2"/>
        <v>8.6042999999999994E-2</v>
      </c>
      <c r="J23" s="5">
        <f t="shared" ref="J23" si="27">(((H23^2) / ((4.135667696E-15))) * (1/(SQRT(PI()*((D23+0.3)*0.000086173*300)))) * EXP(-(D23+0.3) / (4 * 0.000086173 * 300)))</f>
        <v>68299882.171099916</v>
      </c>
      <c r="K23" s="5">
        <f t="shared" ref="K23" si="28">(((I23^2) / ((4.135667696E-15))) * (1/(SQRT(PI()*((E23+0.3)*0.000086173*300)))) * EXP(-(E23+0.3) / (4 * 0.000086173 * 300)))</f>
        <v>23888055533.086132</v>
      </c>
      <c r="L23" s="6">
        <v>4</v>
      </c>
      <c r="M23" s="6">
        <f t="shared" ref="M23" si="29">(((1.6E-19)*(L23*0.0000001)^2)*J23)/(2*300*0.00008618*1.6E-19)</f>
        <v>2.1134024033758763E-4</v>
      </c>
      <c r="N23" s="6">
        <f t="shared" ref="N23" si="30">(((1.6E-19)*(L23*0.0000001)^2)*K23)/(2*300*0.00008618*1.6E-19)</f>
        <v>7.3916780484524242E-2</v>
      </c>
      <c r="O23" s="4"/>
    </row>
    <row r="24" spans="1:15" x14ac:dyDescent="0.2">
      <c r="C24">
        <v>7</v>
      </c>
      <c r="D24" s="5">
        <v>0.45161354186043001</v>
      </c>
      <c r="E24">
        <v>0.30239179587576298</v>
      </c>
      <c r="F24">
        <v>1.2E-2</v>
      </c>
      <c r="G24">
        <v>4.5999999999999999E-2</v>
      </c>
      <c r="H24" s="5">
        <f t="shared" si="1"/>
        <v>2.4011999999999999E-2</v>
      </c>
      <c r="I24" s="5">
        <f t="shared" si="2"/>
        <v>9.2045999999999989E-2</v>
      </c>
      <c r="J24" s="5">
        <f t="shared" ref="J24:J25" si="31">(((H24^2) / ((4.135667696E-15))) * (1/(SQRT(PI()*((D24+0.3)*0.000086173*300)))) * EXP(-(D24+0.3) / (4 * 0.000086173 * 300)))</f>
        <v>393407321.30553544</v>
      </c>
      <c r="K24" s="5">
        <f t="shared" ref="K24:K25" si="32">(((I24^2) / ((4.135667696E-15))) * (1/(SQRT(PI()*((E24+0.3)*0.000086173*300)))) * EXP(-(E24+0.3) / (4 * 0.000086173 * 300)))</f>
        <v>27337547597.625874</v>
      </c>
      <c r="L24" s="6">
        <v>4</v>
      </c>
      <c r="M24" s="6">
        <f t="shared" ref="M24:M25" si="33">(((1.6E-19)*(L24*0.0000001)^2)*J24)/(2*300*0.00008618*1.6E-19)</f>
        <v>1.2173197843445046E-3</v>
      </c>
      <c r="N24" s="6">
        <f t="shared" ref="N24:N25" si="34">(((1.6E-19)*(L24*0.0000001)^2)*K24)/(2*300*0.00008618*1.6E-19)</f>
        <v>8.4590539483641564E-2</v>
      </c>
      <c r="O24" s="4"/>
    </row>
    <row r="25" spans="1:15" x14ac:dyDescent="0.2">
      <c r="C25">
        <v>8</v>
      </c>
      <c r="D25" s="5">
        <v>0.45161354186043001</v>
      </c>
      <c r="E25">
        <v>0.30239179587576298</v>
      </c>
      <c r="F25">
        <v>1.2E-2</v>
      </c>
      <c r="G25">
        <v>4.5999999999999999E-2</v>
      </c>
      <c r="H25" s="5">
        <f t="shared" si="1"/>
        <v>2.4011999999999999E-2</v>
      </c>
      <c r="I25" s="5">
        <f t="shared" si="2"/>
        <v>9.2045999999999989E-2</v>
      </c>
      <c r="J25" s="5">
        <f t="shared" si="31"/>
        <v>393407321.30553544</v>
      </c>
      <c r="K25" s="5">
        <f t="shared" si="32"/>
        <v>27337547597.625874</v>
      </c>
      <c r="L25" s="6">
        <v>4</v>
      </c>
      <c r="M25" s="6">
        <f t="shared" si="33"/>
        <v>1.2173197843445046E-3</v>
      </c>
      <c r="N25" s="6">
        <f t="shared" si="34"/>
        <v>8.4590539483641564E-2</v>
      </c>
      <c r="O25" s="4"/>
    </row>
    <row r="26" spans="1:15" x14ac:dyDescent="0.2">
      <c r="C26">
        <v>9</v>
      </c>
      <c r="D26" s="5">
        <v>0.45161354186043001</v>
      </c>
      <c r="E26">
        <v>0.30239179587576298</v>
      </c>
      <c r="F26">
        <v>1.2E-2</v>
      </c>
      <c r="G26">
        <v>4.5999999999999999E-2</v>
      </c>
      <c r="H26" s="5">
        <f t="shared" si="1"/>
        <v>2.4011999999999999E-2</v>
      </c>
      <c r="I26" s="5">
        <f t="shared" si="2"/>
        <v>9.2045999999999989E-2</v>
      </c>
      <c r="J26" s="5">
        <f t="shared" ref="J26:J27" si="35">(((H26^2) / ((4.135667696E-15))) * (1/(SQRT(PI()*((D26+0.3)*0.000086173*300)))) * EXP(-(D26+0.3) / (4 * 0.000086173 * 300)))</f>
        <v>393407321.30553544</v>
      </c>
      <c r="K26" s="5">
        <f t="shared" ref="K26:K27" si="36">(((I26^2) / ((4.135667696E-15))) * (1/(SQRT(PI()*((E26+0.3)*0.000086173*300)))) * EXP(-(E26+0.3) / (4 * 0.000086173 * 300)))</f>
        <v>27337547597.625874</v>
      </c>
      <c r="L26" s="6">
        <v>4</v>
      </c>
      <c r="M26" s="6">
        <f t="shared" ref="M26:M27" si="37">(((1.6E-19)*(L26*0.0000001)^2)*J26)/(2*300*0.00008618*1.6E-19)</f>
        <v>1.2173197843445046E-3</v>
      </c>
      <c r="N26" s="6">
        <f t="shared" ref="N26:N27" si="38">(((1.6E-19)*(L26*0.0000001)^2)*K26)/(2*300*0.00008618*1.6E-19)</f>
        <v>8.4590539483641564E-2</v>
      </c>
      <c r="O26" s="4"/>
    </row>
    <row r="27" spans="1:15" x14ac:dyDescent="0.2">
      <c r="C27">
        <v>10</v>
      </c>
      <c r="D27" s="5">
        <v>0.45161354186043001</v>
      </c>
      <c r="E27">
        <v>0.30239179587576298</v>
      </c>
      <c r="F27">
        <v>1.4E-2</v>
      </c>
      <c r="G27">
        <v>2.5000000000000001E-2</v>
      </c>
      <c r="H27" s="5">
        <f t="shared" si="1"/>
        <v>2.8014000000000001E-2</v>
      </c>
      <c r="I27" s="5">
        <f t="shared" si="2"/>
        <v>5.0025E-2</v>
      </c>
      <c r="J27" s="5">
        <f t="shared" si="35"/>
        <v>535471076.22142339</v>
      </c>
      <c r="K27" s="5">
        <f t="shared" si="36"/>
        <v>8074653709.1286287</v>
      </c>
      <c r="L27" s="6">
        <v>4</v>
      </c>
      <c r="M27" s="6">
        <f t="shared" si="37"/>
        <v>1.6569074842466875E-3</v>
      </c>
      <c r="N27" s="6">
        <f t="shared" si="38"/>
        <v>2.4985390915536865E-2</v>
      </c>
      <c r="O27" s="4"/>
    </row>
    <row r="28" spans="1:15" x14ac:dyDescent="0.2">
      <c r="C28" s="6" t="s">
        <v>42</v>
      </c>
      <c r="D28" s="6">
        <f>AVERAGE(D22:D27)</f>
        <v>0.45161354186042996</v>
      </c>
      <c r="E28" s="6">
        <f>AVERAGE(E22:E27)</f>
        <v>0.30239179587576298</v>
      </c>
      <c r="F28" s="6">
        <f>AVERAGE(F22:F27)</f>
        <v>0.01</v>
      </c>
      <c r="G28" s="6">
        <f>AVERAGE(G22:G27)</f>
        <v>4.1499999999999995E-2</v>
      </c>
      <c r="H28" s="5"/>
      <c r="I28" s="5"/>
      <c r="J28" s="5"/>
      <c r="K28" s="5"/>
      <c r="L28" s="6"/>
      <c r="M28" s="6">
        <f>AVERAGE(M22:M27)</f>
        <v>9.5525788632589619E-4</v>
      </c>
      <c r="N28" s="6">
        <f>AVERAGE(N22:N27)</f>
        <v>7.1098428389251678E-2</v>
      </c>
      <c r="O28" s="4"/>
    </row>
    <row r="29" spans="1:15" x14ac:dyDescent="0.2">
      <c r="C29" s="6" t="s">
        <v>41</v>
      </c>
      <c r="D29" s="6">
        <f>STDEV(D22:D27)</f>
        <v>6.0809419444881171E-17</v>
      </c>
      <c r="E29" s="6">
        <f>STDEV(E22:E27)</f>
        <v>0</v>
      </c>
      <c r="F29" s="6">
        <f>STDEV(F22:F27)</f>
        <v>3.949683531626301E-3</v>
      </c>
      <c r="G29" s="6">
        <f>STDEV(G22:G27)</f>
        <v>8.2158383625775249E-3</v>
      </c>
      <c r="H29" s="5"/>
      <c r="I29" s="5"/>
      <c r="J29" s="5"/>
      <c r="K29" s="5"/>
      <c r="L29" s="6"/>
      <c r="M29" s="6">
        <f>STDEV(M22:M27)</f>
        <v>6.0086078278871345E-4</v>
      </c>
      <c r="N29" s="6">
        <f>STDEV(N22:N27)</f>
        <v>2.3187969412900963E-2</v>
      </c>
      <c r="O29" s="4"/>
    </row>
    <row r="30" spans="1:15" x14ac:dyDescent="0.2">
      <c r="D30" s="5"/>
      <c r="H30" s="5"/>
      <c r="I30" s="5"/>
      <c r="J30" s="5"/>
      <c r="K30" s="5"/>
      <c r="L30" s="6"/>
      <c r="M30" s="6"/>
      <c r="N30" s="6"/>
      <c r="O30" s="4"/>
    </row>
    <row r="31" spans="1:15" x14ac:dyDescent="0.2">
      <c r="A31" t="s">
        <v>15</v>
      </c>
      <c r="B31" t="s">
        <v>68</v>
      </c>
      <c r="C31">
        <v>4</v>
      </c>
      <c r="D31" s="5">
        <v>0.54316031892387195</v>
      </c>
      <c r="E31" s="5">
        <v>0.29667946313967603</v>
      </c>
      <c r="F31">
        <v>2.7E-2</v>
      </c>
      <c r="G31">
        <v>2.3E-2</v>
      </c>
      <c r="H31" s="5">
        <f t="shared" si="1"/>
        <v>5.4026999999999999E-2</v>
      </c>
      <c r="I31" s="5">
        <f t="shared" si="2"/>
        <v>4.6022999999999994E-2</v>
      </c>
      <c r="J31" s="5">
        <f t="shared" ref="J31:K33" si="39">(((H31^2) / ((4.135667696E-15))) * (1/(SQRT(PI()*((D31+0.3)*0.000086173*300)))) * EXP(-(D31+0.3) / (4 * 0.000086173 * 300)))</f>
        <v>775833747.47578979</v>
      </c>
      <c r="K31" s="5">
        <f t="shared" si="39"/>
        <v>7257037615.1358089</v>
      </c>
      <c r="L31" s="6">
        <v>4</v>
      </c>
      <c r="M31" s="6">
        <f t="shared" ref="M31" si="40">(((1.6E-19)*(L31*0.0000001)^2)*J31)/(2*300*0.00008618*1.6E-19)</f>
        <v>2.4006613985481221E-3</v>
      </c>
      <c r="N31" s="6">
        <f>(((1.6E-19)*(L31*0.0000001)^2)*K31)/(2*300*0.00008618*1.6E-19)</f>
        <v>2.2455442454199136E-2</v>
      </c>
      <c r="O31" s="4"/>
    </row>
    <row r="32" spans="1:15" x14ac:dyDescent="0.2">
      <c r="C32">
        <v>5</v>
      </c>
      <c r="D32" s="5">
        <v>0.54316031892387195</v>
      </c>
      <c r="E32" s="5">
        <v>0.29667946313967603</v>
      </c>
      <c r="F32">
        <v>1.7000000000000001E-2</v>
      </c>
      <c r="G32">
        <v>2.1999999999999999E-2</v>
      </c>
      <c r="H32" s="5">
        <f t="shared" si="1"/>
        <v>3.4016999999999999E-2</v>
      </c>
      <c r="I32" s="5">
        <f t="shared" si="2"/>
        <v>4.4021999999999992E-2</v>
      </c>
      <c r="J32" s="5">
        <f t="shared" si="39"/>
        <v>307566465.04870129</v>
      </c>
      <c r="K32" s="5">
        <f t="shared" si="39"/>
        <v>6639709273.5836143</v>
      </c>
      <c r="L32" s="6">
        <v>4</v>
      </c>
      <c r="M32" s="6">
        <f t="shared" ref="M32" si="41">(((1.6E-19)*(L32*0.0000001)^2)*J32)/(2*300*0.00008618*1.6E-19)</f>
        <v>9.5170252973992783E-4</v>
      </c>
      <c r="N32" s="6">
        <f>(((1.6E-19)*(L32*0.0000001)^2)*K32)/(2*300*0.00008618*1.6E-19)</f>
        <v>2.0545244135789006E-2</v>
      </c>
      <c r="O32" s="4"/>
    </row>
    <row r="33" spans="2:15" x14ac:dyDescent="0.2">
      <c r="C33">
        <v>7</v>
      </c>
      <c r="D33" s="5">
        <v>0.54316031892387195</v>
      </c>
      <c r="E33" s="5">
        <v>0.29667946313967603</v>
      </c>
      <c r="F33">
        <v>5.0000000000000001E-3</v>
      </c>
      <c r="G33">
        <v>2.3E-2</v>
      </c>
      <c r="H33" s="5">
        <f t="shared" si="1"/>
        <v>1.0005E-2</v>
      </c>
      <c r="I33" s="5">
        <f t="shared" si="2"/>
        <v>4.6022999999999994E-2</v>
      </c>
      <c r="J33" s="5">
        <f t="shared" si="39"/>
        <v>26606095.592448212</v>
      </c>
      <c r="K33" s="5">
        <f t="shared" si="39"/>
        <v>7257037615.1358089</v>
      </c>
      <c r="L33" s="6">
        <v>4</v>
      </c>
      <c r="M33" s="6">
        <f t="shared" ref="M33" si="42">(((1.6E-19)*(L33*0.0000001)^2)*J33)/(2*300*0.00008618*1.6E-19)</f>
        <v>8.2327208455011065E-5</v>
      </c>
      <c r="N33" s="6">
        <f>(((1.6E-19)*(L33*0.0000001)^2)*K33)/(2*300*0.00008618*1.6E-19)</f>
        <v>2.2455442454199136E-2</v>
      </c>
      <c r="O33" s="4"/>
    </row>
    <row r="34" spans="2:15" x14ac:dyDescent="0.2">
      <c r="C34" s="6" t="s">
        <v>42</v>
      </c>
      <c r="D34" s="6">
        <f>AVERAGE(D31:D33)</f>
        <v>0.54316031892387195</v>
      </c>
      <c r="E34" s="6">
        <f>AVERAGE(E31:E33)</f>
        <v>0.29667946313967603</v>
      </c>
      <c r="F34" s="6">
        <f>AVERAGE(F31:F33)</f>
        <v>1.6333333333333332E-2</v>
      </c>
      <c r="G34" s="6">
        <f>AVERAGE(G31:G33)</f>
        <v>2.2666666666666668E-2</v>
      </c>
      <c r="H34" s="5"/>
      <c r="I34" s="5"/>
      <c r="J34" s="6"/>
      <c r="K34" s="6"/>
      <c r="L34" s="6"/>
      <c r="M34" s="6">
        <f>AVERAGE(M31:M33)</f>
        <v>1.1448970455810203E-3</v>
      </c>
      <c r="N34" s="6">
        <f>AVERAGE(N31:N33)</f>
        <v>2.1818709681395754E-2</v>
      </c>
    </row>
    <row r="35" spans="2:15" x14ac:dyDescent="0.2">
      <c r="C35" s="6" t="s">
        <v>41</v>
      </c>
      <c r="D35" s="6">
        <f>STDEV(D31:D33)</f>
        <v>0</v>
      </c>
      <c r="E35" s="6">
        <f>STDEV(E31:E33)</f>
        <v>0</v>
      </c>
      <c r="F35" s="6">
        <f>STDEV(F31:F33)</f>
        <v>1.101514109457221E-2</v>
      </c>
      <c r="G35" s="6">
        <f>STDEV(G31:G33)</f>
        <v>5.7735026918962634E-4</v>
      </c>
      <c r="H35" s="5"/>
      <c r="I35" s="5"/>
      <c r="J35" s="6"/>
      <c r="K35" s="6"/>
      <c r="L35" s="6"/>
      <c r="M35" s="6">
        <f>STDEV(M31:M33)</f>
        <v>1.1711795101315493E-3</v>
      </c>
      <c r="N35" s="6">
        <f>STDEV(N31:N33)</f>
        <v>1.102853513339659E-3</v>
      </c>
    </row>
    <row r="36" spans="2:15" x14ac:dyDescent="0.2">
      <c r="H36" s="5"/>
      <c r="I36" s="5"/>
    </row>
    <row r="37" spans="2:15" x14ac:dyDescent="0.2">
      <c r="B37" t="s">
        <v>69</v>
      </c>
      <c r="C37">
        <v>6</v>
      </c>
      <c r="D37" s="5">
        <v>0.54316031892387195</v>
      </c>
      <c r="E37" s="5">
        <v>0.29667946313967603</v>
      </c>
      <c r="F37">
        <v>2.4E-2</v>
      </c>
      <c r="G37">
        <v>1.7999999999999999E-2</v>
      </c>
      <c r="H37" s="5">
        <f t="shared" si="1"/>
        <v>4.8023999999999997E-2</v>
      </c>
      <c r="I37" s="5">
        <f t="shared" si="2"/>
        <v>3.6017999999999994E-2</v>
      </c>
      <c r="J37" s="5">
        <f t="shared" ref="J37" si="43">(((H37^2) / ((4.135667696E-15))) * (1/(SQRT(PI()*((D37+0.3)*0.000086173*300)))) * EXP(-(D37+0.3) / (4 * 0.000086173 * 300)))</f>
        <v>613004442.4500066</v>
      </c>
      <c r="K37" s="5">
        <f t="shared" ref="K37" si="44">(((I37^2) / ((4.135667696E-15))) * (1/(SQRT(PI()*((E37+0.3)*0.000086173*300)))) * EXP(-(E37+0.3) / (4 * 0.000086173 * 300)))</f>
        <v>4444764059.175807</v>
      </c>
      <c r="L37" s="6">
        <v>4</v>
      </c>
      <c r="M37" s="6">
        <f t="shared" ref="M37" si="45">(((1.6E-19)*(L37*0.0000001)^2)*J37)/(2*300*0.00008618*1.6E-19)</f>
        <v>1.8968188828034545E-3</v>
      </c>
      <c r="N37" s="6">
        <f>(((1.6E-19)*(L37*0.0000001)^2)*K37)/(2*300*0.00008618*1.6E-19)</f>
        <v>1.3753427892552966E-2</v>
      </c>
    </row>
    <row r="38" spans="2:15" x14ac:dyDescent="0.2">
      <c r="C38" s="6" t="s">
        <v>42</v>
      </c>
      <c r="D38" s="6">
        <f>AVERAGE(D37)</f>
        <v>0.54316031892387195</v>
      </c>
      <c r="E38" s="6">
        <f t="shared" ref="E38:N38" si="46">AVERAGE(E37)</f>
        <v>0.29667946313967603</v>
      </c>
      <c r="F38" s="6">
        <f t="shared" si="46"/>
        <v>2.4E-2</v>
      </c>
      <c r="G38" s="6">
        <f t="shared" si="46"/>
        <v>1.7999999999999999E-2</v>
      </c>
      <c r="H38" s="6"/>
      <c r="I38" s="6"/>
      <c r="J38" s="6"/>
      <c r="K38" s="6"/>
      <c r="L38" s="6"/>
      <c r="M38" s="6">
        <f t="shared" si="46"/>
        <v>1.8968188828034545E-3</v>
      </c>
      <c r="N38" s="6">
        <f t="shared" si="46"/>
        <v>1.3753427892552966E-2</v>
      </c>
    </row>
    <row r="39" spans="2:15" x14ac:dyDescent="0.2">
      <c r="C39" s="6" t="s">
        <v>41</v>
      </c>
      <c r="D39" s="6" t="e">
        <f>STDEV(D37)</f>
        <v>#DIV/0!</v>
      </c>
      <c r="E39" s="6" t="e">
        <f t="shared" ref="E39:N39" si="47">STDEV(E37)</f>
        <v>#DIV/0!</v>
      </c>
      <c r="F39" s="6" t="e">
        <f t="shared" si="47"/>
        <v>#DIV/0!</v>
      </c>
      <c r="G39" s="6" t="e">
        <f t="shared" si="47"/>
        <v>#DIV/0!</v>
      </c>
      <c r="H39" s="6"/>
      <c r="I39" s="6"/>
      <c r="J39" s="6"/>
      <c r="K39" s="6"/>
      <c r="L39" s="6"/>
      <c r="M39" s="6" t="e">
        <f t="shared" si="47"/>
        <v>#DIV/0!</v>
      </c>
      <c r="N39" s="6" t="e">
        <f t="shared" si="47"/>
        <v>#DIV/0!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D042-2C17-4C4F-92C1-59C6CEED8155}">
  <dimension ref="A1:AK24"/>
  <sheetViews>
    <sheetView topLeftCell="F1" workbookViewId="0">
      <selection activeCell="H6" sqref="H6:I8"/>
    </sheetView>
  </sheetViews>
  <sheetFormatPr baseColWidth="10" defaultColWidth="11" defaultRowHeight="16" x14ac:dyDescent="0.2"/>
  <sheetData>
    <row r="1" spans="1:37" x14ac:dyDescent="0.2">
      <c r="A1" t="s">
        <v>5</v>
      </c>
      <c r="B1" t="s">
        <v>0</v>
      </c>
      <c r="C1" t="s">
        <v>40</v>
      </c>
      <c r="D1" t="s">
        <v>4</v>
      </c>
      <c r="E1" t="s">
        <v>3</v>
      </c>
      <c r="F1" t="s">
        <v>1</v>
      </c>
      <c r="G1" t="s">
        <v>2</v>
      </c>
      <c r="H1" t="s">
        <v>19</v>
      </c>
      <c r="I1" t="s">
        <v>20</v>
      </c>
      <c r="J1" t="s">
        <v>12</v>
      </c>
      <c r="K1" t="s">
        <v>13</v>
      </c>
      <c r="L1" t="s">
        <v>14</v>
      </c>
      <c r="M1" t="s">
        <v>6</v>
      </c>
      <c r="N1" t="s">
        <v>7</v>
      </c>
      <c r="O1" t="s">
        <v>98</v>
      </c>
      <c r="P1" t="s">
        <v>99</v>
      </c>
      <c r="Q1" t="s">
        <v>44</v>
      </c>
      <c r="R1" t="s">
        <v>72</v>
      </c>
      <c r="S1" t="s">
        <v>73</v>
      </c>
      <c r="U1" t="s">
        <v>45</v>
      </c>
      <c r="V1" t="s">
        <v>74</v>
      </c>
      <c r="W1" t="s">
        <v>75</v>
      </c>
      <c r="Y1" t="s">
        <v>46</v>
      </c>
      <c r="Z1" t="s">
        <v>50</v>
      </c>
      <c r="AA1" t="s">
        <v>51</v>
      </c>
      <c r="AC1" t="s">
        <v>47</v>
      </c>
      <c r="AD1" t="s">
        <v>52</v>
      </c>
      <c r="AE1" t="s">
        <v>53</v>
      </c>
      <c r="AG1" t="s">
        <v>48</v>
      </c>
      <c r="AH1" t="s">
        <v>54</v>
      </c>
      <c r="AJ1" t="s">
        <v>49</v>
      </c>
      <c r="AK1" t="s">
        <v>55</v>
      </c>
    </row>
    <row r="2" spans="1:37" x14ac:dyDescent="0.2">
      <c r="A2" t="s">
        <v>18</v>
      </c>
      <c r="B2" t="s">
        <v>84</v>
      </c>
      <c r="C2">
        <v>7</v>
      </c>
      <c r="D2" s="5">
        <v>0.13571110865675701</v>
      </c>
      <c r="E2" s="5">
        <v>0.13749478629343301</v>
      </c>
      <c r="F2" s="5">
        <v>8.0000000000000002E-3</v>
      </c>
      <c r="G2">
        <v>1.2999999999999999E-2</v>
      </c>
      <c r="H2" s="5">
        <f>F2*2.001</f>
        <v>1.6007999999999998E-2</v>
      </c>
      <c r="I2" s="5">
        <f>G2*2.001</f>
        <v>2.6012999999999998E-2</v>
      </c>
      <c r="J2" s="5">
        <f t="shared" ref="J2:K5" si="0">(((H2^2) / ((4.135667696E-15))) * (1/(SQRT(PI()*((D2+0.3)*0.000086173*300)))) * EXP(-(D2+0.3) / (4 * 0.000086173 * 300)))</f>
        <v>4872982468.6581125</v>
      </c>
      <c r="K2" s="5">
        <f t="shared" si="0"/>
        <v>12621858574.576591</v>
      </c>
      <c r="L2" s="6">
        <v>4</v>
      </c>
      <c r="M2" s="6">
        <f t="shared" ref="M2:M5" si="1">(((1.6E-19)*(L2*0.0000001)^2)*J2)/(2*300*0.00008618*1.6E-19)</f>
        <v>1.50784635836872E-2</v>
      </c>
      <c r="N2" s="6">
        <f t="shared" ref="N2:N5" si="2">(((1.6E-19)*(L2*0.0000001)^2)*K2)/(2*300*0.00008618*1.6E-19)</f>
        <v>3.9055801267352322E-2</v>
      </c>
      <c r="Q2" t="s">
        <v>96</v>
      </c>
      <c r="R2" s="7">
        <f>M6</f>
        <v>2.7859817480797053E-2</v>
      </c>
      <c r="S2" s="7">
        <f>M7</f>
        <v>3.3240272240328966E-2</v>
      </c>
      <c r="U2" t="s">
        <v>96</v>
      </c>
      <c r="V2" s="7">
        <f>N6</f>
        <v>6.1414669744372055E-2</v>
      </c>
      <c r="W2" s="7">
        <f>N7</f>
        <v>3.7379750070982778E-2</v>
      </c>
      <c r="Y2" t="s">
        <v>96</v>
      </c>
      <c r="Z2" s="7">
        <f>F6</f>
        <v>9.2500000000000013E-3</v>
      </c>
      <c r="AA2" s="7">
        <f>F7</f>
        <v>6.6017674401127827E-3</v>
      </c>
      <c r="AC2" t="s">
        <v>96</v>
      </c>
      <c r="AD2" s="7">
        <f>G6</f>
        <v>1.575E-2</v>
      </c>
      <c r="AE2" s="7">
        <f>G7</f>
        <v>4.8562674281111499E-3</v>
      </c>
      <c r="AG2" t="s">
        <v>96</v>
      </c>
      <c r="AH2" s="7">
        <f>D6</f>
        <v>0.13571110865675701</v>
      </c>
      <c r="AJ2" t="s">
        <v>96</v>
      </c>
      <c r="AK2" s="7">
        <f>E6</f>
        <v>0.13749478629343301</v>
      </c>
    </row>
    <row r="3" spans="1:37" x14ac:dyDescent="0.2">
      <c r="C3">
        <v>5</v>
      </c>
      <c r="D3" s="5">
        <v>0.13571110865675701</v>
      </c>
      <c r="E3" s="5">
        <v>0.13749478629343301</v>
      </c>
      <c r="F3" s="5">
        <v>8.9999999999999993E-3</v>
      </c>
      <c r="G3">
        <v>1.0999999999999999E-2</v>
      </c>
      <c r="H3" s="5">
        <f t="shared" ref="H3:H22" si="3">F3*2.001</f>
        <v>1.8008999999999997E-2</v>
      </c>
      <c r="I3" s="5">
        <f t="shared" ref="I3:I22" si="4">G3*2.001</f>
        <v>2.2010999999999996E-2</v>
      </c>
      <c r="J3" s="5">
        <f t="shared" si="0"/>
        <v>6167368436.8954239</v>
      </c>
      <c r="K3" s="5">
        <f t="shared" si="0"/>
        <v>9036951997.1820545</v>
      </c>
      <c r="L3" s="6">
        <v>4</v>
      </c>
      <c r="M3" s="6">
        <f t="shared" si="1"/>
        <v>1.9083680473104114E-2</v>
      </c>
      <c r="N3" s="6">
        <f t="shared" si="2"/>
        <v>2.7963029309761123E-2</v>
      </c>
      <c r="Q3" t="s">
        <v>96</v>
      </c>
      <c r="R3" s="7">
        <f>M11</f>
        <v>1.5908957085757471</v>
      </c>
      <c r="S3" s="7">
        <f>M12</f>
        <v>0.88511955460182445</v>
      </c>
      <c r="U3" t="s">
        <v>96</v>
      </c>
      <c r="V3" s="7">
        <f>N11</f>
        <v>0.92555316021151501</v>
      </c>
      <c r="W3" s="7">
        <f>N12</f>
        <v>0.24707888961111429</v>
      </c>
      <c r="Y3" t="s">
        <v>96</v>
      </c>
      <c r="Z3" s="7">
        <f>F11</f>
        <v>8.0500000000000002E-2</v>
      </c>
      <c r="AA3" s="7">
        <f>F12</f>
        <v>2.3334523779156027E-2</v>
      </c>
      <c r="AC3" t="s">
        <v>96</v>
      </c>
      <c r="AD3" s="7">
        <f>G11</f>
        <v>6.3E-2</v>
      </c>
      <c r="AE3" s="7">
        <f>G12</f>
        <v>8.4852813742385732E-3</v>
      </c>
      <c r="AG3" t="s">
        <v>96</v>
      </c>
      <c r="AH3" s="7">
        <f>D6</f>
        <v>0.13571110865675701</v>
      </c>
      <c r="AJ3" t="s">
        <v>96</v>
      </c>
      <c r="AK3" s="7">
        <f>E6</f>
        <v>0.13749478629343301</v>
      </c>
    </row>
    <row r="4" spans="1:37" x14ac:dyDescent="0.2">
      <c r="C4">
        <v>8</v>
      </c>
      <c r="D4" s="5">
        <v>0.13571110865675701</v>
      </c>
      <c r="E4" s="5">
        <v>0.13749478629343301</v>
      </c>
      <c r="F4" s="5">
        <v>1.7999999999999999E-2</v>
      </c>
      <c r="G4">
        <v>2.1999999999999999E-2</v>
      </c>
      <c r="H4" s="5">
        <f t="shared" si="3"/>
        <v>3.6017999999999994E-2</v>
      </c>
      <c r="I4" s="5">
        <f t="shared" si="4"/>
        <v>4.4021999999999992E-2</v>
      </c>
      <c r="J4" s="5">
        <f t="shared" si="0"/>
        <v>24669473747.581696</v>
      </c>
      <c r="K4" s="5">
        <f t="shared" si="0"/>
        <v>36147807988.728218</v>
      </c>
      <c r="L4" s="6">
        <v>4</v>
      </c>
      <c r="M4" s="6">
        <f t="shared" si="1"/>
        <v>7.6334721892416454E-2</v>
      </c>
      <c r="N4" s="6">
        <f t="shared" si="2"/>
        <v>0.11185211723904449</v>
      </c>
      <c r="Q4" t="s">
        <v>97</v>
      </c>
      <c r="R4" s="7">
        <f>M19</f>
        <v>1.9441540839355999E-4</v>
      </c>
      <c r="S4" s="7">
        <f>M20</f>
        <v>2.1060397517896857E-4</v>
      </c>
      <c r="U4" t="s">
        <v>97</v>
      </c>
      <c r="V4" s="7">
        <f>N19</f>
        <v>8.1284513879312098E-3</v>
      </c>
      <c r="W4" s="7">
        <f>N20</f>
        <v>6.6909660378395358E-3</v>
      </c>
      <c r="Y4" t="s">
        <v>97</v>
      </c>
      <c r="Z4" s="7">
        <f>F19</f>
        <v>1E-3</v>
      </c>
      <c r="AA4" s="7">
        <f>F20</f>
        <v>7.0710678118654751E-4</v>
      </c>
      <c r="AC4" t="s">
        <v>97</v>
      </c>
      <c r="AD4" s="7">
        <f>G19</f>
        <v>6.8000000000000005E-3</v>
      </c>
      <c r="AE4" s="7">
        <f>G20</f>
        <v>3.9623225512317884E-3</v>
      </c>
      <c r="AG4" t="s">
        <v>97</v>
      </c>
      <c r="AH4" s="7">
        <f>D19</f>
        <v>0.18484893073893899</v>
      </c>
      <c r="AJ4" t="s">
        <v>97</v>
      </c>
      <c r="AK4" s="7">
        <f>E19</f>
        <v>0.18527327910723701</v>
      </c>
    </row>
    <row r="5" spans="1:37" x14ac:dyDescent="0.2">
      <c r="C5">
        <v>9</v>
      </c>
      <c r="D5" s="5">
        <v>0.13571110865675701</v>
      </c>
      <c r="E5" s="5">
        <v>0.13749478629343301</v>
      </c>
      <c r="F5" s="5">
        <v>2E-3</v>
      </c>
      <c r="G5">
        <v>1.7000000000000001E-2</v>
      </c>
      <c r="H5" s="5">
        <f t="shared" si="3"/>
        <v>4.0019999999999995E-3</v>
      </c>
      <c r="I5" s="5">
        <f t="shared" si="4"/>
        <v>3.4016999999999999E-2</v>
      </c>
      <c r="J5" s="5">
        <f t="shared" si="0"/>
        <v>304561404.29113203</v>
      </c>
      <c r="K5" s="5">
        <f t="shared" si="0"/>
        <v>21584125018.062927</v>
      </c>
      <c r="L5" s="6">
        <v>4</v>
      </c>
      <c r="M5" s="6">
        <f t="shared" si="1"/>
        <v>9.4240397398044997E-4</v>
      </c>
      <c r="N5" s="6">
        <f t="shared" si="2"/>
        <v>6.6787731161330299E-2</v>
      </c>
      <c r="Q5" t="s">
        <v>97</v>
      </c>
      <c r="R5" s="7">
        <f>M23</f>
        <v>2.3468717156079753E-2</v>
      </c>
      <c r="S5" s="7">
        <v>0</v>
      </c>
      <c r="U5" t="s">
        <v>97</v>
      </c>
      <c r="V5" s="7">
        <f>N23</f>
        <v>8.8472940276802282E-3</v>
      </c>
      <c r="W5" s="7">
        <v>0</v>
      </c>
      <c r="Y5" t="s">
        <v>97</v>
      </c>
      <c r="Z5" s="7">
        <f>F23</f>
        <v>1.2999999999999999E-2</v>
      </c>
      <c r="AA5" s="7">
        <v>0</v>
      </c>
      <c r="AC5" t="s">
        <v>97</v>
      </c>
      <c r="AD5" s="7">
        <f>G23</f>
        <v>8.0000000000000002E-3</v>
      </c>
      <c r="AE5" s="7">
        <v>0</v>
      </c>
      <c r="AG5" t="s">
        <v>97</v>
      </c>
      <c r="AH5" s="7">
        <f>D19</f>
        <v>0.18484893073893899</v>
      </c>
      <c r="AJ5" t="s">
        <v>97</v>
      </c>
      <c r="AK5" s="7">
        <f>E19</f>
        <v>0.18527327910723701</v>
      </c>
    </row>
    <row r="6" spans="1:37" x14ac:dyDescent="0.2">
      <c r="C6" s="6" t="s">
        <v>42</v>
      </c>
      <c r="D6" s="6">
        <f>AVERAGE(D2:D5)</f>
        <v>0.13571110865675701</v>
      </c>
      <c r="E6" s="6">
        <f>AVERAGE(E2:E5)</f>
        <v>0.13749478629343301</v>
      </c>
      <c r="F6" s="6">
        <f>AVERAGE(F2:F5)</f>
        <v>9.2500000000000013E-3</v>
      </c>
      <c r="G6" s="6">
        <f>AVERAGE(G2:G5)</f>
        <v>1.575E-2</v>
      </c>
      <c r="H6" s="5"/>
      <c r="I6" s="5"/>
      <c r="J6" s="6"/>
      <c r="K6" s="6"/>
      <c r="L6" s="6"/>
      <c r="M6" s="6">
        <f>AVERAGE(M2:M5)</f>
        <v>2.7859817480797053E-2</v>
      </c>
      <c r="N6" s="6">
        <f>AVERAGE(N2:N5)</f>
        <v>6.1414669744372055E-2</v>
      </c>
      <c r="R6" s="7"/>
      <c r="S6" s="7"/>
      <c r="V6" s="7"/>
      <c r="W6" s="7"/>
      <c r="Z6" s="7"/>
      <c r="AA6" s="7"/>
      <c r="AD6" s="7"/>
      <c r="AE6" s="7"/>
    </row>
    <row r="7" spans="1:37" x14ac:dyDescent="0.2">
      <c r="C7" s="6" t="s">
        <v>41</v>
      </c>
      <c r="D7" s="6">
        <f>STDEV(D2:D5)</f>
        <v>0</v>
      </c>
      <c r="E7" s="6">
        <f>STDEV(E2:E5)</f>
        <v>0</v>
      </c>
      <c r="F7" s="6">
        <f>STDEV(F2:F5)</f>
        <v>6.6017674401127827E-3</v>
      </c>
      <c r="G7" s="6">
        <f>STDEV(G2:G5)</f>
        <v>4.8562674281111499E-3</v>
      </c>
      <c r="H7" s="5"/>
      <c r="I7" s="5"/>
      <c r="J7" s="6"/>
      <c r="K7" s="6"/>
      <c r="L7" s="6"/>
      <c r="M7" s="6">
        <f>STDEV(M2:M5)</f>
        <v>3.3240272240328966E-2</v>
      </c>
      <c r="N7" s="6">
        <f>STDEV(N2:N5)</f>
        <v>3.7379750070982778E-2</v>
      </c>
    </row>
    <row r="8" spans="1:37" x14ac:dyDescent="0.2">
      <c r="C8" s="6"/>
      <c r="D8" s="6"/>
      <c r="E8" s="6"/>
      <c r="F8" s="6"/>
      <c r="G8" s="6"/>
      <c r="H8" s="5"/>
      <c r="I8" s="5"/>
      <c r="J8" s="6"/>
      <c r="K8" s="6"/>
      <c r="L8" s="6"/>
      <c r="M8" s="6"/>
      <c r="N8" s="6"/>
    </row>
    <row r="9" spans="1:37" x14ac:dyDescent="0.2">
      <c r="B9" t="s">
        <v>85</v>
      </c>
      <c r="C9">
        <v>6</v>
      </c>
      <c r="D9" s="5">
        <v>0.13571110865675701</v>
      </c>
      <c r="E9" s="5">
        <v>0.13749478629343301</v>
      </c>
      <c r="F9" s="5">
        <v>9.7000000000000003E-2</v>
      </c>
      <c r="G9">
        <v>6.9000000000000006E-2</v>
      </c>
      <c r="H9" s="5">
        <f t="shared" si="3"/>
        <v>0.19409699999999999</v>
      </c>
      <c r="I9" s="5">
        <f t="shared" si="4"/>
        <v>0.138069</v>
      </c>
      <c r="J9" s="5">
        <f t="shared" ref="J9:K10" si="5">(((H9^2) / ((4.135667696E-15))) * (1/(SQRT(PI()*((D9+0.3)*0.000086173*300)))) * EXP(-(D9+0.3) / (4 * 0.000086173 * 300)))</f>
        <v>716404563243.81543</v>
      </c>
      <c r="K9" s="5">
        <f t="shared" si="5"/>
        <v>355577921145.32043</v>
      </c>
      <c r="L9" s="6">
        <v>4</v>
      </c>
      <c r="M9" s="6">
        <f t="shared" ref="M9:M10" si="6">(((1.6E-19)*(L9*0.0000001)^2)*J9)/(2*300*0.00008618*1.6E-19)</f>
        <v>2.2167697477955137</v>
      </c>
      <c r="N9" s="6">
        <f t="shared" ref="N9:N10" si="7">(((1.6E-19)*(L9*0.0000001)^2)*K9)/(2*300*0.00008618*1.6E-19)</f>
        <v>1.1002643185435763</v>
      </c>
    </row>
    <row r="10" spans="1:37" x14ac:dyDescent="0.2">
      <c r="C10">
        <v>4</v>
      </c>
      <c r="D10" s="5">
        <v>0.13571110865675701</v>
      </c>
      <c r="E10" s="5">
        <v>0.13749478629343301</v>
      </c>
      <c r="F10" s="5">
        <v>6.4000000000000001E-2</v>
      </c>
      <c r="G10">
        <v>5.7000000000000002E-2</v>
      </c>
      <c r="H10" s="5">
        <f t="shared" si="3"/>
        <v>0.12806399999999998</v>
      </c>
      <c r="I10" s="5">
        <f t="shared" si="4"/>
        <v>0.11405699999999999</v>
      </c>
      <c r="J10" s="5">
        <f t="shared" si="5"/>
        <v>311870877994.1192</v>
      </c>
      <c r="K10" s="5">
        <f t="shared" si="5"/>
        <v>242653363957.39255</v>
      </c>
      <c r="L10" s="6">
        <v>4</v>
      </c>
      <c r="M10" s="6">
        <f t="shared" si="6"/>
        <v>0.96502166935598077</v>
      </c>
      <c r="N10" s="6">
        <f t="shared" si="7"/>
        <v>0.75084200187945371</v>
      </c>
    </row>
    <row r="11" spans="1:37" x14ac:dyDescent="0.2">
      <c r="C11" s="6" t="s">
        <v>42</v>
      </c>
      <c r="D11" s="6">
        <f>AVERAGE(D9:D10)</f>
        <v>0.13571110865675701</v>
      </c>
      <c r="E11" s="6">
        <f t="shared" ref="E11:N11" si="8">AVERAGE(E9:E10)</f>
        <v>0.13749478629343301</v>
      </c>
      <c r="F11" s="6">
        <f t="shared" si="8"/>
        <v>8.0500000000000002E-2</v>
      </c>
      <c r="G11" s="6">
        <f t="shared" si="8"/>
        <v>6.3E-2</v>
      </c>
      <c r="H11" s="5"/>
      <c r="I11" s="5"/>
      <c r="J11" s="6"/>
      <c r="K11" s="6"/>
      <c r="L11" s="6"/>
      <c r="M11" s="6">
        <f t="shared" si="8"/>
        <v>1.5908957085757471</v>
      </c>
      <c r="N11" s="6">
        <f t="shared" si="8"/>
        <v>0.92555316021151501</v>
      </c>
    </row>
    <row r="12" spans="1:37" x14ac:dyDescent="0.2">
      <c r="C12" s="6" t="s">
        <v>41</v>
      </c>
      <c r="D12" s="6">
        <f>STDEV(D9:D10)</f>
        <v>0</v>
      </c>
      <c r="E12" s="6">
        <f t="shared" ref="E12:N12" si="9">STDEV(E9:E10)</f>
        <v>0</v>
      </c>
      <c r="F12" s="6">
        <f t="shared" si="9"/>
        <v>2.3334523779156027E-2</v>
      </c>
      <c r="G12" s="6">
        <f t="shared" si="9"/>
        <v>8.4852813742385732E-3</v>
      </c>
      <c r="H12" s="5"/>
      <c r="I12" s="5"/>
      <c r="J12" s="6"/>
      <c r="K12" s="6"/>
      <c r="L12" s="6"/>
      <c r="M12" s="6">
        <f t="shared" si="9"/>
        <v>0.88511955460182445</v>
      </c>
      <c r="N12" s="6">
        <f t="shared" si="9"/>
        <v>0.24707888961111429</v>
      </c>
    </row>
    <row r="13" spans="1:37" x14ac:dyDescent="0.2">
      <c r="D13" s="5"/>
      <c r="E13" s="5"/>
      <c r="F13" s="5"/>
      <c r="H13" s="5"/>
      <c r="I13" s="5"/>
      <c r="J13" s="5"/>
      <c r="K13" s="5"/>
      <c r="L13" s="6"/>
      <c r="M13" s="6"/>
      <c r="N13" s="6"/>
    </row>
    <row r="14" spans="1:37" x14ac:dyDescent="0.2">
      <c r="A14" t="s">
        <v>18</v>
      </c>
      <c r="B14" t="s">
        <v>93</v>
      </c>
      <c r="C14">
        <v>6</v>
      </c>
      <c r="D14" s="5">
        <v>0.18484893073893899</v>
      </c>
      <c r="E14" s="5">
        <v>0.18527327910723701</v>
      </c>
      <c r="F14">
        <v>1E-3</v>
      </c>
      <c r="G14">
        <v>0.01</v>
      </c>
      <c r="H14" s="5">
        <f t="shared" si="3"/>
        <v>2.0009999999999997E-3</v>
      </c>
      <c r="I14" s="5">
        <f t="shared" si="4"/>
        <v>2.001E-2</v>
      </c>
      <c r="J14" s="5">
        <f t="shared" ref="J14:K14" si="10">(((H14^2) / ((4.135667696E-15))) * (1/(SQRT(PI()*((D14+0.3)*0.000086173*300)))) * EXP(-(D14+0.3) / (4 * 0.000086173 * 300)))</f>
        <v>44878714.005420558</v>
      </c>
      <c r="K14" s="5">
        <f t="shared" si="10"/>
        <v>4467537886.555562</v>
      </c>
      <c r="L14" s="6">
        <v>4</v>
      </c>
      <c r="M14" s="6">
        <f t="shared" ref="M14:M18" si="11">(((1.6E-19)*(L14*0.0000001)^2)*J14)/(2*300*0.00008618*1.6E-19)</f>
        <v>1.3886814885254287E-4</v>
      </c>
      <c r="N14" s="6">
        <f t="shared" ref="N14:N18" si="12">(((1.6E-19)*(L14*0.0000001)^2)*K14)/(2*300*0.00008618*1.6E-19)</f>
        <v>1.382389691825036E-2</v>
      </c>
      <c r="P14" t="s">
        <v>39</v>
      </c>
    </row>
    <row r="15" spans="1:37" x14ac:dyDescent="0.2">
      <c r="C15">
        <v>5</v>
      </c>
      <c r="D15" s="5">
        <v>0.18484893073893899</v>
      </c>
      <c r="E15" s="5">
        <v>0.18527327910723701</v>
      </c>
      <c r="F15">
        <v>2E-3</v>
      </c>
      <c r="G15">
        <v>8.9999999999999993E-3</v>
      </c>
      <c r="H15" s="5">
        <f t="shared" si="3"/>
        <v>4.0019999999999995E-3</v>
      </c>
      <c r="I15" s="5">
        <f t="shared" si="4"/>
        <v>1.8008999999999997E-2</v>
      </c>
      <c r="J15" s="5">
        <f t="shared" ref="J15:K18" si="13">(((H15^2) / ((4.135667696E-15))) * (1/(SQRT(PI()*((D15+0.3)*0.000086173*300)))) * EXP(-(D15+0.3) / (4 * 0.000086173 * 300)))</f>
        <v>179514856.02168223</v>
      </c>
      <c r="K15" s="5">
        <f t="shared" si="13"/>
        <v>3618705688.1100039</v>
      </c>
      <c r="L15" s="6">
        <v>4</v>
      </c>
      <c r="M15" s="6">
        <f t="shared" si="11"/>
        <v>5.5547259541017147E-4</v>
      </c>
      <c r="N15" s="6">
        <f t="shared" si="12"/>
        <v>1.1197356503782788E-2</v>
      </c>
    </row>
    <row r="16" spans="1:37" x14ac:dyDescent="0.2">
      <c r="C16">
        <v>7</v>
      </c>
      <c r="D16" s="5">
        <v>0.18484893073893899</v>
      </c>
      <c r="E16" s="5">
        <v>0.18527327910723701</v>
      </c>
      <c r="F16">
        <v>1E-3</v>
      </c>
      <c r="G16">
        <v>0.01</v>
      </c>
      <c r="H16" s="5">
        <f t="shared" si="3"/>
        <v>2.0009999999999997E-3</v>
      </c>
      <c r="I16" s="5">
        <f t="shared" si="4"/>
        <v>2.001E-2</v>
      </c>
      <c r="J16" s="5">
        <f t="shared" si="13"/>
        <v>44878714.005420558</v>
      </c>
      <c r="K16" s="5">
        <f t="shared" si="13"/>
        <v>4467537886.555562</v>
      </c>
      <c r="L16" s="6">
        <v>4</v>
      </c>
      <c r="M16" s="6">
        <f t="shared" si="11"/>
        <v>1.3886814885254287E-4</v>
      </c>
      <c r="N16" s="6">
        <f t="shared" si="12"/>
        <v>1.382389691825036E-2</v>
      </c>
    </row>
    <row r="17" spans="2:14" x14ac:dyDescent="0.2">
      <c r="C17">
        <v>8</v>
      </c>
      <c r="D17" s="5">
        <v>0.18484893073893899</v>
      </c>
      <c r="E17" s="5">
        <v>0.18527327910723701</v>
      </c>
      <c r="F17">
        <v>0</v>
      </c>
      <c r="G17">
        <v>2E-3</v>
      </c>
      <c r="H17" s="5">
        <f t="shared" si="3"/>
        <v>0</v>
      </c>
      <c r="I17" s="5">
        <f t="shared" si="4"/>
        <v>4.0019999999999995E-3</v>
      </c>
      <c r="J17" s="5">
        <f t="shared" si="13"/>
        <v>0</v>
      </c>
      <c r="K17" s="5">
        <f t="shared" si="13"/>
        <v>178701515.46222243</v>
      </c>
      <c r="L17" s="6">
        <v>4</v>
      </c>
      <c r="M17" s="6">
        <f t="shared" si="11"/>
        <v>0</v>
      </c>
      <c r="N17" s="6">
        <f t="shared" si="12"/>
        <v>5.5295587673001426E-4</v>
      </c>
    </row>
    <row r="18" spans="2:14" x14ac:dyDescent="0.2">
      <c r="C18">
        <v>9</v>
      </c>
      <c r="D18" s="5">
        <v>0.18484893073893899</v>
      </c>
      <c r="E18" s="5">
        <v>0.18527327910723701</v>
      </c>
      <c r="F18">
        <v>1E-3</v>
      </c>
      <c r="G18">
        <v>3.0000000000000001E-3</v>
      </c>
      <c r="H18" s="5">
        <f t="shared" si="3"/>
        <v>2.0009999999999997E-3</v>
      </c>
      <c r="I18" s="5">
        <f t="shared" si="4"/>
        <v>6.0029999999999997E-3</v>
      </c>
      <c r="J18" s="5">
        <f t="shared" si="13"/>
        <v>44878714.005420558</v>
      </c>
      <c r="K18" s="5">
        <f t="shared" si="13"/>
        <v>402078409.7900005</v>
      </c>
      <c r="L18" s="6">
        <v>4</v>
      </c>
      <c r="M18" s="6">
        <f t="shared" si="11"/>
        <v>1.3886814885254287E-4</v>
      </c>
      <c r="N18" s="6">
        <f t="shared" si="12"/>
        <v>1.244150722642532E-3</v>
      </c>
    </row>
    <row r="19" spans="2:14" x14ac:dyDescent="0.2">
      <c r="C19" s="6" t="s">
        <v>42</v>
      </c>
      <c r="D19" s="6">
        <f>AVERAGE(D14:D18)</f>
        <v>0.18484893073893899</v>
      </c>
      <c r="E19" s="6">
        <f>AVERAGE(E14:E18)</f>
        <v>0.18527327910723701</v>
      </c>
      <c r="F19" s="6">
        <f>AVERAGE(F14:F18)</f>
        <v>1E-3</v>
      </c>
      <c r="G19" s="6">
        <f>AVERAGE(G14:G18)</f>
        <v>6.8000000000000005E-3</v>
      </c>
      <c r="H19" s="5"/>
      <c r="I19" s="5"/>
      <c r="J19" s="6"/>
      <c r="K19" s="6"/>
      <c r="L19" s="6"/>
      <c r="M19" s="6">
        <f>AVERAGE(M14:M18)</f>
        <v>1.9441540839355999E-4</v>
      </c>
      <c r="N19" s="6">
        <f>AVERAGE(N14:N18)</f>
        <v>8.1284513879312098E-3</v>
      </c>
    </row>
    <row r="20" spans="2:14" x14ac:dyDescent="0.2">
      <c r="C20" s="6" t="s">
        <v>41</v>
      </c>
      <c r="D20" s="6">
        <f>STDEV(D14:D18)</f>
        <v>0</v>
      </c>
      <c r="E20" s="6">
        <f>STDEV(E14:E18)</f>
        <v>0</v>
      </c>
      <c r="F20" s="6">
        <f>STDEV(F14:F18)</f>
        <v>7.0710678118654751E-4</v>
      </c>
      <c r="G20" s="6">
        <f>STDEV(G14:G18)</f>
        <v>3.9623225512317884E-3</v>
      </c>
      <c r="H20" s="5"/>
      <c r="I20" s="5"/>
      <c r="J20" s="6"/>
      <c r="K20" s="6"/>
      <c r="L20" s="6"/>
      <c r="M20" s="6">
        <f>STDEV(M14:M18)</f>
        <v>2.1060397517896857E-4</v>
      </c>
      <c r="N20" s="6">
        <f>STDEV(N14:N18)</f>
        <v>6.6909660378395358E-3</v>
      </c>
    </row>
    <row r="21" spans="2:14" x14ac:dyDescent="0.2">
      <c r="H21" s="5"/>
      <c r="I21" s="5"/>
    </row>
    <row r="22" spans="2:14" x14ac:dyDescent="0.2">
      <c r="B22" t="s">
        <v>94</v>
      </c>
      <c r="C22">
        <v>10</v>
      </c>
      <c r="D22" s="5">
        <v>0.18484893073893899</v>
      </c>
      <c r="E22" s="5">
        <v>0.18527327910723701</v>
      </c>
      <c r="F22">
        <v>1.2999999999999999E-2</v>
      </c>
      <c r="G22">
        <v>8.0000000000000002E-3</v>
      </c>
      <c r="H22" s="5">
        <f t="shared" si="3"/>
        <v>2.6012999999999998E-2</v>
      </c>
      <c r="I22" s="5">
        <f t="shared" si="4"/>
        <v>1.6007999999999998E-2</v>
      </c>
      <c r="J22" s="5">
        <f t="shared" ref="J22:K22" si="14">(((H22^2) / ((4.135667696E-15))) * (1/(SQRT(PI()*((D22+0.3)*0.000086173*300)))) * EXP(-(D22+0.3) / (4 * 0.000086173 * 300)))</f>
        <v>7584502666.9160776</v>
      </c>
      <c r="K22" s="5">
        <f t="shared" si="14"/>
        <v>2859224247.3955588</v>
      </c>
      <c r="L22" s="6">
        <v>4</v>
      </c>
      <c r="M22" s="6">
        <f t="shared" ref="M22" si="15">(((1.6E-19)*(L22*0.0000001)^2)*J22)/(2*300*0.00008618*1.6E-19)</f>
        <v>2.3468717156079753E-2</v>
      </c>
      <c r="N22" s="6">
        <f t="shared" ref="N22" si="16">(((1.6E-19)*(L22*0.0000001)^2)*K22)/(2*300*0.00008618*1.6E-19)</f>
        <v>8.8472940276802282E-3</v>
      </c>
    </row>
    <row r="23" spans="2:14" x14ac:dyDescent="0.2">
      <c r="C23" s="6" t="s">
        <v>42</v>
      </c>
      <c r="D23" s="6">
        <f>AVERAGE(D22)</f>
        <v>0.18484893073893899</v>
      </c>
      <c r="E23" s="6">
        <f t="shared" ref="E23:N23" si="17">AVERAGE(E22)</f>
        <v>0.18527327910723701</v>
      </c>
      <c r="F23" s="6">
        <f t="shared" si="17"/>
        <v>1.2999999999999999E-2</v>
      </c>
      <c r="G23" s="6">
        <f t="shared" si="17"/>
        <v>8.0000000000000002E-3</v>
      </c>
      <c r="H23" s="6"/>
      <c r="I23" s="6"/>
      <c r="J23" s="6"/>
      <c r="K23" s="6"/>
      <c r="L23" s="6"/>
      <c r="M23" s="6">
        <f t="shared" si="17"/>
        <v>2.3468717156079753E-2</v>
      </c>
      <c r="N23" s="6">
        <f t="shared" si="17"/>
        <v>8.8472940276802282E-3</v>
      </c>
    </row>
    <row r="24" spans="2:14" x14ac:dyDescent="0.2">
      <c r="C24" s="6" t="s">
        <v>41</v>
      </c>
      <c r="D24" s="6" t="e">
        <f>STDEV(D22)</f>
        <v>#DIV/0!</v>
      </c>
      <c r="E24" s="6" t="e">
        <f t="shared" ref="E24:N24" si="18">STDEV(E22)</f>
        <v>#DIV/0!</v>
      </c>
      <c r="F24" s="6" t="e">
        <f t="shared" si="18"/>
        <v>#DIV/0!</v>
      </c>
      <c r="G24" s="6" t="e">
        <f t="shared" si="18"/>
        <v>#DIV/0!</v>
      </c>
      <c r="H24" s="6"/>
      <c r="I24" s="6"/>
      <c r="J24" s="6"/>
      <c r="K24" s="6"/>
      <c r="L24" s="6"/>
      <c r="M24" s="6" t="e">
        <f t="shared" si="18"/>
        <v>#DIV/0!</v>
      </c>
      <c r="N24" s="6" t="e">
        <f t="shared" si="18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031B-F0CE-104F-8605-A2754B2063CA}">
  <dimension ref="A1:AL19"/>
  <sheetViews>
    <sheetView workbookViewId="0">
      <selection activeCell="G4" sqref="G4"/>
    </sheetView>
  </sheetViews>
  <sheetFormatPr baseColWidth="10" defaultColWidth="11" defaultRowHeight="16" x14ac:dyDescent="0.2"/>
  <cols>
    <col min="4" max="9" width="11.1640625" bestFit="1" customWidth="1"/>
    <col min="10" max="11" width="14" bestFit="1" customWidth="1"/>
    <col min="12" max="14" width="11.1640625" bestFit="1" customWidth="1"/>
  </cols>
  <sheetData>
    <row r="1" spans="1:38" x14ac:dyDescent="0.2">
      <c r="A1" t="s">
        <v>5</v>
      </c>
      <c r="B1" t="s">
        <v>0</v>
      </c>
      <c r="C1" t="s">
        <v>40</v>
      </c>
      <c r="D1" t="s">
        <v>4</v>
      </c>
      <c r="E1" t="s">
        <v>3</v>
      </c>
      <c r="F1" t="s">
        <v>1</v>
      </c>
      <c r="G1" t="s">
        <v>2</v>
      </c>
      <c r="H1" t="s">
        <v>19</v>
      </c>
      <c r="I1" t="s">
        <v>20</v>
      </c>
      <c r="J1" t="s">
        <v>12</v>
      </c>
      <c r="K1" t="s">
        <v>13</v>
      </c>
      <c r="L1" t="s">
        <v>14</v>
      </c>
      <c r="M1" t="s">
        <v>6</v>
      </c>
      <c r="N1" t="s">
        <v>7</v>
      </c>
      <c r="O1" t="s">
        <v>98</v>
      </c>
      <c r="P1" t="s">
        <v>44</v>
      </c>
      <c r="Q1" t="s">
        <v>72</v>
      </c>
      <c r="R1" t="s">
        <v>73</v>
      </c>
      <c r="T1" t="s">
        <v>45</v>
      </c>
      <c r="U1" t="s">
        <v>74</v>
      </c>
      <c r="V1" t="s">
        <v>75</v>
      </c>
      <c r="X1" t="s">
        <v>46</v>
      </c>
      <c r="Y1" t="s">
        <v>50</v>
      </c>
      <c r="Z1" t="s">
        <v>51</v>
      </c>
      <c r="AB1" t="s">
        <v>47</v>
      </c>
      <c r="AC1" t="s">
        <v>52</v>
      </c>
      <c r="AD1" t="s">
        <v>53</v>
      </c>
      <c r="AF1" t="s">
        <v>48</v>
      </c>
      <c r="AG1" t="s">
        <v>54</v>
      </c>
      <c r="AJ1" t="s">
        <v>49</v>
      </c>
      <c r="AK1" t="s">
        <v>55</v>
      </c>
    </row>
    <row r="2" spans="1:38" x14ac:dyDescent="0.2">
      <c r="A2" t="s">
        <v>33</v>
      </c>
      <c r="B2" t="s">
        <v>61</v>
      </c>
      <c r="C2">
        <v>6</v>
      </c>
      <c r="D2" s="5">
        <v>0.16760655268264499</v>
      </c>
      <c r="E2" s="5">
        <v>0.122869803277505</v>
      </c>
      <c r="F2" s="5">
        <v>1.7999999999999999E-2</v>
      </c>
      <c r="G2" s="5">
        <v>2.8000000000000001E-2</v>
      </c>
      <c r="H2" s="5">
        <f>F2*2.001</f>
        <v>3.6017999999999994E-2</v>
      </c>
      <c r="I2" s="5">
        <f>G2*2.001</f>
        <v>5.6028000000000001E-2</v>
      </c>
      <c r="J2" s="5">
        <f>(((H2^2) / ((4.135667696E-15))) * (1/(SQRT(PI()*((D2+0.3)*0.000086173*300)))) * EXP(-(D2+0.3) / (4 * 0.000086173 * 300)))</f>
        <v>17492964751.495037</v>
      </c>
      <c r="K2" s="5">
        <f>(((I2^2) / ((4.135667696E-15))) * (1/(SQRT(PI()*((E2+0.3)*0.000086173*300)))) * EXP(-(E2+0.3) / (4 * 0.000086173 * 300)))</f>
        <v>68605389477.998611</v>
      </c>
      <c r="L2" s="6">
        <v>4</v>
      </c>
      <c r="M2" s="6">
        <f>(((1.6E-19)*(L2*0.0000001)^2)*J2)/(2*300*0.00008618*1.6E-19)</f>
        <v>5.4128459043846312E-2</v>
      </c>
      <c r="N2" s="6">
        <f>(((1.6E-19)*(L2*0.0000001)^2)*K2)/(2*300*0.00008618*1.6E-19)</f>
        <v>0.21228557121682862</v>
      </c>
      <c r="P2" t="s">
        <v>96</v>
      </c>
      <c r="Q2" s="7">
        <f>M13</f>
        <v>5.2530901581112899E-3</v>
      </c>
      <c r="R2" s="7">
        <f>M14</f>
        <v>4.4573948075817662E-3</v>
      </c>
      <c r="T2" t="s">
        <v>96</v>
      </c>
      <c r="U2" s="7">
        <f>N13</f>
        <v>2.4713725585118959E-3</v>
      </c>
      <c r="V2" s="7">
        <f>N14</f>
        <v>0</v>
      </c>
      <c r="X2" t="s">
        <v>96</v>
      </c>
      <c r="Y2" s="7">
        <f>F13</f>
        <v>3.0000000000000001E-3</v>
      </c>
      <c r="Z2" s="7">
        <f>F14</f>
        <v>1.414213562373095E-3</v>
      </c>
      <c r="AB2" t="s">
        <v>96</v>
      </c>
      <c r="AC2" s="7">
        <f>G13</f>
        <v>2E-3</v>
      </c>
      <c r="AD2" s="7">
        <f>G14</f>
        <v>0</v>
      </c>
      <c r="AF2" t="s">
        <v>96</v>
      </c>
      <c r="AG2" s="7">
        <f>D13</f>
        <v>6.2329523652750803E-2</v>
      </c>
      <c r="AH2" s="7">
        <v>0</v>
      </c>
      <c r="AJ2" t="s">
        <v>96</v>
      </c>
      <c r="AK2" s="7">
        <f>E13</f>
        <v>4.76850082670554E-2</v>
      </c>
      <c r="AL2" s="7">
        <v>0</v>
      </c>
    </row>
    <row r="3" spans="1:38" x14ac:dyDescent="0.2">
      <c r="C3">
        <v>7</v>
      </c>
      <c r="D3" s="5">
        <v>0.16760655268264499</v>
      </c>
      <c r="E3" s="5">
        <v>0.122869803277505</v>
      </c>
      <c r="F3" s="5">
        <v>1.7000000000000001E-2</v>
      </c>
      <c r="G3" s="5">
        <v>2.7E-2</v>
      </c>
      <c r="H3" s="5">
        <f t="shared" ref="H3:H17" si="0">F3*2.001</f>
        <v>3.4016999999999999E-2</v>
      </c>
      <c r="I3" s="5">
        <f t="shared" ref="I3:I17" si="1">G3*2.001</f>
        <v>5.4026999999999999E-2</v>
      </c>
      <c r="J3" s="5">
        <f t="shared" ref="J3" si="2">(((H3^2) / ((4.135667696E-15))) * (1/(SQRT(PI()*((D3+0.3)*0.000086173*300)))) * EXP(-(D3+0.3) / (4 * 0.000086173 * 300)))</f>
        <v>15603292633.277981</v>
      </c>
      <c r="K3" s="5">
        <f t="shared" ref="K3" si="3">(((I3^2) / ((4.135667696E-15))) * (1/(SQRT(PI()*((E3+0.3)*0.000086173*300)))) * EXP(-(E3+0.3) / (4 * 0.000086173 * 300)))</f>
        <v>63792511389.618599</v>
      </c>
      <c r="L3" s="6">
        <v>4</v>
      </c>
      <c r="M3" s="6">
        <f t="shared" ref="M3" si="4">(((1.6E-19)*(L3*0.0000001)^2)*J3)/(2*300*0.00008618*1.6E-19)</f>
        <v>4.8281248961949332E-2</v>
      </c>
      <c r="N3" s="6">
        <f t="shared" ref="N3" si="5">(((1.6E-19)*(L3*0.0000001)^2)*K3)/(2*300*0.00008618*1.6E-19)</f>
        <v>0.1973930885421786</v>
      </c>
      <c r="P3" t="s">
        <v>96</v>
      </c>
      <c r="Q3" s="7">
        <f>M18</f>
        <v>0.1901618637236287</v>
      </c>
      <c r="R3" s="7">
        <f>M19</f>
        <v>2.8230167114684502E-2</v>
      </c>
      <c r="T3" t="s">
        <v>96</v>
      </c>
      <c r="U3" s="7">
        <f>N18</f>
        <v>5.5605882566517658E-3</v>
      </c>
      <c r="V3" s="7">
        <f>N19</f>
        <v>0</v>
      </c>
      <c r="X3" t="s">
        <v>96</v>
      </c>
      <c r="Y3" s="7">
        <f>F18</f>
        <v>1.9E-2</v>
      </c>
      <c r="Z3" s="7">
        <f>F19</f>
        <v>1.4142135623730963E-3</v>
      </c>
      <c r="AB3" t="s">
        <v>96</v>
      </c>
      <c r="AC3" s="7">
        <f>G18</f>
        <v>3.0000000000000001E-3</v>
      </c>
      <c r="AD3" s="7">
        <f>G19</f>
        <v>0</v>
      </c>
      <c r="AF3" t="s">
        <v>96</v>
      </c>
      <c r="AG3" s="7">
        <f>D18</f>
        <v>6.2329523652750803E-2</v>
      </c>
      <c r="AH3" s="7">
        <v>0</v>
      </c>
      <c r="AJ3" t="s">
        <v>96</v>
      </c>
      <c r="AK3" s="7">
        <f>E18</f>
        <v>4.76850082670554E-2</v>
      </c>
      <c r="AL3" s="7">
        <v>0</v>
      </c>
    </row>
    <row r="4" spans="1:38" x14ac:dyDescent="0.2">
      <c r="C4" s="6" t="s">
        <v>42</v>
      </c>
      <c r="D4" s="6">
        <f>AVERAGE(D2:D3)</f>
        <v>0.16760655268264499</v>
      </c>
      <c r="E4" s="6">
        <f>AVERAGE(E2:E3)</f>
        <v>0.122869803277505</v>
      </c>
      <c r="F4" s="6">
        <f>AVERAGE(F2:F3)</f>
        <v>1.7500000000000002E-2</v>
      </c>
      <c r="G4" s="6">
        <f>AVERAGE(G2:G3)</f>
        <v>2.75E-2</v>
      </c>
      <c r="H4" s="5"/>
      <c r="I4" s="5"/>
      <c r="J4" s="6"/>
      <c r="K4" s="6"/>
      <c r="L4" s="6"/>
      <c r="M4" s="6">
        <f>AVERAGE(M2:M3)</f>
        <v>5.1204854002897822E-2</v>
      </c>
      <c r="N4" s="6">
        <f>AVERAGE(N2:N3)</f>
        <v>0.2048393298795036</v>
      </c>
      <c r="P4" t="s">
        <v>95</v>
      </c>
      <c r="Q4" s="7">
        <v>4.7192358753283953E-2</v>
      </c>
      <c r="R4" s="7">
        <v>3.8106078019975054E-3</v>
      </c>
      <c r="T4" t="s">
        <v>95</v>
      </c>
      <c r="U4" s="7">
        <v>0.1887877883981221</v>
      </c>
      <c r="V4" s="7">
        <v>9.7053825459137832E-3</v>
      </c>
      <c r="X4" t="s">
        <v>95</v>
      </c>
      <c r="Y4" s="7">
        <v>1.7500000000000002E-2</v>
      </c>
      <c r="Z4" s="7">
        <v>7.0710678118654567E-4</v>
      </c>
      <c r="AB4" t="s">
        <v>95</v>
      </c>
      <c r="AC4" s="7">
        <v>2.75E-2</v>
      </c>
      <c r="AD4" s="7">
        <v>7.0710678118654816E-4</v>
      </c>
      <c r="AF4" t="s">
        <v>95</v>
      </c>
      <c r="AG4" s="7">
        <v>0.16760655268264499</v>
      </c>
      <c r="AH4" s="7">
        <v>0</v>
      </c>
      <c r="AJ4" t="s">
        <v>95</v>
      </c>
      <c r="AK4" s="7">
        <v>0.122869803277505</v>
      </c>
      <c r="AL4" s="7">
        <v>0</v>
      </c>
    </row>
    <row r="5" spans="1:38" x14ac:dyDescent="0.2">
      <c r="C5" s="6" t="s">
        <v>41</v>
      </c>
      <c r="D5" s="6">
        <f>STDEV(D2:D3)</f>
        <v>0</v>
      </c>
      <c r="E5" s="6">
        <f>STDEV(E2:E3)</f>
        <v>0</v>
      </c>
      <c r="F5" s="6">
        <f>STDEV(F2:F3)</f>
        <v>7.0710678118654567E-4</v>
      </c>
      <c r="G5" s="6">
        <f>STDEV(G2:G3)</f>
        <v>7.0710678118654816E-4</v>
      </c>
      <c r="H5" s="5"/>
      <c r="I5" s="5"/>
      <c r="J5" s="6"/>
      <c r="K5" s="6"/>
      <c r="L5" s="6"/>
      <c r="M5" s="6">
        <f>STDEV(M2:M3)</f>
        <v>4.1346018999317028E-3</v>
      </c>
      <c r="N5" s="6">
        <f>STDEV(N2:N3)</f>
        <v>1.0530575487948198E-2</v>
      </c>
      <c r="P5" t="s">
        <v>95</v>
      </c>
      <c r="Q5" s="7">
        <v>5.542985041168751E-3</v>
      </c>
      <c r="R5" s="7" t="e">
        <v>#DIV/0!</v>
      </c>
      <c r="T5" t="s">
        <v>95</v>
      </c>
      <c r="U5" s="7">
        <v>6.3885887415623621E-2</v>
      </c>
      <c r="V5" s="7" t="e">
        <v>#DIV/0!</v>
      </c>
      <c r="X5" t="s">
        <v>95</v>
      </c>
      <c r="Y5" s="7">
        <v>6.0000000000000001E-3</v>
      </c>
      <c r="Z5" s="7" t="e">
        <v>#DIV/0!</v>
      </c>
      <c r="AB5" t="s">
        <v>95</v>
      </c>
      <c r="AC5" s="7">
        <v>1.6E-2</v>
      </c>
      <c r="AD5" s="7" t="e">
        <v>#DIV/0!</v>
      </c>
      <c r="AF5" t="s">
        <v>95</v>
      </c>
      <c r="AG5" s="7">
        <v>0.16760655268264499</v>
      </c>
      <c r="AH5" s="7">
        <v>0</v>
      </c>
      <c r="AJ5" t="s">
        <v>95</v>
      </c>
      <c r="AK5" s="7">
        <v>0.122869803277505</v>
      </c>
      <c r="AL5" s="7">
        <v>0</v>
      </c>
    </row>
    <row r="6" spans="1:38" s="11" customFormat="1" x14ac:dyDescent="0.2">
      <c r="D6" s="12"/>
      <c r="E6" s="12"/>
      <c r="F6" s="12"/>
      <c r="G6" s="12"/>
      <c r="H6" s="5"/>
      <c r="I6" s="5"/>
      <c r="J6" s="12"/>
      <c r="K6" s="12"/>
      <c r="L6" s="13"/>
      <c r="M6" s="13"/>
      <c r="N6" s="13"/>
    </row>
    <row r="7" spans="1:38" s="11" customFormat="1" x14ac:dyDescent="0.2">
      <c r="A7"/>
      <c r="B7" t="s">
        <v>62</v>
      </c>
      <c r="C7">
        <v>5</v>
      </c>
      <c r="D7" s="5">
        <v>0.16760655268264499</v>
      </c>
      <c r="E7" s="5">
        <v>0.122869803277505</v>
      </c>
      <c r="F7" s="5">
        <v>6.0000000000000001E-3</v>
      </c>
      <c r="G7" s="5">
        <v>1.6E-2</v>
      </c>
      <c r="H7" s="5">
        <f t="shared" si="0"/>
        <v>1.2005999999999999E-2</v>
      </c>
      <c r="I7" s="5">
        <f t="shared" si="1"/>
        <v>3.2015999999999996E-2</v>
      </c>
      <c r="J7" s="5">
        <f t="shared" ref="J7" si="6">(((H7^2) / ((4.135667696E-15))) * (1/(SQRT(PI()*((D7+0.3)*0.000086173*300)))) * EXP(-(D7+0.3) / (4 * 0.000086173 * 300)))</f>
        <v>1943662750.1661153</v>
      </c>
      <c r="K7" s="5">
        <f t="shared" ref="K7" si="7">(((I7^2) / ((4.135667696E-15))) * (1/(SQRT(PI()*((E7+0.3)*0.000086173*300)))) * EXP(-(E7+0.3) / (4 * 0.000086173 * 300)))</f>
        <v>22401759829.550556</v>
      </c>
      <c r="L7" s="6">
        <v>4</v>
      </c>
      <c r="M7" s="6">
        <f t="shared" ref="M7" si="8">(((1.6E-19)*(L7*0.0000001)^2)*J7)/(2*300*0.00008618*1.6E-19)</f>
        <v>6.0142732270940342E-3</v>
      </c>
      <c r="N7" s="6">
        <f t="shared" ref="N7" si="9">(((1.6E-19)*(L7*0.0000001)^2)*K7)/(2*300*0.00008618*1.6E-19)</f>
        <v>6.9317737540188898E-2</v>
      </c>
    </row>
    <row r="8" spans="1:38" s="11" customFormat="1" x14ac:dyDescent="0.2">
      <c r="C8" s="6" t="s">
        <v>42</v>
      </c>
      <c r="D8" s="6">
        <f>AVERAGE(D7)</f>
        <v>0.16760655268264499</v>
      </c>
      <c r="E8" s="6">
        <f t="shared" ref="E8:N8" si="10">AVERAGE(E7)</f>
        <v>0.122869803277505</v>
      </c>
      <c r="F8" s="6">
        <f t="shared" si="10"/>
        <v>6.0000000000000001E-3</v>
      </c>
      <c r="G8" s="6">
        <f t="shared" si="10"/>
        <v>1.6E-2</v>
      </c>
      <c r="H8" s="5"/>
      <c r="I8" s="5"/>
      <c r="J8" s="6"/>
      <c r="K8" s="6"/>
      <c r="L8" s="6"/>
      <c r="M8" s="6">
        <f t="shared" si="10"/>
        <v>6.0142732270940342E-3</v>
      </c>
      <c r="N8" s="6">
        <f t="shared" si="10"/>
        <v>6.9317737540188898E-2</v>
      </c>
    </row>
    <row r="9" spans="1:38" s="11" customFormat="1" x14ac:dyDescent="0.2">
      <c r="C9" s="6" t="s">
        <v>41</v>
      </c>
      <c r="D9" s="6" t="e">
        <f>STDEV(D7)</f>
        <v>#DIV/0!</v>
      </c>
      <c r="E9" s="6" t="e">
        <f t="shared" ref="E9:N9" si="11">STDEV(E7)</f>
        <v>#DIV/0!</v>
      </c>
      <c r="F9" s="6" t="e">
        <f t="shared" si="11"/>
        <v>#DIV/0!</v>
      </c>
      <c r="G9" s="6" t="e">
        <f t="shared" si="11"/>
        <v>#DIV/0!</v>
      </c>
      <c r="H9" s="5"/>
      <c r="I9" s="5"/>
      <c r="J9" s="6"/>
      <c r="K9" s="6"/>
      <c r="L9" s="6"/>
      <c r="M9" s="6" t="e">
        <f t="shared" si="11"/>
        <v>#DIV/0!</v>
      </c>
      <c r="N9" s="6" t="e">
        <f t="shared" si="11"/>
        <v>#DIV/0!</v>
      </c>
      <c r="AK9"/>
      <c r="AL9"/>
    </row>
    <row r="10" spans="1:38" s="11" customFormat="1" x14ac:dyDescent="0.2">
      <c r="D10" s="12"/>
      <c r="E10" s="12"/>
      <c r="F10" s="12"/>
      <c r="G10" s="12"/>
      <c r="H10" s="5"/>
      <c r="I10" s="5"/>
      <c r="J10" s="12"/>
      <c r="K10" s="12"/>
      <c r="L10" s="13"/>
      <c r="M10" s="13"/>
      <c r="N10" s="13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">
      <c r="A11" t="s">
        <v>33</v>
      </c>
      <c r="B11" t="s">
        <v>63</v>
      </c>
      <c r="C11">
        <v>6</v>
      </c>
      <c r="D11" s="5">
        <v>6.2329523652750803E-2</v>
      </c>
      <c r="E11" s="5">
        <v>4.76850082670554E-2</v>
      </c>
      <c r="F11" s="5">
        <v>2E-3</v>
      </c>
      <c r="G11" s="5">
        <v>2E-3</v>
      </c>
      <c r="H11" s="5">
        <f t="shared" si="0"/>
        <v>4.0019999999999995E-3</v>
      </c>
      <c r="I11" s="5">
        <f t="shared" si="1"/>
        <v>4.0019999999999995E-3</v>
      </c>
      <c r="J11" s="5">
        <f t="shared" ref="J11:K11" si="12">(((H11^2) / ((4.135667696E-15))) * (1/(SQRT(PI()*((D11+0.3)*0.000086173*300)))) * EXP(-(D11+0.3) / (4 * 0.000086173 * 300)))</f>
        <v>679066964.73904669</v>
      </c>
      <c r="K11" s="5">
        <f t="shared" si="12"/>
        <v>798685826.59708226</v>
      </c>
      <c r="L11" s="6">
        <v>4</v>
      </c>
      <c r="M11" s="6">
        <f>(((1.6E-19)*(L11*0.0000001)^2)*J11)/(2*300*0.00008618*1.6E-19)</f>
        <v>2.1012360632445158E-3</v>
      </c>
      <c r="N11" s="6">
        <f>(((1.6E-19)*(L11*0.0000001)^2)*K11)/(2*300*0.00008618*1.6E-19)</f>
        <v>2.4713725585118959E-3</v>
      </c>
    </row>
    <row r="12" spans="1:38" x14ac:dyDescent="0.2">
      <c r="C12">
        <v>7</v>
      </c>
      <c r="D12" s="5">
        <v>6.2329523652750803E-2</v>
      </c>
      <c r="E12" s="5">
        <v>4.76850082670554E-2</v>
      </c>
      <c r="F12">
        <v>4.0000000000000001E-3</v>
      </c>
      <c r="G12">
        <v>2E-3</v>
      </c>
      <c r="H12" s="5">
        <f t="shared" si="0"/>
        <v>8.003999999999999E-3</v>
      </c>
      <c r="I12" s="5">
        <f t="shared" si="1"/>
        <v>4.0019999999999995E-3</v>
      </c>
      <c r="J12" s="5">
        <f t="shared" ref="J12" si="13">(((H12^2) / ((4.135667696E-15))) * (1/(SQRT(PI()*((D12+0.3)*0.000086173*300)))) * EXP(-(D12+0.3) / (4 * 0.000086173 * 300)))</f>
        <v>2716267858.9561868</v>
      </c>
      <c r="K12" s="5">
        <f t="shared" ref="K12" si="14">(((I12^2) / ((4.135667696E-15))) * (1/(SQRT(PI()*((E12+0.3)*0.000086173*300)))) * EXP(-(E12+0.3) / (4 * 0.000086173 * 300)))</f>
        <v>798685826.59708226</v>
      </c>
      <c r="L12" s="6">
        <v>4</v>
      </c>
      <c r="M12" s="6">
        <f>(((1.6E-19)*(L12*0.0000001)^2)*J12)/(2*300*0.00008618*1.6E-19)</f>
        <v>8.4049442529780631E-3</v>
      </c>
      <c r="N12" s="6">
        <f>(((1.6E-19)*(L12*0.0000001)^2)*K12)/(2*300*0.00008618*1.6E-19)</f>
        <v>2.4713725585118959E-3</v>
      </c>
    </row>
    <row r="13" spans="1:38" x14ac:dyDescent="0.2">
      <c r="C13" s="6" t="s">
        <v>42</v>
      </c>
      <c r="D13" s="6">
        <f>AVERAGE(D11:D12)</f>
        <v>6.2329523652750803E-2</v>
      </c>
      <c r="E13" s="6">
        <f>AVERAGE(E11:E12)</f>
        <v>4.76850082670554E-2</v>
      </c>
      <c r="F13" s="6">
        <f>AVERAGE(F11:F12)</f>
        <v>3.0000000000000001E-3</v>
      </c>
      <c r="G13" s="6">
        <f>AVERAGE(G11:G12)</f>
        <v>2E-3</v>
      </c>
      <c r="H13" s="6"/>
      <c r="I13" s="5"/>
      <c r="J13" s="6"/>
      <c r="K13" s="6"/>
      <c r="L13" s="6"/>
      <c r="M13" s="6">
        <f>AVERAGE(M11:M12)</f>
        <v>5.2530901581112899E-3</v>
      </c>
      <c r="N13" s="6">
        <f>AVERAGE(N11:N12)</f>
        <v>2.4713725585118959E-3</v>
      </c>
    </row>
    <row r="14" spans="1:38" x14ac:dyDescent="0.2">
      <c r="C14" s="6" t="s">
        <v>41</v>
      </c>
      <c r="D14" s="6">
        <f>STDEV(D11:D12)</f>
        <v>0</v>
      </c>
      <c r="E14" s="6">
        <f>STDEV(E11:E12)</f>
        <v>0</v>
      </c>
      <c r="F14" s="6">
        <f>STDEV(F11:F12)</f>
        <v>1.414213562373095E-3</v>
      </c>
      <c r="G14" s="6">
        <f>STDEV(G11:G12)</f>
        <v>0</v>
      </c>
      <c r="H14" s="5"/>
      <c r="I14" s="5"/>
      <c r="J14" s="6"/>
      <c r="K14" s="6"/>
      <c r="L14" s="6"/>
      <c r="M14" s="6">
        <f>STDEV(M11:M12)</f>
        <v>4.4573948075817662E-3</v>
      </c>
      <c r="N14" s="6">
        <f>STDEV(N11:N12)</f>
        <v>0</v>
      </c>
    </row>
    <row r="15" spans="1:38" x14ac:dyDescent="0.2">
      <c r="H15" s="5"/>
      <c r="I15" s="5"/>
    </row>
    <row r="16" spans="1:38" x14ac:dyDescent="0.2">
      <c r="B16" t="s">
        <v>64</v>
      </c>
      <c r="C16">
        <v>5</v>
      </c>
      <c r="D16" s="5">
        <v>6.2329523652750803E-2</v>
      </c>
      <c r="E16" s="5">
        <v>4.76850082670554E-2</v>
      </c>
      <c r="F16" s="5">
        <v>0.02</v>
      </c>
      <c r="G16">
        <v>3.0000000000000001E-3</v>
      </c>
      <c r="H16" s="5">
        <f t="shared" si="0"/>
        <v>4.002E-2</v>
      </c>
      <c r="I16" s="5">
        <f t="shared" si="1"/>
        <v>6.0029999999999997E-3</v>
      </c>
      <c r="J16" s="5">
        <f t="shared" ref="J16:J17" si="15">(((H16^2) / ((4.135667696E-15))) * (1/(SQRT(PI()*((D16+0.3)*0.000086173*300)))) * EXP(-(D16+0.3) / (4 * 0.000086173 * 300)))</f>
        <v>67906696473.904686</v>
      </c>
      <c r="K16" s="5">
        <f t="shared" ref="K16:K17" si="16">(((I16^2) / ((4.135667696E-15))) * (1/(SQRT(PI()*((E16+0.3)*0.000086173*300)))) * EXP(-(E16+0.3) / (4 * 0.000086173 * 300)))</f>
        <v>1797043109.8434353</v>
      </c>
      <c r="L16" s="6">
        <v>4</v>
      </c>
      <c r="M16" s="6">
        <f>(((1.6E-19)*(L16*0.0000001)^2)*J16)/(2*300*0.00008618*1.6E-19)</f>
        <v>0.21012360632445162</v>
      </c>
      <c r="N16" s="6">
        <f>(((1.6E-19)*(L16*0.0000001)^2)*K16)/(2*300*0.00008618*1.6E-19)</f>
        <v>5.5605882566517658E-3</v>
      </c>
    </row>
    <row r="17" spans="3:14" x14ac:dyDescent="0.2">
      <c r="C17">
        <v>4</v>
      </c>
      <c r="D17" s="5">
        <v>6.2329523652750803E-2</v>
      </c>
      <c r="E17" s="5">
        <v>4.76850082670554E-2</v>
      </c>
      <c r="F17">
        <v>1.7999999999999999E-2</v>
      </c>
      <c r="G17">
        <v>3.0000000000000001E-3</v>
      </c>
      <c r="H17" s="5">
        <f t="shared" si="0"/>
        <v>3.6017999999999994E-2</v>
      </c>
      <c r="I17" s="5">
        <f t="shared" si="1"/>
        <v>6.0029999999999997E-3</v>
      </c>
      <c r="J17" s="5">
        <f t="shared" si="15"/>
        <v>55004424143.862778</v>
      </c>
      <c r="K17" s="5">
        <f t="shared" si="16"/>
        <v>1797043109.8434353</v>
      </c>
      <c r="L17" s="6">
        <v>4</v>
      </c>
      <c r="M17" s="6">
        <f>(((1.6E-19)*(L17*0.0000001)^2)*J17)/(2*300*0.00008618*1.6E-19)</f>
        <v>0.17020012112280578</v>
      </c>
      <c r="N17" s="6">
        <f>(((1.6E-19)*(L17*0.0000001)^2)*K17)/(2*300*0.00008618*1.6E-19)</f>
        <v>5.5605882566517658E-3</v>
      </c>
    </row>
    <row r="18" spans="3:14" x14ac:dyDescent="0.2">
      <c r="C18" s="6" t="s">
        <v>42</v>
      </c>
      <c r="D18" s="6">
        <f>AVERAGE(D16:D17)</f>
        <v>6.2329523652750803E-2</v>
      </c>
      <c r="E18" s="6">
        <f t="shared" ref="E18:N18" si="17">AVERAGE(E16:E17)</f>
        <v>4.76850082670554E-2</v>
      </c>
      <c r="F18" s="6">
        <f t="shared" si="17"/>
        <v>1.9E-2</v>
      </c>
      <c r="G18" s="6">
        <f t="shared" si="17"/>
        <v>3.0000000000000001E-3</v>
      </c>
      <c r="H18" s="6"/>
      <c r="I18" s="6"/>
      <c r="J18" s="6"/>
      <c r="K18" s="6"/>
      <c r="L18" s="6"/>
      <c r="M18" s="6">
        <f t="shared" si="17"/>
        <v>0.1901618637236287</v>
      </c>
      <c r="N18" s="6">
        <f t="shared" si="17"/>
        <v>5.5605882566517658E-3</v>
      </c>
    </row>
    <row r="19" spans="3:14" x14ac:dyDescent="0.2">
      <c r="C19" s="6" t="s">
        <v>41</v>
      </c>
      <c r="D19" s="6">
        <f>STDEV(D16:D17)</f>
        <v>0</v>
      </c>
      <c r="E19" s="6">
        <f t="shared" ref="E19:N19" si="18">STDEV(E16:E17)</f>
        <v>0</v>
      </c>
      <c r="F19" s="6">
        <f t="shared" si="18"/>
        <v>1.4142135623730963E-3</v>
      </c>
      <c r="G19" s="6">
        <f t="shared" si="18"/>
        <v>0</v>
      </c>
      <c r="H19" s="6"/>
      <c r="I19" s="6"/>
      <c r="J19" s="6"/>
      <c r="K19" s="6"/>
      <c r="L19" s="6"/>
      <c r="M19" s="6">
        <f t="shared" si="18"/>
        <v>2.8230167114684502E-2</v>
      </c>
      <c r="N19" s="6">
        <f t="shared" si="18"/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D6A6-D69D-884A-994F-2EEE7643A3C8}">
  <dimension ref="A1:R33"/>
  <sheetViews>
    <sheetView tabSelected="1" workbookViewId="0">
      <selection activeCell="H14" sqref="H14"/>
    </sheetView>
  </sheetViews>
  <sheetFormatPr baseColWidth="10" defaultColWidth="11" defaultRowHeight="16" x14ac:dyDescent="0.2"/>
  <cols>
    <col min="1" max="1" width="12.5" customWidth="1"/>
    <col min="3" max="3" width="13" customWidth="1"/>
    <col min="6" max="6" width="16.5" customWidth="1"/>
    <col min="7" max="7" width="15.6640625" customWidth="1"/>
    <col min="8" max="8" width="13.83203125" customWidth="1"/>
    <col min="10" max="10" width="12.1640625" customWidth="1"/>
    <col min="11" max="11" width="12.5" customWidth="1"/>
    <col min="16" max="16" width="16.1640625" customWidth="1"/>
    <col min="17" max="17" width="16.33203125" customWidth="1"/>
    <col min="18" max="18" width="13.33203125" customWidth="1"/>
  </cols>
  <sheetData>
    <row r="1" spans="1:18" x14ac:dyDescent="0.2">
      <c r="A1" t="s">
        <v>56</v>
      </c>
      <c r="F1" s="7" t="s">
        <v>35</v>
      </c>
      <c r="G1" s="7" t="s">
        <v>87</v>
      </c>
      <c r="H1" s="7" t="s">
        <v>86</v>
      </c>
      <c r="I1" s="7" t="s">
        <v>110</v>
      </c>
    </row>
    <row r="2" spans="1:18" x14ac:dyDescent="0.2">
      <c r="A2" t="s">
        <v>22</v>
      </c>
      <c r="B2" s="1" t="s">
        <v>23</v>
      </c>
      <c r="D2">
        <v>7.60847E-3</v>
      </c>
      <c r="E2">
        <v>2.9973630000000001E-2</v>
      </c>
      <c r="F2" s="7">
        <f>G2</f>
        <v>3.75821E-2</v>
      </c>
      <c r="G2" s="7">
        <f>(D2+E2)</f>
        <v>3.75821E-2</v>
      </c>
      <c r="H2" s="6">
        <f>0.003</f>
        <v>3.0000000000000001E-3</v>
      </c>
      <c r="I2" s="6">
        <f>H2</f>
        <v>3.0000000000000001E-3</v>
      </c>
      <c r="L2" s="1"/>
      <c r="R2" s="6"/>
    </row>
    <row r="3" spans="1:18" x14ac:dyDescent="0.2">
      <c r="B3" s="1" t="s">
        <v>24</v>
      </c>
      <c r="D3">
        <v>8.4149800000000007E-3</v>
      </c>
      <c r="E3">
        <v>7.60847E-3</v>
      </c>
      <c r="F3" s="7">
        <f t="shared" ref="F3:F17" si="0">G3</f>
        <v>1.6023450000000002E-2</v>
      </c>
      <c r="G3" s="7">
        <f t="shared" ref="G3:G17" si="1">(D3+E3)</f>
        <v>1.6023450000000002E-2</v>
      </c>
      <c r="H3" s="6">
        <f>0.008</f>
        <v>8.0000000000000002E-3</v>
      </c>
      <c r="I3" s="6">
        <f t="shared" ref="I3:I17" si="2">H3</f>
        <v>8.0000000000000002E-3</v>
      </c>
      <c r="L3" s="1"/>
      <c r="R3" s="6"/>
    </row>
    <row r="4" spans="1:18" x14ac:dyDescent="0.2">
      <c r="A4" t="s">
        <v>27</v>
      </c>
      <c r="B4" s="1" t="s">
        <v>25</v>
      </c>
      <c r="D4">
        <v>1.0244090000000001E-2</v>
      </c>
      <c r="E4">
        <v>2.5772659999999999E-2</v>
      </c>
      <c r="F4" s="7">
        <f t="shared" si="0"/>
        <v>3.601675E-2</v>
      </c>
      <c r="G4" s="7">
        <f t="shared" si="1"/>
        <v>3.601675E-2</v>
      </c>
      <c r="H4" s="6">
        <f>0.004</f>
        <v>4.0000000000000001E-3</v>
      </c>
      <c r="I4" s="6">
        <f t="shared" si="2"/>
        <v>4.0000000000000001E-3</v>
      </c>
      <c r="L4" s="1"/>
      <c r="R4" s="6"/>
    </row>
    <row r="5" spans="1:18" x14ac:dyDescent="0.2">
      <c r="B5" s="1" t="s">
        <v>26</v>
      </c>
      <c r="D5">
        <v>1.7246270000000001E-2</v>
      </c>
      <c r="E5">
        <v>1.0244090000000001E-2</v>
      </c>
      <c r="F5" s="7">
        <f t="shared" si="0"/>
        <v>2.7490360000000002E-2</v>
      </c>
      <c r="G5" s="7">
        <f t="shared" si="1"/>
        <v>2.7490360000000002E-2</v>
      </c>
      <c r="H5" s="6">
        <f>0.015</f>
        <v>1.4999999999999999E-2</v>
      </c>
      <c r="I5" s="6">
        <f t="shared" si="2"/>
        <v>1.4999999999999999E-2</v>
      </c>
      <c r="L5" s="1"/>
      <c r="R5" s="6"/>
    </row>
    <row r="6" spans="1:18" x14ac:dyDescent="0.2">
      <c r="A6" t="s">
        <v>30</v>
      </c>
      <c r="B6" s="1" t="s">
        <v>28</v>
      </c>
      <c r="D6">
        <v>3.2782039999999998E-2</v>
      </c>
      <c r="E6">
        <v>2.5927140000000001E-2</v>
      </c>
      <c r="F6" s="7">
        <f t="shared" si="0"/>
        <v>5.870918E-2</v>
      </c>
      <c r="G6" s="7">
        <f t="shared" si="1"/>
        <v>5.870918E-2</v>
      </c>
      <c r="H6" s="7">
        <f>0.006</f>
        <v>6.0000000000000001E-3</v>
      </c>
      <c r="I6" s="6">
        <f t="shared" si="2"/>
        <v>6.0000000000000001E-3</v>
      </c>
      <c r="L6" s="1"/>
      <c r="R6" s="7"/>
    </row>
    <row r="7" spans="1:18" x14ac:dyDescent="0.2">
      <c r="B7" s="1" t="s">
        <v>29</v>
      </c>
      <c r="D7">
        <v>5.6987719999999999E-2</v>
      </c>
      <c r="E7">
        <v>3.2782039999999998E-2</v>
      </c>
      <c r="F7" s="7">
        <f t="shared" si="0"/>
        <v>8.9769760000000004E-2</v>
      </c>
      <c r="G7" s="7">
        <f t="shared" si="1"/>
        <v>8.9769760000000004E-2</v>
      </c>
      <c r="H7" s="7">
        <f>0.044</f>
        <v>4.3999999999999997E-2</v>
      </c>
      <c r="I7" s="6">
        <f t="shared" si="2"/>
        <v>4.3999999999999997E-2</v>
      </c>
      <c r="L7" s="1"/>
      <c r="R7" s="7"/>
    </row>
    <row r="8" spans="1:18" x14ac:dyDescent="0.2">
      <c r="A8" t="s">
        <v>31</v>
      </c>
      <c r="B8" s="1" t="s">
        <v>37</v>
      </c>
      <c r="D8" s="7">
        <v>-1.30988712E-3</v>
      </c>
      <c r="E8" s="7">
        <v>-1.6220942200000001E-5</v>
      </c>
      <c r="F8" s="7">
        <f t="shared" si="0"/>
        <v>1.3261080622E-3</v>
      </c>
      <c r="G8" s="7">
        <f>-(D8+E8)</f>
        <v>1.3261080622E-3</v>
      </c>
      <c r="H8" s="7">
        <f>0.003</f>
        <v>3.0000000000000001E-3</v>
      </c>
      <c r="I8" s="6">
        <f t="shared" si="2"/>
        <v>3.0000000000000001E-3</v>
      </c>
      <c r="R8" s="7"/>
    </row>
    <row r="9" spans="1:18" x14ac:dyDescent="0.2">
      <c r="B9" s="1" t="s">
        <v>36</v>
      </c>
      <c r="D9" s="7">
        <v>6.5933249399999995E-5</v>
      </c>
      <c r="E9" s="7">
        <v>-1.30988712E-3</v>
      </c>
      <c r="F9" s="7">
        <f t="shared" si="0"/>
        <v>1.2439538706E-3</v>
      </c>
      <c r="G9" s="7">
        <f>-(D9+E9)</f>
        <v>1.2439538706E-3</v>
      </c>
      <c r="H9" s="7">
        <f>0.004</f>
        <v>4.0000000000000001E-3</v>
      </c>
      <c r="I9" s="6">
        <f t="shared" si="2"/>
        <v>4.0000000000000001E-3</v>
      </c>
      <c r="R9" s="7"/>
    </row>
    <row r="10" spans="1:18" x14ac:dyDescent="0.2">
      <c r="A10" t="s">
        <v>76</v>
      </c>
      <c r="B10" s="1" t="s">
        <v>78</v>
      </c>
      <c r="D10">
        <v>8.6104379999999994E-2</v>
      </c>
      <c r="E10">
        <v>6.9771399999999997E-3</v>
      </c>
      <c r="F10" s="7">
        <f t="shared" si="0"/>
        <v>9.3081520000000001E-2</v>
      </c>
      <c r="G10" s="7">
        <f>(D10+E10)</f>
        <v>9.3081520000000001E-2</v>
      </c>
      <c r="H10" s="7">
        <f>0.003</f>
        <v>3.0000000000000001E-3</v>
      </c>
      <c r="I10" s="6">
        <f t="shared" si="2"/>
        <v>3.0000000000000001E-3</v>
      </c>
    </row>
    <row r="11" spans="1:18" x14ac:dyDescent="0.2">
      <c r="B11" s="1" t="s">
        <v>79</v>
      </c>
      <c r="D11">
        <v>3.2994950000000002E-2</v>
      </c>
      <c r="E11">
        <v>8.6104379999999994E-2</v>
      </c>
      <c r="F11" s="7">
        <f t="shared" si="0"/>
        <v>0.11909933</v>
      </c>
      <c r="G11" s="7">
        <f t="shared" si="1"/>
        <v>0.11909933</v>
      </c>
      <c r="H11" s="7">
        <f>0.003</f>
        <v>3.0000000000000001E-3</v>
      </c>
      <c r="I11" s="6">
        <f t="shared" si="2"/>
        <v>3.0000000000000001E-3</v>
      </c>
    </row>
    <row r="12" spans="1:18" x14ac:dyDescent="0.2">
      <c r="A12" t="s">
        <v>77</v>
      </c>
      <c r="B12" s="1" t="s">
        <v>80</v>
      </c>
      <c r="D12">
        <v>2.0112620000000001E-2</v>
      </c>
      <c r="E12">
        <v>3.2296489999999997E-2</v>
      </c>
      <c r="F12" s="7">
        <f t="shared" si="0"/>
        <v>5.2409109999999995E-2</v>
      </c>
      <c r="G12" s="7">
        <f t="shared" si="1"/>
        <v>5.2409109999999995E-2</v>
      </c>
      <c r="H12" s="7">
        <f>0.027</f>
        <v>2.7E-2</v>
      </c>
      <c r="I12" s="6">
        <f t="shared" si="2"/>
        <v>2.7E-2</v>
      </c>
    </row>
    <row r="13" spans="1:18" x14ac:dyDescent="0.2">
      <c r="B13" s="1" t="s">
        <v>81</v>
      </c>
      <c r="D13">
        <v>0.11761139</v>
      </c>
      <c r="E13">
        <v>2.0112620000000001E-2</v>
      </c>
      <c r="F13" s="7">
        <f t="shared" si="0"/>
        <v>0.13772401000000001</v>
      </c>
      <c r="G13" s="7">
        <f t="shared" si="1"/>
        <v>0.13772401000000001</v>
      </c>
      <c r="H13" s="7">
        <v>1.2E-2</v>
      </c>
      <c r="I13" s="6">
        <f t="shared" si="2"/>
        <v>1.2E-2</v>
      </c>
    </row>
    <row r="14" spans="1:18" x14ac:dyDescent="0.2">
      <c r="A14" t="s">
        <v>32</v>
      </c>
      <c r="B14" s="1" t="s">
        <v>100</v>
      </c>
      <c r="D14">
        <v>6.6979700000000001E-3</v>
      </c>
      <c r="F14" s="7">
        <f t="shared" si="0"/>
        <v>6.6979700000000001E-3</v>
      </c>
      <c r="G14" s="7">
        <f t="shared" si="1"/>
        <v>6.6979700000000001E-3</v>
      </c>
      <c r="H14" s="7">
        <v>1.7999999999999999E-2</v>
      </c>
      <c r="I14" s="6">
        <f t="shared" si="2"/>
        <v>1.7999999999999999E-2</v>
      </c>
    </row>
    <row r="15" spans="1:18" x14ac:dyDescent="0.2">
      <c r="B15" s="1" t="s">
        <v>101</v>
      </c>
      <c r="D15">
        <v>1.2390190000000001E-2</v>
      </c>
      <c r="F15" s="7">
        <f t="shared" si="0"/>
        <v>1.2390190000000001E-2</v>
      </c>
      <c r="G15" s="7">
        <f t="shared" si="1"/>
        <v>1.2390190000000001E-2</v>
      </c>
      <c r="H15" s="7">
        <v>6.0000000000000001E-3</v>
      </c>
      <c r="I15" s="6">
        <f t="shared" si="2"/>
        <v>6.0000000000000001E-3</v>
      </c>
    </row>
    <row r="16" spans="1:18" x14ac:dyDescent="0.2">
      <c r="A16" t="s">
        <v>65</v>
      </c>
      <c r="B16" s="1" t="s">
        <v>102</v>
      </c>
      <c r="D16" s="7">
        <v>3.4098218499999998E-6</v>
      </c>
      <c r="E16" s="7">
        <v>1.77571782E-3</v>
      </c>
      <c r="F16" s="7">
        <f t="shared" si="0"/>
        <v>1.7791276418499999E-3</v>
      </c>
      <c r="G16" s="7">
        <f t="shared" si="1"/>
        <v>1.7791276418499999E-3</v>
      </c>
      <c r="H16" s="7">
        <v>2E-3</v>
      </c>
      <c r="I16" s="6">
        <f t="shared" si="2"/>
        <v>2E-3</v>
      </c>
    </row>
    <row r="17" spans="2:18" x14ac:dyDescent="0.2">
      <c r="B17" s="1" t="s">
        <v>103</v>
      </c>
      <c r="D17" s="7">
        <v>4.9080220700000003E-3</v>
      </c>
      <c r="E17" s="7">
        <v>3.4098218499999998E-6</v>
      </c>
      <c r="F17" s="7">
        <f t="shared" si="0"/>
        <v>4.9114318918500001E-3</v>
      </c>
      <c r="G17" s="7">
        <f t="shared" si="1"/>
        <v>4.9114318918500001E-3</v>
      </c>
      <c r="H17" s="7">
        <v>3.0000000000000001E-3</v>
      </c>
      <c r="I17" s="6">
        <f t="shared" si="2"/>
        <v>3.0000000000000001E-3</v>
      </c>
    </row>
    <row r="21" spans="2:18" x14ac:dyDescent="0.2">
      <c r="G21" s="3"/>
    </row>
    <row r="22" spans="2:18" x14ac:dyDescent="0.2">
      <c r="G22" s="2"/>
    </row>
    <row r="30" spans="2:18" x14ac:dyDescent="0.2">
      <c r="P30" s="7"/>
      <c r="Q30" s="7"/>
      <c r="R30" s="7"/>
    </row>
    <row r="31" spans="2:18" x14ac:dyDescent="0.2">
      <c r="P31" s="7"/>
      <c r="Q31" s="7"/>
    </row>
    <row r="32" spans="2:18" x14ac:dyDescent="0.2">
      <c r="P32" s="7"/>
      <c r="Q32" s="7"/>
      <c r="R32" s="7"/>
    </row>
    <row r="33" spans="16:18" x14ac:dyDescent="0.2">
      <c r="P33" s="7"/>
      <c r="Q33" s="7"/>
      <c r="R33" s="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8C48-9489-054B-B0A7-F9D31C98EBEB}">
  <dimension ref="A1:H50"/>
  <sheetViews>
    <sheetView workbookViewId="0">
      <selection activeCell="I1" sqref="I1:I1048576"/>
    </sheetView>
  </sheetViews>
  <sheetFormatPr baseColWidth="10" defaultColWidth="11" defaultRowHeight="16" x14ac:dyDescent="0.2"/>
  <cols>
    <col min="1" max="1" width="23.83203125" customWidth="1"/>
    <col min="2" max="2" width="15" customWidth="1"/>
    <col min="3" max="3" width="15.33203125" customWidth="1"/>
    <col min="4" max="4" width="23.33203125" customWidth="1"/>
    <col min="7" max="7" width="17.5" customWidth="1"/>
    <col min="8" max="8" width="14.33203125" customWidth="1"/>
  </cols>
  <sheetData>
    <row r="1" spans="1:8" x14ac:dyDescent="0.2">
      <c r="A1" t="s">
        <v>104</v>
      </c>
      <c r="B1" t="s">
        <v>105</v>
      </c>
      <c r="C1" t="s">
        <v>106</v>
      </c>
      <c r="D1" t="s">
        <v>104</v>
      </c>
      <c r="E1" t="s">
        <v>107</v>
      </c>
      <c r="F1" t="s">
        <v>108</v>
      </c>
      <c r="G1" t="s">
        <v>104</v>
      </c>
      <c r="H1" t="s">
        <v>109</v>
      </c>
    </row>
    <row r="2" spans="1:8" x14ac:dyDescent="0.2">
      <c r="A2" s="15">
        <v>4.7300000000000004</v>
      </c>
      <c r="B2">
        <v>8.6999999999999994E-2</v>
      </c>
      <c r="C2">
        <v>8.3000000000000004E-2</v>
      </c>
      <c r="D2">
        <v>5.08</v>
      </c>
      <c r="E2">
        <v>6.3E-2</v>
      </c>
      <c r="F2">
        <v>7.2999999999999995E-2</v>
      </c>
      <c r="G2">
        <v>5</v>
      </c>
      <c r="H2">
        <v>0.106</v>
      </c>
    </row>
    <row r="3" spans="1:8" x14ac:dyDescent="0.2">
      <c r="A3">
        <v>4.78</v>
      </c>
      <c r="B3">
        <v>0.08</v>
      </c>
      <c r="C3">
        <v>7.8E-2</v>
      </c>
      <c r="D3">
        <v>5.13</v>
      </c>
      <c r="E3">
        <v>5.6000000000000001E-2</v>
      </c>
      <c r="F3">
        <v>6.5000000000000002E-2</v>
      </c>
      <c r="G3">
        <v>5.05</v>
      </c>
      <c r="H3">
        <v>9.7000000000000003E-2</v>
      </c>
    </row>
    <row r="4" spans="1:8" x14ac:dyDescent="0.2">
      <c r="A4" s="15">
        <v>4.83</v>
      </c>
      <c r="B4">
        <v>7.3999999999999996E-2</v>
      </c>
      <c r="C4">
        <v>7.2999999999999995E-2</v>
      </c>
      <c r="D4">
        <v>5.18</v>
      </c>
      <c r="E4">
        <v>0.05</v>
      </c>
      <c r="F4">
        <v>5.8000000000000003E-2</v>
      </c>
      <c r="G4">
        <v>5.0999999999999996</v>
      </c>
      <c r="H4">
        <v>8.7999999999999995E-2</v>
      </c>
    </row>
    <row r="5" spans="1:8" x14ac:dyDescent="0.2">
      <c r="A5">
        <v>4.88</v>
      </c>
      <c r="B5">
        <v>6.8000000000000005E-2</v>
      </c>
      <c r="C5">
        <v>6.9000000000000006E-2</v>
      </c>
      <c r="D5">
        <v>5.23</v>
      </c>
      <c r="E5">
        <v>4.4999999999999998E-2</v>
      </c>
      <c r="F5">
        <v>5.1999999999999998E-2</v>
      </c>
      <c r="G5">
        <v>5.15</v>
      </c>
      <c r="H5">
        <v>0.08</v>
      </c>
    </row>
    <row r="6" spans="1:8" x14ac:dyDescent="0.2">
      <c r="A6" s="15">
        <v>4.93</v>
      </c>
      <c r="B6">
        <v>6.2E-2</v>
      </c>
      <c r="C6">
        <v>6.4000000000000001E-2</v>
      </c>
      <c r="D6">
        <v>5.28</v>
      </c>
      <c r="E6">
        <v>0.04</v>
      </c>
      <c r="F6">
        <v>4.5999999999999999E-2</v>
      </c>
      <c r="G6">
        <v>5.2</v>
      </c>
      <c r="H6">
        <v>7.2999999999999995E-2</v>
      </c>
    </row>
    <row r="7" spans="1:8" x14ac:dyDescent="0.2">
      <c r="A7">
        <v>4.9800000000000004</v>
      </c>
      <c r="B7">
        <v>5.7000000000000002E-2</v>
      </c>
      <c r="C7">
        <v>0.06</v>
      </c>
      <c r="D7">
        <v>5.33</v>
      </c>
      <c r="E7">
        <v>3.5000000000000003E-2</v>
      </c>
      <c r="F7">
        <v>4.1000000000000002E-2</v>
      </c>
      <c r="G7">
        <v>5.25</v>
      </c>
      <c r="H7">
        <v>6.6000000000000003E-2</v>
      </c>
    </row>
    <row r="8" spans="1:8" x14ac:dyDescent="0.2">
      <c r="A8" s="15">
        <v>5.03</v>
      </c>
      <c r="B8">
        <v>5.1999999999999998E-2</v>
      </c>
      <c r="C8">
        <v>5.6000000000000001E-2</v>
      </c>
      <c r="D8">
        <v>5.38</v>
      </c>
      <c r="E8">
        <v>3.1E-2</v>
      </c>
      <c r="F8">
        <v>3.5999999999999997E-2</v>
      </c>
      <c r="G8">
        <v>5.3</v>
      </c>
      <c r="H8">
        <v>0.06</v>
      </c>
    </row>
    <row r="9" spans="1:8" x14ac:dyDescent="0.2">
      <c r="A9">
        <v>5.08</v>
      </c>
      <c r="B9">
        <v>4.8000000000000001E-2</v>
      </c>
      <c r="C9">
        <v>5.1999999999999998E-2</v>
      </c>
      <c r="D9">
        <v>5.43</v>
      </c>
      <c r="E9">
        <v>2.8000000000000001E-2</v>
      </c>
      <c r="F9">
        <v>3.2000000000000001E-2</v>
      </c>
      <c r="G9">
        <v>5.35</v>
      </c>
      <c r="H9">
        <v>5.3999999999999999E-2</v>
      </c>
    </row>
    <row r="10" spans="1:8" x14ac:dyDescent="0.2">
      <c r="A10" s="15">
        <v>5.13</v>
      </c>
      <c r="B10">
        <v>4.3999999999999997E-2</v>
      </c>
      <c r="C10">
        <v>4.8000000000000001E-2</v>
      </c>
      <c r="D10">
        <v>5.48</v>
      </c>
      <c r="E10">
        <v>2.4E-2</v>
      </c>
      <c r="F10">
        <v>2.8000000000000001E-2</v>
      </c>
      <c r="G10">
        <v>5.4</v>
      </c>
      <c r="H10">
        <v>4.9000000000000002E-2</v>
      </c>
    </row>
    <row r="11" spans="1:8" x14ac:dyDescent="0.2">
      <c r="A11">
        <v>5.18</v>
      </c>
      <c r="B11">
        <v>0.04</v>
      </c>
      <c r="C11">
        <v>4.4999999999999998E-2</v>
      </c>
      <c r="D11">
        <v>5.53</v>
      </c>
      <c r="E11">
        <v>2.1000000000000001E-2</v>
      </c>
      <c r="F11">
        <v>2.5000000000000001E-2</v>
      </c>
      <c r="G11">
        <v>5.45</v>
      </c>
      <c r="H11">
        <v>4.3999999999999997E-2</v>
      </c>
    </row>
    <row r="12" spans="1:8" x14ac:dyDescent="0.2">
      <c r="A12" s="15">
        <v>5.23</v>
      </c>
      <c r="B12">
        <v>3.5999999999999997E-2</v>
      </c>
      <c r="C12">
        <v>4.1000000000000002E-2</v>
      </c>
      <c r="D12">
        <v>5.58</v>
      </c>
      <c r="E12">
        <v>1.9E-2</v>
      </c>
      <c r="F12">
        <v>2.1999999999999999E-2</v>
      </c>
      <c r="G12">
        <v>5.5</v>
      </c>
      <c r="H12">
        <v>0.04</v>
      </c>
    </row>
    <row r="13" spans="1:8" x14ac:dyDescent="0.2">
      <c r="A13">
        <v>5.28</v>
      </c>
      <c r="B13">
        <v>3.3000000000000002E-2</v>
      </c>
      <c r="C13">
        <v>3.7999999999999999E-2</v>
      </c>
      <c r="D13">
        <v>5.63</v>
      </c>
      <c r="E13">
        <v>1.7000000000000001E-2</v>
      </c>
      <c r="F13">
        <v>1.9E-2</v>
      </c>
      <c r="G13">
        <v>5.55</v>
      </c>
      <c r="H13">
        <v>3.5999999999999997E-2</v>
      </c>
    </row>
    <row r="14" spans="1:8" x14ac:dyDescent="0.2">
      <c r="A14" s="15">
        <v>5.33</v>
      </c>
      <c r="B14">
        <v>0.03</v>
      </c>
      <c r="C14">
        <v>3.5000000000000003E-2</v>
      </c>
      <c r="D14">
        <v>5.68</v>
      </c>
      <c r="E14">
        <v>1.4E-2</v>
      </c>
      <c r="F14">
        <v>1.7000000000000001E-2</v>
      </c>
      <c r="G14">
        <v>5.6</v>
      </c>
      <c r="H14">
        <v>3.3000000000000002E-2</v>
      </c>
    </row>
    <row r="15" spans="1:8" x14ac:dyDescent="0.2">
      <c r="A15">
        <v>5.38</v>
      </c>
      <c r="B15">
        <v>2.7E-2</v>
      </c>
      <c r="C15">
        <v>3.2000000000000001E-2</v>
      </c>
      <c r="D15">
        <v>5.73</v>
      </c>
      <c r="E15">
        <v>1.2999999999999999E-2</v>
      </c>
      <c r="F15">
        <v>1.4999999999999999E-2</v>
      </c>
      <c r="G15">
        <v>5.65</v>
      </c>
      <c r="H15">
        <v>2.9000000000000001E-2</v>
      </c>
    </row>
    <row r="16" spans="1:8" x14ac:dyDescent="0.2">
      <c r="A16" s="15">
        <v>5.43</v>
      </c>
      <c r="B16">
        <v>2.4E-2</v>
      </c>
      <c r="C16">
        <v>2.9000000000000001E-2</v>
      </c>
      <c r="D16">
        <v>5.78</v>
      </c>
      <c r="E16">
        <v>1.0999999999999999E-2</v>
      </c>
      <c r="F16">
        <v>1.2999999999999999E-2</v>
      </c>
      <c r="G16">
        <v>5.7</v>
      </c>
      <c r="H16">
        <v>2.7E-2</v>
      </c>
    </row>
    <row r="17" spans="1:8" x14ac:dyDescent="0.2">
      <c r="A17">
        <v>5.48</v>
      </c>
      <c r="B17">
        <v>2.1999999999999999E-2</v>
      </c>
      <c r="C17">
        <v>2.7E-2</v>
      </c>
      <c r="D17">
        <v>5.83</v>
      </c>
      <c r="E17">
        <v>0.01</v>
      </c>
      <c r="F17">
        <v>1.0999999999999999E-2</v>
      </c>
      <c r="G17">
        <v>5.75</v>
      </c>
      <c r="H17">
        <v>2.4E-2</v>
      </c>
    </row>
    <row r="18" spans="1:8" x14ac:dyDescent="0.2">
      <c r="A18" s="15">
        <v>5.53</v>
      </c>
      <c r="B18">
        <v>0.02</v>
      </c>
      <c r="C18">
        <v>2.4E-2</v>
      </c>
      <c r="D18">
        <v>5.88</v>
      </c>
      <c r="E18">
        <v>8.0000000000000002E-3</v>
      </c>
      <c r="F18">
        <v>0.01</v>
      </c>
      <c r="G18">
        <v>5.8</v>
      </c>
      <c r="H18">
        <v>2.1999999999999999E-2</v>
      </c>
    </row>
    <row r="19" spans="1:8" x14ac:dyDescent="0.2">
      <c r="A19">
        <v>5.58</v>
      </c>
      <c r="B19">
        <v>1.7999999999999999E-2</v>
      </c>
      <c r="C19">
        <v>2.1999999999999999E-2</v>
      </c>
      <c r="D19">
        <v>5.93</v>
      </c>
      <c r="E19">
        <v>7.0000000000000001E-3</v>
      </c>
      <c r="F19">
        <v>8.0000000000000002E-3</v>
      </c>
      <c r="G19">
        <v>5.85</v>
      </c>
      <c r="H19">
        <v>1.9E-2</v>
      </c>
    </row>
    <row r="20" spans="1:8" x14ac:dyDescent="0.2">
      <c r="A20" s="15">
        <v>5.63</v>
      </c>
      <c r="B20">
        <v>1.6E-2</v>
      </c>
      <c r="C20">
        <v>0.02</v>
      </c>
      <c r="D20">
        <v>5.98</v>
      </c>
      <c r="E20">
        <v>6.0000000000000001E-3</v>
      </c>
      <c r="F20">
        <v>7.0000000000000001E-3</v>
      </c>
      <c r="G20">
        <v>5.9</v>
      </c>
      <c r="H20">
        <v>1.7000000000000001E-2</v>
      </c>
    </row>
    <row r="21" spans="1:8" x14ac:dyDescent="0.2">
      <c r="A21">
        <v>5.68</v>
      </c>
      <c r="B21">
        <v>1.4E-2</v>
      </c>
      <c r="C21">
        <v>1.7999999999999999E-2</v>
      </c>
      <c r="D21">
        <v>6.03</v>
      </c>
      <c r="E21">
        <v>6.0000000000000001E-3</v>
      </c>
      <c r="F21">
        <v>6.0000000000000001E-3</v>
      </c>
      <c r="G21">
        <v>5.95</v>
      </c>
      <c r="H21">
        <v>1.6E-2</v>
      </c>
    </row>
    <row r="22" spans="1:8" x14ac:dyDescent="0.2">
      <c r="A22" s="15">
        <v>5.73</v>
      </c>
      <c r="B22">
        <v>1.2999999999999999E-2</v>
      </c>
      <c r="C22">
        <v>1.7000000000000001E-2</v>
      </c>
      <c r="D22">
        <v>6.08</v>
      </c>
      <c r="E22">
        <v>5.0000000000000001E-3</v>
      </c>
      <c r="F22">
        <v>5.0000000000000001E-3</v>
      </c>
      <c r="G22">
        <v>6</v>
      </c>
      <c r="H22">
        <v>1.4E-2</v>
      </c>
    </row>
    <row r="23" spans="1:8" x14ac:dyDescent="0.2">
      <c r="A23">
        <v>5.78</v>
      </c>
      <c r="B23">
        <v>1.2E-2</v>
      </c>
      <c r="C23">
        <v>1.4999999999999999E-2</v>
      </c>
      <c r="D23">
        <v>6.13</v>
      </c>
      <c r="E23">
        <v>4.0000000000000001E-3</v>
      </c>
      <c r="F23">
        <v>5.0000000000000001E-3</v>
      </c>
      <c r="G23">
        <v>6.05</v>
      </c>
      <c r="H23">
        <v>1.2999999999999999E-2</v>
      </c>
    </row>
    <row r="24" spans="1:8" x14ac:dyDescent="0.2">
      <c r="A24" s="15">
        <v>5.83</v>
      </c>
      <c r="B24">
        <v>0.01</v>
      </c>
      <c r="C24">
        <v>1.2999999999999999E-2</v>
      </c>
      <c r="D24">
        <v>6.18</v>
      </c>
      <c r="E24">
        <v>4.0000000000000001E-3</v>
      </c>
      <c r="F24">
        <v>4.0000000000000001E-3</v>
      </c>
      <c r="G24">
        <v>6.1</v>
      </c>
      <c r="H24">
        <v>1.0999999999999999E-2</v>
      </c>
    </row>
    <row r="25" spans="1:8" x14ac:dyDescent="0.2">
      <c r="A25">
        <v>5.88</v>
      </c>
      <c r="B25">
        <v>8.9999999999999993E-3</v>
      </c>
      <c r="C25">
        <v>1.2E-2</v>
      </c>
      <c r="D25">
        <v>6.23</v>
      </c>
      <c r="E25">
        <v>3.0000000000000001E-3</v>
      </c>
      <c r="F25">
        <v>3.0000000000000001E-3</v>
      </c>
      <c r="G25">
        <v>6.15</v>
      </c>
      <c r="H25">
        <v>0.01</v>
      </c>
    </row>
    <row r="26" spans="1:8" x14ac:dyDescent="0.2">
      <c r="A26" s="15">
        <v>5.93</v>
      </c>
      <c r="B26">
        <v>8.0000000000000002E-3</v>
      </c>
      <c r="C26">
        <v>1.0999999999999999E-2</v>
      </c>
      <c r="D26">
        <v>6.28</v>
      </c>
      <c r="E26">
        <v>3.0000000000000001E-3</v>
      </c>
      <c r="F26">
        <v>3.0000000000000001E-3</v>
      </c>
      <c r="G26">
        <v>6.2</v>
      </c>
      <c r="H26">
        <v>8.9999999999999993E-3</v>
      </c>
    </row>
    <row r="27" spans="1:8" x14ac:dyDescent="0.2">
      <c r="A27">
        <v>5.98</v>
      </c>
      <c r="B27">
        <v>7.0000000000000001E-3</v>
      </c>
      <c r="C27">
        <v>0.01</v>
      </c>
      <c r="D27">
        <v>6.33</v>
      </c>
      <c r="E27">
        <v>2E-3</v>
      </c>
      <c r="F27">
        <v>2E-3</v>
      </c>
      <c r="G27">
        <v>6.25</v>
      </c>
      <c r="H27">
        <v>8.0000000000000002E-3</v>
      </c>
    </row>
    <row r="28" spans="1:8" x14ac:dyDescent="0.2">
      <c r="A28" s="15">
        <v>6.03</v>
      </c>
      <c r="B28">
        <v>7.0000000000000001E-3</v>
      </c>
      <c r="C28">
        <v>8.9999999999999993E-3</v>
      </c>
      <c r="D28">
        <v>6.38</v>
      </c>
      <c r="E28">
        <v>2E-3</v>
      </c>
      <c r="F28">
        <v>2E-3</v>
      </c>
      <c r="G28">
        <v>6.3</v>
      </c>
      <c r="H28">
        <v>7.0000000000000001E-3</v>
      </c>
    </row>
    <row r="29" spans="1:8" x14ac:dyDescent="0.2">
      <c r="A29">
        <v>6.08</v>
      </c>
      <c r="B29">
        <v>6.0000000000000001E-3</v>
      </c>
      <c r="C29">
        <v>8.0000000000000002E-3</v>
      </c>
      <c r="D29">
        <v>6.43</v>
      </c>
      <c r="E29">
        <v>2E-3</v>
      </c>
      <c r="F29">
        <v>2E-3</v>
      </c>
      <c r="G29">
        <v>6.35</v>
      </c>
      <c r="H29">
        <v>6.0000000000000001E-3</v>
      </c>
    </row>
    <row r="30" spans="1:8" x14ac:dyDescent="0.2">
      <c r="A30" s="15">
        <v>6.13</v>
      </c>
      <c r="B30">
        <v>5.0000000000000001E-3</v>
      </c>
      <c r="C30">
        <v>7.0000000000000001E-3</v>
      </c>
      <c r="D30">
        <v>6.48</v>
      </c>
      <c r="E30">
        <v>2E-3</v>
      </c>
      <c r="F30">
        <v>1E-3</v>
      </c>
      <c r="G30">
        <v>6.4</v>
      </c>
      <c r="H30">
        <v>6.0000000000000001E-3</v>
      </c>
    </row>
    <row r="31" spans="1:8" x14ac:dyDescent="0.2">
      <c r="A31">
        <v>6.1799999999999899</v>
      </c>
      <c r="B31">
        <v>5.0000000000000001E-3</v>
      </c>
      <c r="C31">
        <v>6.0000000000000001E-3</v>
      </c>
      <c r="D31">
        <v>6.5299999999999896</v>
      </c>
      <c r="E31">
        <v>1E-3</v>
      </c>
      <c r="F31">
        <v>1E-3</v>
      </c>
      <c r="G31">
        <v>6.4499999999999904</v>
      </c>
      <c r="H31">
        <v>5.0000000000000001E-3</v>
      </c>
    </row>
    <row r="32" spans="1:8" x14ac:dyDescent="0.2">
      <c r="A32" s="15">
        <v>6.2299999999999898</v>
      </c>
      <c r="B32">
        <v>4.0000000000000001E-3</v>
      </c>
      <c r="C32">
        <v>5.0000000000000001E-3</v>
      </c>
      <c r="D32">
        <v>6.5799999999999903</v>
      </c>
      <c r="E32">
        <v>1E-3</v>
      </c>
      <c r="F32">
        <v>1E-3</v>
      </c>
      <c r="G32">
        <v>6.4999999999999902</v>
      </c>
      <c r="H32">
        <v>5.0000000000000001E-3</v>
      </c>
    </row>
    <row r="33" spans="1:8" x14ac:dyDescent="0.2">
      <c r="A33">
        <v>6.2799999999999896</v>
      </c>
      <c r="B33">
        <v>4.0000000000000001E-3</v>
      </c>
      <c r="C33">
        <v>5.0000000000000001E-3</v>
      </c>
      <c r="D33">
        <v>6.6299999999999901</v>
      </c>
      <c r="E33">
        <v>1E-3</v>
      </c>
      <c r="F33">
        <v>1E-3</v>
      </c>
      <c r="G33">
        <v>6.5499999999999901</v>
      </c>
      <c r="H33">
        <v>4.0000000000000001E-3</v>
      </c>
    </row>
    <row r="34" spans="1:8" x14ac:dyDescent="0.2">
      <c r="A34" s="15">
        <v>6.3299999999999903</v>
      </c>
      <c r="B34">
        <v>3.0000000000000001E-3</v>
      </c>
      <c r="C34">
        <v>4.0000000000000001E-3</v>
      </c>
      <c r="D34">
        <v>6.6799999999999899</v>
      </c>
      <c r="E34">
        <v>1E-3</v>
      </c>
      <c r="F34">
        <v>1E-3</v>
      </c>
      <c r="G34">
        <v>6.5999999999999899</v>
      </c>
      <c r="H34">
        <v>4.0000000000000001E-3</v>
      </c>
    </row>
    <row r="35" spans="1:8" x14ac:dyDescent="0.2">
      <c r="A35">
        <v>6.3799999999999901</v>
      </c>
      <c r="B35">
        <v>3.0000000000000001E-3</v>
      </c>
      <c r="C35">
        <v>4.0000000000000001E-3</v>
      </c>
      <c r="D35">
        <v>6.7299999999999898</v>
      </c>
      <c r="E35">
        <v>1E-3</v>
      </c>
      <c r="F35">
        <v>1E-3</v>
      </c>
      <c r="G35">
        <v>6.6499999999999897</v>
      </c>
      <c r="H35">
        <v>3.0000000000000001E-3</v>
      </c>
    </row>
    <row r="36" spans="1:8" x14ac:dyDescent="0.2">
      <c r="A36" s="15">
        <v>6.4299999999999899</v>
      </c>
      <c r="B36">
        <v>3.0000000000000001E-3</v>
      </c>
      <c r="C36">
        <v>3.0000000000000001E-3</v>
      </c>
      <c r="D36">
        <v>6.7799999999999896</v>
      </c>
      <c r="E36">
        <v>1E-3</v>
      </c>
      <c r="G36">
        <v>6.6999999999999904</v>
      </c>
      <c r="H36">
        <v>3.0000000000000001E-3</v>
      </c>
    </row>
    <row r="37" spans="1:8" x14ac:dyDescent="0.2">
      <c r="A37">
        <v>6.4799999999999898</v>
      </c>
      <c r="B37">
        <v>2E-3</v>
      </c>
      <c r="C37">
        <v>3.0000000000000001E-3</v>
      </c>
      <c r="D37">
        <v>6.8299999999999903</v>
      </c>
      <c r="E37">
        <v>1E-3</v>
      </c>
      <c r="G37">
        <v>6.7499999999999902</v>
      </c>
      <c r="H37">
        <v>3.0000000000000001E-3</v>
      </c>
    </row>
    <row r="38" spans="1:8" x14ac:dyDescent="0.2">
      <c r="A38" s="15">
        <v>6.5299999999999896</v>
      </c>
      <c r="B38">
        <v>2E-3</v>
      </c>
      <c r="C38">
        <v>3.0000000000000001E-3</v>
      </c>
      <c r="D38">
        <v>6.8799999999999901</v>
      </c>
      <c r="E38">
        <v>1E-3</v>
      </c>
      <c r="G38">
        <v>6.7999999999999901</v>
      </c>
      <c r="H38">
        <v>2E-3</v>
      </c>
    </row>
    <row r="39" spans="1:8" x14ac:dyDescent="0.2">
      <c r="A39">
        <v>6.5799999999999903</v>
      </c>
      <c r="B39">
        <v>2E-3</v>
      </c>
      <c r="C39">
        <v>2E-3</v>
      </c>
      <c r="D39">
        <v>6.9299999999999899</v>
      </c>
      <c r="E39">
        <v>1E-3</v>
      </c>
      <c r="G39">
        <v>6.8499999999999899</v>
      </c>
      <c r="H39">
        <v>2E-3</v>
      </c>
    </row>
    <row r="40" spans="1:8" x14ac:dyDescent="0.2">
      <c r="A40" s="15">
        <v>6.6299999999999901</v>
      </c>
      <c r="B40">
        <v>2E-3</v>
      </c>
      <c r="C40">
        <v>2E-3</v>
      </c>
      <c r="D40">
        <v>6.9799999999999898</v>
      </c>
      <c r="G40">
        <v>6.8999999999999897</v>
      </c>
      <c r="H40">
        <v>2E-3</v>
      </c>
    </row>
    <row r="41" spans="1:8" x14ac:dyDescent="0.2">
      <c r="A41">
        <v>6.6799999999999899</v>
      </c>
      <c r="B41">
        <v>1E-3</v>
      </c>
      <c r="C41">
        <v>2E-3</v>
      </c>
      <c r="D41">
        <v>7.0299999999999896</v>
      </c>
      <c r="G41">
        <v>6.9499999999999904</v>
      </c>
      <c r="H41">
        <v>2E-3</v>
      </c>
    </row>
    <row r="42" spans="1:8" x14ac:dyDescent="0.2">
      <c r="A42" s="15">
        <v>6.7299999999999898</v>
      </c>
      <c r="B42">
        <v>1E-3</v>
      </c>
      <c r="C42">
        <v>2E-3</v>
      </c>
      <c r="D42">
        <v>7.0799999999999903</v>
      </c>
      <c r="G42">
        <v>6.9999999999999902</v>
      </c>
      <c r="H42">
        <v>1E-3</v>
      </c>
    </row>
    <row r="43" spans="1:8" x14ac:dyDescent="0.2">
      <c r="A43">
        <v>6.7799999999999896</v>
      </c>
      <c r="B43">
        <v>1E-3</v>
      </c>
      <c r="C43">
        <v>1E-3</v>
      </c>
      <c r="D43">
        <v>7.1299999999999901</v>
      </c>
      <c r="G43">
        <v>7.0499999999999901</v>
      </c>
      <c r="H43">
        <v>1E-3</v>
      </c>
    </row>
    <row r="44" spans="1:8" x14ac:dyDescent="0.2">
      <c r="A44" s="15">
        <v>6.8299999999999903</v>
      </c>
      <c r="B44">
        <v>1E-3</v>
      </c>
      <c r="C44">
        <v>1E-3</v>
      </c>
      <c r="D44">
        <v>7.1799999999999899</v>
      </c>
      <c r="G44">
        <v>7.0999999999999899</v>
      </c>
      <c r="H44">
        <v>1E-3</v>
      </c>
    </row>
    <row r="45" spans="1:8" x14ac:dyDescent="0.2">
      <c r="A45">
        <v>6.8799999999999901</v>
      </c>
      <c r="B45">
        <v>1E-3</v>
      </c>
      <c r="C45">
        <v>1E-3</v>
      </c>
      <c r="D45">
        <v>7.2299999999999898</v>
      </c>
      <c r="G45">
        <v>7.1499999999999897</v>
      </c>
      <c r="H45">
        <v>1E-3</v>
      </c>
    </row>
    <row r="46" spans="1:8" x14ac:dyDescent="0.2">
      <c r="A46" s="15">
        <v>6.9299999999999899</v>
      </c>
      <c r="B46">
        <v>1E-3</v>
      </c>
      <c r="C46">
        <v>1E-3</v>
      </c>
      <c r="D46">
        <v>7.2799999999999896</v>
      </c>
      <c r="G46">
        <v>7.1999999999999904</v>
      </c>
      <c r="H46">
        <v>1E-3</v>
      </c>
    </row>
    <row r="47" spans="1:8" x14ac:dyDescent="0.2">
      <c r="A47">
        <v>6.9799999999999898</v>
      </c>
      <c r="B47">
        <v>1E-3</v>
      </c>
      <c r="C47">
        <v>1E-3</v>
      </c>
      <c r="D47">
        <v>7.3299999999999903</v>
      </c>
      <c r="G47">
        <v>7.2499999999999902</v>
      </c>
      <c r="H47">
        <v>1E-3</v>
      </c>
    </row>
    <row r="48" spans="1:8" x14ac:dyDescent="0.2">
      <c r="A48" s="15">
        <v>7.0299999999999896</v>
      </c>
      <c r="B48">
        <v>1E-3</v>
      </c>
      <c r="C48">
        <v>1E-3</v>
      </c>
      <c r="D48">
        <v>7.3799999999999901</v>
      </c>
      <c r="G48">
        <v>7.2999999999999901</v>
      </c>
      <c r="H48">
        <v>1E-3</v>
      </c>
    </row>
    <row r="49" spans="1:8" x14ac:dyDescent="0.2">
      <c r="A49">
        <v>7.0799999999999903</v>
      </c>
      <c r="B49">
        <v>1E-3</v>
      </c>
      <c r="C49">
        <v>1E-3</v>
      </c>
      <c r="D49">
        <v>7.4299999999999899</v>
      </c>
      <c r="G49">
        <v>7.3499999999999899</v>
      </c>
      <c r="H49">
        <v>1E-3</v>
      </c>
    </row>
    <row r="50" spans="1:8" x14ac:dyDescent="0.2">
      <c r="A50" s="15">
        <v>7.1299999999999901</v>
      </c>
      <c r="B50">
        <v>1E-3</v>
      </c>
      <c r="D50">
        <v>7.4799999999999898</v>
      </c>
      <c r="G50">
        <v>7.3999999999999897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 A</vt:lpstr>
      <vt:lpstr>Base B</vt:lpstr>
      <vt:lpstr>Base C</vt:lpstr>
      <vt:lpstr>Base D</vt:lpstr>
      <vt:lpstr>Base E</vt:lpstr>
      <vt:lpstr>Base F</vt:lpstr>
      <vt:lpstr>ClosedRing</vt:lpstr>
      <vt:lpstr>Gaussian</vt:lpstr>
      <vt:lpstr>JvsX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Harries, Joseph</dc:creator>
  <cp:lastModifiedBy>Harries, Joseph</cp:lastModifiedBy>
  <dcterms:created xsi:type="dcterms:W3CDTF">2024-10-14T15:31:22Z</dcterms:created>
  <dcterms:modified xsi:type="dcterms:W3CDTF">2025-04-27T17:51:41Z</dcterms:modified>
</cp:coreProperties>
</file>