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foster/My Drive/Projects/Orbital Mechanics/parambulator/calculators/"/>
    </mc:Choice>
  </mc:AlternateContent>
  <xr:revisionPtr revIDLastSave="0" documentId="13_ncr:1_{CE3B7FE2-AF51-DE48-B0B8-8941C69D293C}" xr6:coauthVersionLast="47" xr6:coauthVersionMax="47" xr10:uidLastSave="{00000000-0000-0000-0000-000000000000}"/>
  <bookViews>
    <workbookView xWindow="0" yWindow="880" windowWidth="36000" windowHeight="22500" xr2:uid="{B3B253B2-74AE-5A4D-BAC3-F659F21F5A8A}"/>
  </bookViews>
  <sheets>
    <sheet name="Cartesian-to-Kepler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8" i="1"/>
  <c r="D21" i="1"/>
  <c r="E33" i="1" s="1"/>
  <c r="F21" i="1"/>
  <c r="E21" i="1"/>
  <c r="D33" i="1" s="1"/>
  <c r="D19" i="1"/>
  <c r="D18" i="1"/>
  <c r="D28" i="1" l="1"/>
  <c r="D24" i="1"/>
  <c r="D34" i="1"/>
  <c r="D36" i="1" s="1"/>
  <c r="D11" i="1" s="1"/>
  <c r="E28" i="1"/>
  <c r="D22" i="1"/>
  <c r="D31" i="1" s="1"/>
  <c r="F28" i="1"/>
  <c r="D26" i="1"/>
  <c r="D29" i="1" l="1"/>
  <c r="D51" i="1" s="1"/>
  <c r="D16" i="1" s="1"/>
  <c r="D8" i="1"/>
  <c r="D10" i="1"/>
  <c r="D49" i="1"/>
  <c r="D42" i="1" l="1"/>
  <c r="D9" i="1"/>
  <c r="D52" i="1"/>
  <c r="D15" i="1" s="1"/>
  <c r="D40" i="1"/>
  <c r="D12" i="1" s="1"/>
  <c r="D44" i="1" l="1"/>
  <c r="D46" i="1" s="1"/>
  <c r="D47" i="1" s="1"/>
  <c r="D13" i="1"/>
</calcChain>
</file>

<file path=xl/sharedStrings.xml><?xml version="1.0" encoding="utf-8"?>
<sst xmlns="http://schemas.openxmlformats.org/spreadsheetml/2006/main" count="97" uniqueCount="56">
  <si>
    <t>r</t>
  </si>
  <si>
    <t>v</t>
  </si>
  <si>
    <t>r_vec</t>
  </si>
  <si>
    <t>v_vec</t>
  </si>
  <si>
    <t>km</t>
  </si>
  <si>
    <t>km/s</t>
  </si>
  <si>
    <t>position magnitude</t>
  </si>
  <si>
    <t>velocity magnitude</t>
  </si>
  <si>
    <t>specific angular momentum</t>
  </si>
  <si>
    <t>h</t>
  </si>
  <si>
    <t>km^2/s^2</t>
  </si>
  <si>
    <t>specific angular momentum magnitude</t>
  </si>
  <si>
    <t>specific energy of the orbit</t>
  </si>
  <si>
    <t>h_vec</t>
  </si>
  <si>
    <t>u</t>
  </si>
  <si>
    <t>u_moon</t>
  </si>
  <si>
    <t>u_earth</t>
  </si>
  <si>
    <t>E</t>
  </si>
  <si>
    <t>semi-major axis</t>
  </si>
  <si>
    <t>a</t>
  </si>
  <si>
    <t>e</t>
  </si>
  <si>
    <t>eccentricity vector</t>
  </si>
  <si>
    <t>e_vec</t>
  </si>
  <si>
    <t>eccentricity</t>
  </si>
  <si>
    <t>position</t>
  </si>
  <si>
    <t>velocity</t>
  </si>
  <si>
    <t>inclination</t>
  </si>
  <si>
    <t>i</t>
  </si>
  <si>
    <t>deg</t>
  </si>
  <si>
    <t>node vector</t>
  </si>
  <si>
    <t>n</t>
  </si>
  <si>
    <t>n_vec</t>
  </si>
  <si>
    <t>node vector magnitude</t>
  </si>
  <si>
    <t>right ascension of the ascending node</t>
  </si>
  <si>
    <t>RAAN</t>
  </si>
  <si>
    <t>argument of periapsis</t>
  </si>
  <si>
    <t>omega</t>
  </si>
  <si>
    <t>True Anomaly</t>
  </si>
  <si>
    <t>nu</t>
  </si>
  <si>
    <t>QUAD_CHECK</t>
  </si>
  <si>
    <t>r_vec * d_vec</t>
  </si>
  <si>
    <t>Eccentric Anomaly</t>
  </si>
  <si>
    <t>eng</t>
  </si>
  <si>
    <t>Mean Anomaly</t>
  </si>
  <si>
    <t>M</t>
  </si>
  <si>
    <t>Period</t>
  </si>
  <si>
    <t>P</t>
  </si>
  <si>
    <t>Apogee</t>
  </si>
  <si>
    <t>r_a</t>
  </si>
  <si>
    <t>Perigee</t>
  </si>
  <si>
    <t>r_p</t>
  </si>
  <si>
    <t>Omega</t>
  </si>
  <si>
    <t>hrs</t>
  </si>
  <si>
    <t>primary body gravitational parameter</t>
  </si>
  <si>
    <t>km^3/s^2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</si>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</sst>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9341-60C9-3B44-98AE-3F9E23D8B7BC}">
  <dimension ref="B1:G52"/>
  <sheetViews>
    <sheetView tabSelected="1" zoomScale="183" workbookViewId="0">
      <selection activeCell="D3" sqref="D3"/>
    </sheetView>
  </sheetViews>
  <sheetFormatPr baseColWidth="10" defaultRowHeight="16" x14ac:dyDescent="0.2"/>
  <cols>
    <col min="1" max="1" width="10.83203125" style="1"/>
    <col min="2" max="2" width="34.1640625" style="1" bestFit="1" customWidth="1"/>
    <col min="3" max="3" width="12.1640625" style="1" customWidth="1"/>
    <col min="4" max="6" width="11.1640625" style="1" customWidth="1"/>
    <col min="7" max="16384" width="10.83203125" style="1"/>
  </cols>
  <sheetData>
    <row r="1" spans="2:7" x14ac:dyDescent="0.2">
      <c r="C1" s="1" t="s">
        <v>16</v>
      </c>
      <c r="D1" s="1">
        <f>3.986*(10^5)</f>
        <v>398600</v>
      </c>
      <c r="E1" s="1" t="s">
        <v>54</v>
      </c>
    </row>
    <row r="2" spans="2:7" x14ac:dyDescent="0.2">
      <c r="C2" s="1" t="s">
        <v>15</v>
      </c>
      <c r="D2" s="1">
        <f>4.903*(10^3)</f>
        <v>4903</v>
      </c>
      <c r="E2" s="1" t="s">
        <v>54</v>
      </c>
    </row>
    <row r="3" spans="2:7" ht="17" thickBot="1" x14ac:dyDescent="0.25"/>
    <row r="4" spans="2:7" x14ac:dyDescent="0.2">
      <c r="B4" s="2" t="s">
        <v>24</v>
      </c>
      <c r="C4" s="3" t="s">
        <v>2</v>
      </c>
      <c r="D4" s="12">
        <v>8000</v>
      </c>
      <c r="E4" s="3">
        <v>8000</v>
      </c>
      <c r="F4" s="3">
        <v>0</v>
      </c>
      <c r="G4" s="4" t="s">
        <v>4</v>
      </c>
    </row>
    <row r="5" spans="2:7" x14ac:dyDescent="0.2">
      <c r="B5" s="5" t="s">
        <v>25</v>
      </c>
      <c r="C5" s="1" t="s">
        <v>3</v>
      </c>
      <c r="D5" s="11">
        <v>1</v>
      </c>
      <c r="E5" s="1">
        <v>4</v>
      </c>
      <c r="F5" s="1">
        <v>0.1</v>
      </c>
      <c r="G5" s="6" t="s">
        <v>5</v>
      </c>
    </row>
    <row r="6" spans="2:7" ht="17" thickBot="1" x14ac:dyDescent="0.25">
      <c r="B6" s="7" t="s">
        <v>53</v>
      </c>
      <c r="C6" s="8" t="s">
        <v>14</v>
      </c>
      <c r="D6" s="13">
        <v>398600.43289693899</v>
      </c>
      <c r="E6" s="8" t="s">
        <v>54</v>
      </c>
      <c r="F6" s="8"/>
      <c r="G6" s="9"/>
    </row>
    <row r="7" spans="2:7" ht="17" thickBot="1" x14ac:dyDescent="0.25">
      <c r="D7" s="11"/>
    </row>
    <row r="8" spans="2:7" x14ac:dyDescent="0.2">
      <c r="B8" s="2" t="s">
        <v>18</v>
      </c>
      <c r="C8" s="3" t="s">
        <v>19</v>
      </c>
      <c r="D8" s="12">
        <f>D26</f>
        <v>7456.9891279729654</v>
      </c>
      <c r="E8" s="4" t="s">
        <v>4</v>
      </c>
    </row>
    <row r="9" spans="2:7" x14ac:dyDescent="0.2">
      <c r="B9" s="5" t="s">
        <v>23</v>
      </c>
      <c r="C9" s="1" t="s">
        <v>20</v>
      </c>
      <c r="D9" s="11">
        <f>D29</f>
        <v>0.89765466467796973</v>
      </c>
      <c r="E9" s="6" t="s">
        <v>55</v>
      </c>
    </row>
    <row r="10" spans="2:7" x14ac:dyDescent="0.2">
      <c r="B10" s="5" t="s">
        <v>26</v>
      </c>
      <c r="C10" s="1" t="s">
        <v>27</v>
      </c>
      <c r="D10" s="11">
        <f>D31</f>
        <v>2.6990305102254761</v>
      </c>
      <c r="E10" s="6" t="s">
        <v>28</v>
      </c>
    </row>
    <row r="11" spans="2:7" x14ac:dyDescent="0.2">
      <c r="B11" s="5" t="s">
        <v>34</v>
      </c>
      <c r="C11" s="1" t="s">
        <v>51</v>
      </c>
      <c r="D11" s="11">
        <f>D36</f>
        <v>45.001327204055606</v>
      </c>
      <c r="E11" s="6" t="s">
        <v>28</v>
      </c>
    </row>
    <row r="12" spans="2:7" x14ac:dyDescent="0.2">
      <c r="B12" s="5" t="s">
        <v>35</v>
      </c>
      <c r="C12" s="1" t="s">
        <v>36</v>
      </c>
      <c r="D12" s="11">
        <f>D40</f>
        <v>193.72889377665285</v>
      </c>
      <c r="E12" s="6" t="s">
        <v>28</v>
      </c>
    </row>
    <row r="13" spans="2:7" x14ac:dyDescent="0.2">
      <c r="B13" s="5" t="s">
        <v>37</v>
      </c>
      <c r="C13" s="1" t="s">
        <v>38</v>
      </c>
      <c r="D13" s="11">
        <f>D42</f>
        <v>166.27110622334715</v>
      </c>
      <c r="E13" s="6" t="s">
        <v>28</v>
      </c>
    </row>
    <row r="14" spans="2:7" x14ac:dyDescent="0.2">
      <c r="B14" s="5"/>
      <c r="D14" s="11"/>
      <c r="E14" s="6"/>
    </row>
    <row r="15" spans="2:7" x14ac:dyDescent="0.2">
      <c r="B15" s="5" t="s">
        <v>47</v>
      </c>
      <c r="C15" s="1" t="s">
        <v>48</v>
      </c>
      <c r="D15" s="11">
        <f>D52</f>
        <v>14150.790203150804</v>
      </c>
      <c r="E15" s="6" t="s">
        <v>4</v>
      </c>
    </row>
    <row r="16" spans="2:7" ht="17" thickBot="1" x14ac:dyDescent="0.25">
      <c r="B16" s="7" t="s">
        <v>49</v>
      </c>
      <c r="C16" s="8" t="s">
        <v>50</v>
      </c>
      <c r="D16" s="13">
        <f>D51</f>
        <v>763.18805279512731</v>
      </c>
      <c r="E16" s="9" t="s">
        <v>4</v>
      </c>
    </row>
    <row r="17" spans="2:7" x14ac:dyDescent="0.2">
      <c r="D17" s="11"/>
    </row>
    <row r="18" spans="2:7" x14ac:dyDescent="0.2">
      <c r="B18" s="1" t="s">
        <v>6</v>
      </c>
      <c r="C18" s="1" t="s">
        <v>0</v>
      </c>
      <c r="D18" s="11">
        <f>SQRT(D4^2 + E4^2 + F4^2)</f>
        <v>11313.708498984761</v>
      </c>
      <c r="E18" s="1" t="s">
        <v>4</v>
      </c>
    </row>
    <row r="19" spans="2:7" x14ac:dyDescent="0.2">
      <c r="B19" s="1" t="s">
        <v>7</v>
      </c>
      <c r="C19" s="1" t="s">
        <v>1</v>
      </c>
      <c r="D19" s="11">
        <f>SQRT(D5^2 + E5^2 + F5^2)</f>
        <v>4.1243181254602561</v>
      </c>
      <c r="E19" s="1" t="s">
        <v>5</v>
      </c>
    </row>
    <row r="20" spans="2:7" x14ac:dyDescent="0.2">
      <c r="D20" s="11"/>
    </row>
    <row r="21" spans="2:7" x14ac:dyDescent="0.2">
      <c r="B21" s="1" t="s">
        <v>8</v>
      </c>
      <c r="C21" s="1" t="s">
        <v>13</v>
      </c>
      <c r="D21" s="11">
        <f>E4*F5-F4*E5</f>
        <v>800</v>
      </c>
      <c r="E21" s="1">
        <f>-(D4*F5-F4*D5)</f>
        <v>-800</v>
      </c>
      <c r="F21" s="1">
        <f>D4*E5-E4*D5</f>
        <v>24000</v>
      </c>
      <c r="G21" s="1" t="s">
        <v>10</v>
      </c>
    </row>
    <row r="22" spans="2:7" x14ac:dyDescent="0.2">
      <c r="B22" s="1" t="s">
        <v>11</v>
      </c>
      <c r="C22" s="1" t="s">
        <v>9</v>
      </c>
      <c r="D22" s="11">
        <f>SQRT(D21^2 + E21^2 + F21^2)</f>
        <v>24026.65186828993</v>
      </c>
      <c r="E22" s="1" t="s">
        <v>10</v>
      </c>
    </row>
    <row r="23" spans="2:7" x14ac:dyDescent="0.2">
      <c r="D23" s="11"/>
    </row>
    <row r="24" spans="2:7" x14ac:dyDescent="0.2">
      <c r="B24" s="1" t="s">
        <v>12</v>
      </c>
      <c r="C24" s="1" t="s">
        <v>42</v>
      </c>
      <c r="D24" s="11">
        <f>(D19^2)/2 - D6/D18</f>
        <v>-26.726633635664868</v>
      </c>
      <c r="E24" s="1" t="s">
        <v>10</v>
      </c>
    </row>
    <row r="25" spans="2:7" x14ac:dyDescent="0.2">
      <c r="D25" s="11"/>
    </row>
    <row r="26" spans="2:7" x14ac:dyDescent="0.2">
      <c r="B26" s="1" t="s">
        <v>18</v>
      </c>
      <c r="C26" s="1" t="s">
        <v>19</v>
      </c>
      <c r="D26" s="11">
        <f>(-D6)/(2*D24)</f>
        <v>7456.9891279729654</v>
      </c>
      <c r="E26" s="1" t="s">
        <v>4</v>
      </c>
    </row>
    <row r="27" spans="2:7" x14ac:dyDescent="0.2">
      <c r="D27" s="11"/>
    </row>
    <row r="28" spans="2:7" x14ac:dyDescent="0.2">
      <c r="B28" s="1" t="s">
        <v>21</v>
      </c>
      <c r="C28" s="1" t="s">
        <v>22</v>
      </c>
      <c r="D28" s="11">
        <f>(1/$D6)*(($D19^2-$D6/$D18)*D4-($D4*$D5+$E4*$E5+$F4*$F5)*D5)</f>
        <v>-0.46606339018540888</v>
      </c>
      <c r="E28" s="1">
        <f>(1/$D6)*(($D19^2-$D6/$D18)*E4-($D4*$D5+$E4*$E5+$F4*$F5)*E5)</f>
        <v>-0.76711675113604005</v>
      </c>
      <c r="F28" s="1">
        <f>(1/$D6)*(($D19^2-$D6/$D18)*F4-($D4*$D5+$E4*$E5+$F4*$F5)*F5)</f>
        <v>-1.0035112031687705E-2</v>
      </c>
      <c r="G28" s="1" t="s">
        <v>55</v>
      </c>
    </row>
    <row r="29" spans="2:7" x14ac:dyDescent="0.2">
      <c r="B29" s="1" t="s">
        <v>23</v>
      </c>
      <c r="C29" s="1" t="s">
        <v>20</v>
      </c>
      <c r="D29" s="11">
        <f>SQRT(D28^2 + E28^2 + F28^2)</f>
        <v>0.89765466467796973</v>
      </c>
      <c r="E29" s="1" t="s">
        <v>55</v>
      </c>
    </row>
    <row r="30" spans="2:7" x14ac:dyDescent="0.2">
      <c r="D30" s="11"/>
    </row>
    <row r="31" spans="2:7" x14ac:dyDescent="0.2">
      <c r="B31" s="1" t="s">
        <v>26</v>
      </c>
      <c r="C31" s="1" t="s">
        <v>27</v>
      </c>
      <c r="D31" s="11">
        <f>ACOS(F21/D22)*(180/3.1415)</f>
        <v>2.6990305102254761</v>
      </c>
      <c r="E31" s="1" t="s">
        <v>28</v>
      </c>
    </row>
    <row r="32" spans="2:7" x14ac:dyDescent="0.2">
      <c r="D32" s="11"/>
    </row>
    <row r="33" spans="2:6" x14ac:dyDescent="0.2">
      <c r="B33" s="1" t="s">
        <v>29</v>
      </c>
      <c r="C33" s="1" t="s">
        <v>31</v>
      </c>
      <c r="D33" s="11">
        <f>-E21</f>
        <v>800</v>
      </c>
      <c r="E33" s="1">
        <f>+D21</f>
        <v>800</v>
      </c>
      <c r="F33" s="1">
        <v>0</v>
      </c>
    </row>
    <row r="34" spans="2:6" x14ac:dyDescent="0.2">
      <c r="B34" s="1" t="s">
        <v>32</v>
      </c>
      <c r="C34" s="10" t="s">
        <v>30</v>
      </c>
      <c r="D34" s="11">
        <f>SQRT(D33^2 + E33^2 + F33^2)</f>
        <v>1131.3708498984761</v>
      </c>
    </row>
    <row r="35" spans="2:6" x14ac:dyDescent="0.2">
      <c r="D35" s="11"/>
    </row>
    <row r="36" spans="2:6" x14ac:dyDescent="0.2">
      <c r="B36" s="1" t="s">
        <v>33</v>
      </c>
      <c r="C36" s="1" t="s">
        <v>34</v>
      </c>
      <c r="D36" s="11">
        <f>ACOS(D33/D34)*(180/3.1415)</f>
        <v>45.001327204055606</v>
      </c>
      <c r="E36" s="1" t="s">
        <v>28</v>
      </c>
    </row>
    <row r="37" spans="2:6" x14ac:dyDescent="0.2">
      <c r="D37" s="11"/>
    </row>
    <row r="38" spans="2:6" x14ac:dyDescent="0.2">
      <c r="B38" s="1" t="s">
        <v>39</v>
      </c>
      <c r="C38" s="1" t="s">
        <v>40</v>
      </c>
      <c r="D38" s="11">
        <f>D4*D5+E4*E5+F4*F5</f>
        <v>40000</v>
      </c>
    </row>
    <row r="39" spans="2:6" x14ac:dyDescent="0.2">
      <c r="D39" s="11"/>
    </row>
    <row r="40" spans="2:6" x14ac:dyDescent="0.2">
      <c r="B40" s="1" t="s">
        <v>35</v>
      </c>
      <c r="C40" s="1" t="s">
        <v>36</v>
      </c>
      <c r="D40" s="11">
        <f>IF(F28&lt;0,360-ACOS((D33*D28+E33*E28+F33*F28)/(D29*D34))*(180/3.1415),ACOS((D33*D28+E33*E28+F33*F28)/(D29*D34))*(180/3.1415))</f>
        <v>193.72889377665285</v>
      </c>
      <c r="E40" s="1" t="s">
        <v>28</v>
      </c>
    </row>
    <row r="41" spans="2:6" x14ac:dyDescent="0.2">
      <c r="D41" s="11"/>
    </row>
    <row r="42" spans="2:6" x14ac:dyDescent="0.2">
      <c r="B42" s="1" t="s">
        <v>37</v>
      </c>
      <c r="C42" s="1" t="s">
        <v>38</v>
      </c>
      <c r="D42" s="11">
        <f>IF(D38&lt;0,360-ACOS((D28*D4+E28*E4+F28*F4)/(D18*D29))*(180/3.1415),ACOS((D28*D4+E28*E4+F28*F4)/(D18*D29))*(180/3.1415))</f>
        <v>166.27110622334715</v>
      </c>
      <c r="E42" s="1" t="s">
        <v>28</v>
      </c>
    </row>
    <row r="43" spans="2:6" x14ac:dyDescent="0.2">
      <c r="D43" s="11"/>
    </row>
    <row r="44" spans="2:6" x14ac:dyDescent="0.2">
      <c r="B44" s="1" t="s">
        <v>41</v>
      </c>
      <c r="C44" s="1" t="s">
        <v>17</v>
      </c>
      <c r="D44" s="11">
        <f>ATAN(TAN(D42*(3.1415/180)*0.5)*SQRT((1-D29)/(1+D29)))*2*(180/3.1415)</f>
        <v>125.18479864543391</v>
      </c>
      <c r="E44" s="1" t="s">
        <v>28</v>
      </c>
    </row>
    <row r="45" spans="2:6" x14ac:dyDescent="0.2">
      <c r="D45" s="11"/>
    </row>
    <row r="46" spans="2:6" x14ac:dyDescent="0.2">
      <c r="B46" s="1" t="s">
        <v>43</v>
      </c>
      <c r="C46" s="1" t="s">
        <v>44</v>
      </c>
      <c r="D46" s="11">
        <f>D44-D29*SIN(D44*(3.1415/180))*(180/3.1415)</f>
        <v>83.146532594678732</v>
      </c>
      <c r="E46" s="1" t="s">
        <v>28</v>
      </c>
    </row>
    <row r="47" spans="2:6" x14ac:dyDescent="0.2">
      <c r="B47" s="1" t="s">
        <v>43</v>
      </c>
      <c r="C47" s="1" t="s">
        <v>44</v>
      </c>
      <c r="D47" s="11">
        <f>IF(D46&lt;0,D46+360,D46)</f>
        <v>83.146532594678732</v>
      </c>
      <c r="E47" s="1" t="s">
        <v>28</v>
      </c>
    </row>
    <row r="48" spans="2:6" x14ac:dyDescent="0.2">
      <c r="D48" s="11"/>
    </row>
    <row r="49" spans="2:5" x14ac:dyDescent="0.2">
      <c r="B49" s="1" t="s">
        <v>45</v>
      </c>
      <c r="C49" s="1" t="s">
        <v>46</v>
      </c>
      <c r="D49" s="11">
        <f>(2*3.1415*SQRT(D26^3/D6))/(60*60)</f>
        <v>1.780085820569705</v>
      </c>
      <c r="E49" s="1" t="s">
        <v>52</v>
      </c>
    </row>
    <row r="50" spans="2:5" x14ac:dyDescent="0.2">
      <c r="D50" s="11"/>
    </row>
    <row r="51" spans="2:5" x14ac:dyDescent="0.2">
      <c r="B51" s="1" t="s">
        <v>49</v>
      </c>
      <c r="C51" s="1" t="s">
        <v>50</v>
      </c>
      <c r="D51" s="11">
        <f>D26*(1-D29)</f>
        <v>763.18805279512731</v>
      </c>
      <c r="E51" s="1" t="s">
        <v>4</v>
      </c>
    </row>
    <row r="52" spans="2:5" x14ac:dyDescent="0.2">
      <c r="B52" s="1" t="s">
        <v>47</v>
      </c>
      <c r="C52" s="1" t="s">
        <v>48</v>
      </c>
      <c r="D52" s="11">
        <f>D26*(1+D29)</f>
        <v>14150.790203150804</v>
      </c>
      <c r="E52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Cartesian-to-Keplerian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Isaac Foster</cp:lastModifiedBy>
  <dcterms:created xsi:type="dcterms:W3CDTF">2023-07-12T21:42:43Z</dcterms:created>
  <dcterms:modified xsi:type="dcterms:W3CDTF">2024-07-08T12:39:01Z</dcterms:modified>
</cp:coreProperties>
</file>