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  <sheet name="Лист4" sheetId="4" state="visible" r:id="rId6"/>
  </sheets>
  <definedNames>
    <definedName function="false" hidden="false" name="Jполн" vbProcedure="false">Лист1!$B$14</definedName>
    <definedName function="false" hidden="false" name="Jст" vbProcedure="false">Лист1!$B$13</definedName>
    <definedName function="false" hidden="false" name="Lambda" vbProcedure="false">Лист1!$E$2</definedName>
    <definedName function="false" hidden="false" name="L_1" vbProcedure="false">Лист1!$E$3</definedName>
    <definedName function="false" hidden="false" name="L_2" vbProcedure="false">Лист1!$E$4</definedName>
    <definedName function="false" hidden="false" name="Lпр" vbProcedure="false">Лист1!$B$10</definedName>
    <definedName function="false" hidden="false" name="Lст" vbProcedure="false">Лист1!$B$9</definedName>
    <definedName function="false" hidden="false" name="M_1" vbProcedure="false">Лист1!$B$5</definedName>
    <definedName function="false" hidden="false" name="M_2" vbProcedure="false">Лист1!$B$6</definedName>
    <definedName function="false" hidden="false" name="Mполн" vbProcedure="false">Лист1!$B$8</definedName>
    <definedName function="false" hidden="false" name="Mпр" vbProcedure="false">Лист1!$B$3</definedName>
    <definedName function="false" hidden="false" name="Mпр2" vbProcedure="false">Лист1!$B$4</definedName>
    <definedName function="false" hidden="false" name="Mст" vbProcedure="false">Лист1!$B$2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<sst xmlns="http://schemas.openxmlformats.org/spreadsheetml/2006/main" count="69" uniqueCount="46">
  <si>
    <t xml:space="preserve">I. Введите данные установки в жёлтые ячейки</t>
  </si>
  <si>
    <t xml:space="preserve">Масса стержня Mст</t>
  </si>
  <si>
    <t xml:space="preserve">г</t>
  </si>
  <si>
    <t xml:space="preserve">L1/L2=</t>
  </si>
  <si>
    <t xml:space="preserve">Масса призмы Mпр1</t>
  </si>
  <si>
    <t xml:space="preserve">L1=</t>
  </si>
  <si>
    <t xml:space="preserve">см</t>
  </si>
  <si>
    <t xml:space="preserve">Масса призмы Mпр2</t>
  </si>
  <si>
    <t xml:space="preserve">L2=</t>
  </si>
  <si>
    <t xml:space="preserve">Масса груза M1 </t>
  </si>
  <si>
    <t xml:space="preserve">Масса груза M2</t>
  </si>
  <si>
    <t xml:space="preserve">Масса маятника M
(вычисленная)</t>
  </si>
  <si>
    <t xml:space="preserve">Масса маятника M
(измеренная)</t>
  </si>
  <si>
    <t xml:space="preserve">Длина стержня Lст</t>
  </si>
  <si>
    <t xml:space="preserve">Расстояние между
призмами L</t>
  </si>
  <si>
    <t xml:space="preserve">Моменты инерции относительно призмы П2:</t>
  </si>
  <si>
    <t xml:space="preserve">Момент инерции
стержня Jст</t>
  </si>
  <si>
    <r>
      <rPr>
        <sz val="11"/>
        <rFont val="Arial"/>
        <family val="2"/>
        <charset val="1"/>
      </rPr>
      <t xml:space="preserve">кг*м</t>
    </r>
    <r>
      <rPr>
        <vertAlign val="superscript"/>
        <sz val="11"/>
        <rFont val="Arial"/>
        <family val="2"/>
        <charset val="1"/>
      </rPr>
      <t xml:space="preserve">2</t>
    </r>
  </si>
  <si>
    <t xml:space="preserve">Момент инерции
маятника J</t>
  </si>
  <si>
    <t xml:space="preserve">II. По графику зависимости момента инерции от положения грузов 
определите точку пересечения</t>
  </si>
  <si>
    <t xml:space="preserve">b2</t>
  </si>
  <si>
    <t xml:space="preserve">b1</t>
  </si>
  <si>
    <t xml:space="preserve">J — Jст</t>
  </si>
  <si>
    <t xml:space="preserve">Jгр</t>
  </si>
  <si>
    <r>
      <rPr>
        <sz val="11"/>
        <rFont val="Times New Roman"/>
        <family val="1"/>
        <charset val="1"/>
      </rPr>
      <t xml:space="preserve">кг*м</t>
    </r>
    <r>
      <rPr>
        <vertAlign val="superscript"/>
        <sz val="11"/>
        <rFont val="Times New Roman"/>
        <family val="1"/>
        <charset val="1"/>
      </rPr>
      <t xml:space="preserve">2</t>
    </r>
  </si>
  <si>
    <t xml:space="preserve">III. Уточните положение точки пересечения</t>
  </si>
  <si>
    <t xml:space="preserve">← кандидат на решение</t>
  </si>
  <si>
    <t xml:space="preserve">← шаг</t>
  </si>
  <si>
    <t xml:space="preserve">I. Введите данные установки в жёлтые ячейки на Листе 1</t>
  </si>
  <si>
    <t xml:space="preserve">II. Подберите положение груза Г2</t>
  </si>
  <si>
    <t xml:space="preserve">Положение груза, b2</t>
  </si>
  <si>
    <t xml:space="preserve">II. По графику зависимости момента инерции от длины L2
определите точки пересечения</t>
  </si>
  <si>
    <t xml:space="preserve">Моменты инерции относительно центра масс</t>
  </si>
  <si>
    <t xml:space="preserve">Момент
инерции
маятника</t>
  </si>
  <si>
    <t xml:space="preserve">Момент
инерции
стержня</t>
  </si>
  <si>
    <t xml:space="preserve">Момент
инерции
грузов</t>
  </si>
  <si>
    <t xml:space="preserve">L2</t>
  </si>
  <si>
    <t xml:space="preserve">L1</t>
  </si>
  <si>
    <t xml:space="preserve">J0</t>
  </si>
  <si>
    <t xml:space="preserve">Jст</t>
  </si>
  <si>
    <t xml:space="preserve">J0 — Jст</t>
  </si>
  <si>
    <t xml:space="preserve">Минимальное L2 →</t>
  </si>
  <si>
    <t xml:space="preserve">Определение минимального значения L2</t>
  </si>
  <si>
    <t xml:space="preserve">L1/L2</t>
  </si>
  <si>
    <t xml:space="preserve">Jгр(min)</t>
  </si>
  <si>
    <t xml:space="preserve">Jст + Jгр(min)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</si>
</sst>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#,##0.0"/>
    <numFmt numFmtId="167" formatCode="General"/>
    <numFmt numFmtId="168" formatCode="0.000"/>
    <numFmt numFmtId="169" formatCode="#,##0.000"/>
    <numFmt numFmtId="170" formatCode="#\ ##0.0"/>
    <numFmt numFmtId="171" formatCode="#\ ##0.0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1"/>
      <name val="Arial"/>
      <family val="2"/>
      <charset val="1"/>
    </font>
    <font>
      <sz val="12"/>
      <name val="Calibri"/>
      <family val="2"/>
      <charset val="1"/>
    </font>
    <font>
      <sz val="12"/>
      <name val="Times New Roman"/>
      <family val="1"/>
      <charset val="1"/>
    </font>
    <font>
      <vertAlign val="superscript"/>
      <sz val="11"/>
      <name val="Arial"/>
      <family val="2"/>
      <charset val="1"/>
    </font>
    <font>
      <sz val="11"/>
      <name val="Times New Roman"/>
      <family val="1"/>
      <charset val="1"/>
    </font>
    <font>
      <vertAlign val="superscript"/>
      <sz val="11"/>
      <name val="Times New Roman"/>
      <family val="1"/>
      <charset val="1"/>
    </font>
    <font>
      <i val="true"/>
      <sz val="10"/>
      <name val="Calibri"/>
      <family val="2"/>
      <charset val="1"/>
    </font>
    <font>
      <sz val="10"/>
      <name val="Times New Roman"/>
      <family val="1"/>
      <charset val="1"/>
    </font>
    <font>
      <sz val="9"/>
      <color rgb="FF595959"/>
      <name val="Calibri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81D41A"/>
        <bgColor rgb="FFB3B3B3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F2F2F2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FFD7D7"/>
        <bgColor rgb="FFDDDDDD"/>
      </patternFill>
    </fill>
    <fill>
      <patternFill patternType="solid">
        <fgColor rgb="FFDEE6EF"/>
        <bgColor rgb="FFDDDDDD"/>
      </patternFill>
    </fill>
    <fill>
      <patternFill patternType="solid">
        <fgColor rgb="FFFFFFD7"/>
        <bgColor rgb="FFF6F9D4"/>
      </patternFill>
    </fill>
    <fill>
      <patternFill patternType="solid">
        <fgColor rgb="FFB4C7DC"/>
        <bgColor rgb="FFBFBFB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4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DDE8CB"/>
      <rgbColor rgb="FFF6F9D4"/>
      <rgbColor rgb="FFB4C7DC"/>
      <rgbColor rgb="FFFF99CC"/>
      <rgbColor rgb="FFDDDDDD"/>
      <rgbColor rgb="FFFFD7D7"/>
      <rgbColor rgb="FF4472C4"/>
      <rgbColor rgb="FF33CCCC"/>
      <rgbColor rgb="FF81D41A"/>
      <rgbColor rgb="FFFFCC00"/>
      <rgbColor rgb="FFFF9900"/>
      <rgbColor rgb="FFED7D31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Лист1!$B$40:$B$50</c:f>
              <c:numCache>
                <c:formatCode>General</c:formatCode>
                <c:ptCount val="11"/>
                <c:pt idx="0">
                  <c:v>11.5</c:v>
                </c:pt>
                <c:pt idx="1">
                  <c:v>11.6</c:v>
                </c:pt>
                <c:pt idx="2">
                  <c:v>11.7</c:v>
                </c:pt>
                <c:pt idx="3">
                  <c:v>11.8</c:v>
                </c:pt>
                <c:pt idx="4">
                  <c:v>11.9</c:v>
                </c:pt>
                <c:pt idx="5">
                  <c:v>12</c:v>
                </c:pt>
                <c:pt idx="6">
                  <c:v>12.1</c:v>
                </c:pt>
                <c:pt idx="7">
                  <c:v>12.2</c:v>
                </c:pt>
                <c:pt idx="8">
                  <c:v>12.3</c:v>
                </c:pt>
                <c:pt idx="9">
                  <c:v>12.4</c:v>
                </c:pt>
                <c:pt idx="10">
                  <c:v>12.5</c:v>
                </c:pt>
              </c:numCache>
            </c:numRef>
          </c:xVal>
          <c:yVal>
            <c:numRef>
              <c:f>Лист1!$D$40:$D$50</c:f>
              <c:numCache>
                <c:formatCode>General</c:formatCode>
                <c:ptCount val="11"/>
                <c:pt idx="0">
                  <c:v>0.209391781487415</c:v>
                </c:pt>
                <c:pt idx="1">
                  <c:v>0.209391781487415</c:v>
                </c:pt>
                <c:pt idx="2">
                  <c:v>0.209391781487415</c:v>
                </c:pt>
                <c:pt idx="3">
                  <c:v>0.209391781487415</c:v>
                </c:pt>
                <c:pt idx="4">
                  <c:v>0.209391781487415</c:v>
                </c:pt>
                <c:pt idx="5">
                  <c:v>0.209391781487415</c:v>
                </c:pt>
                <c:pt idx="6">
                  <c:v>0.209391781487415</c:v>
                </c:pt>
                <c:pt idx="7">
                  <c:v>0.209391781487415</c:v>
                </c:pt>
                <c:pt idx="8">
                  <c:v>0.209391781487415</c:v>
                </c:pt>
                <c:pt idx="9">
                  <c:v>0.209391781487415</c:v>
                </c:pt>
                <c:pt idx="10">
                  <c:v>0.209391781487415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Лист1!$B$40:$B$50</c:f>
              <c:numCache>
                <c:formatCode>General</c:formatCode>
                <c:ptCount val="11"/>
                <c:pt idx="0">
                  <c:v>11.5</c:v>
                </c:pt>
                <c:pt idx="1">
                  <c:v>11.6</c:v>
                </c:pt>
                <c:pt idx="2">
                  <c:v>11.7</c:v>
                </c:pt>
                <c:pt idx="3">
                  <c:v>11.8</c:v>
                </c:pt>
                <c:pt idx="4">
                  <c:v>11.9</c:v>
                </c:pt>
                <c:pt idx="5">
                  <c:v>12</c:v>
                </c:pt>
                <c:pt idx="6">
                  <c:v>12.1</c:v>
                </c:pt>
                <c:pt idx="7">
                  <c:v>12.2</c:v>
                </c:pt>
                <c:pt idx="8">
                  <c:v>12.3</c:v>
                </c:pt>
                <c:pt idx="9">
                  <c:v>12.4</c:v>
                </c:pt>
                <c:pt idx="10">
                  <c:v>12.5</c:v>
                </c:pt>
              </c:numCache>
            </c:numRef>
          </c:xVal>
          <c:yVal>
            <c:numRef>
              <c:f>Лист1!$E$40:$E$50</c:f>
              <c:numCache>
                <c:formatCode>General</c:formatCode>
                <c:ptCount val="11"/>
                <c:pt idx="0">
                  <c:v>0.198067083598362</c:v>
                </c:pt>
                <c:pt idx="1">
                  <c:v>0.199461882683062</c:v>
                </c:pt>
                <c:pt idx="2">
                  <c:v>0.200862762557195</c:v>
                </c:pt>
                <c:pt idx="3">
                  <c:v>0.20226972322076</c:v>
                </c:pt>
                <c:pt idx="4">
                  <c:v>0.203682764673756</c:v>
                </c:pt>
                <c:pt idx="5">
                  <c:v>0.205101886916184</c:v>
                </c:pt>
                <c:pt idx="6">
                  <c:v>0.206527089948044</c:v>
                </c:pt>
                <c:pt idx="7">
                  <c:v>0.207958373769336</c:v>
                </c:pt>
                <c:pt idx="8">
                  <c:v>0.20939573838006</c:v>
                </c:pt>
                <c:pt idx="9">
                  <c:v>0.210839183780215</c:v>
                </c:pt>
                <c:pt idx="10">
                  <c:v>0.212288709969802</c:v>
                </c:pt>
              </c:numCache>
            </c:numRef>
          </c:yVal>
          <c:smooth val="1"/>
        </c:ser>
        <c:axId val="50798294"/>
        <c:axId val="3886101"/>
      </c:scatterChart>
      <c:valAx>
        <c:axId val="507982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#\ ##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86101"/>
        <c:crosses val="autoZero"/>
        <c:crossBetween val="midCat"/>
      </c:valAx>
      <c:valAx>
        <c:axId val="38861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\ ##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79829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Лист1!$D$17</c:f>
              <c:strCache>
                <c:ptCount val="1"/>
                <c:pt idx="0">
                  <c:v>J — Jст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Лист1!$B$19:$B$35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xVal>
          <c:yVal>
            <c:numRef>
              <c:f>Лист1!$D$19:$D$35</c:f>
              <c:numCache>
                <c:formatCode>General</c:formatCode>
                <c:ptCount val="17"/>
                <c:pt idx="0">
                  <c:v>0.209391781487415</c:v>
                </c:pt>
                <c:pt idx="1">
                  <c:v>0.209391781487415</c:v>
                </c:pt>
                <c:pt idx="2">
                  <c:v>0.209391781487415</c:v>
                </c:pt>
                <c:pt idx="3">
                  <c:v>0.209391781487415</c:v>
                </c:pt>
                <c:pt idx="4">
                  <c:v>0.209391781487415</c:v>
                </c:pt>
                <c:pt idx="5">
                  <c:v>0.209391781487415</c:v>
                </c:pt>
                <c:pt idx="6">
                  <c:v>0.209391781487415</c:v>
                </c:pt>
                <c:pt idx="7">
                  <c:v>0.209391781487415</c:v>
                </c:pt>
                <c:pt idx="8">
                  <c:v>0.209391781487415</c:v>
                </c:pt>
                <c:pt idx="9">
                  <c:v>0.209391781487415</c:v>
                </c:pt>
                <c:pt idx="10">
                  <c:v>0.209391781487415</c:v>
                </c:pt>
                <c:pt idx="11">
                  <c:v>0.209391781487415</c:v>
                </c:pt>
                <c:pt idx="12">
                  <c:v>0.209391781487415</c:v>
                </c:pt>
                <c:pt idx="13">
                  <c:v>0.209391781487415</c:v>
                </c:pt>
                <c:pt idx="14">
                  <c:v>0.209391781487415</c:v>
                </c:pt>
                <c:pt idx="15">
                  <c:v>0.209391781487415</c:v>
                </c:pt>
                <c:pt idx="16">
                  <c:v>0.209391781487415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Лист1!$E$17</c:f>
              <c:strCache>
                <c:ptCount val="1"/>
                <c:pt idx="0">
                  <c:v>Jгр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Лист1!$B$19:$B$35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xVal>
          <c:yVal>
            <c:numRef>
              <c:f>Лист1!$E$19:$E$35</c:f>
              <c:numCache>
                <c:formatCode>General</c:formatCode>
                <c:ptCount val="17"/>
                <c:pt idx="0">
                  <c:v>0.0932895703609024</c:v>
                </c:pt>
                <c:pt idx="1">
                  <c:v>0.101734446772109</c:v>
                </c:pt>
                <c:pt idx="2">
                  <c:v>0.110787402126498</c:v>
                </c:pt>
                <c:pt idx="3">
                  <c:v>0.12044843642407</c:v>
                </c:pt>
                <c:pt idx="4">
                  <c:v>0.130717549664824</c:v>
                </c:pt>
                <c:pt idx="5">
                  <c:v>0.141594741848761</c:v>
                </c:pt>
                <c:pt idx="6">
                  <c:v>0.15308001297588</c:v>
                </c:pt>
                <c:pt idx="7">
                  <c:v>0.165173363046183</c:v>
                </c:pt>
                <c:pt idx="8">
                  <c:v>0.177874792059667</c:v>
                </c:pt>
                <c:pt idx="9">
                  <c:v>0.191184300016334</c:v>
                </c:pt>
                <c:pt idx="10">
                  <c:v>0.205101886916184</c:v>
                </c:pt>
                <c:pt idx="11">
                  <c:v>0.219627552759217</c:v>
                </c:pt>
                <c:pt idx="12">
                  <c:v>0.234761297545432</c:v>
                </c:pt>
                <c:pt idx="13">
                  <c:v>0.250503121274829</c:v>
                </c:pt>
                <c:pt idx="14">
                  <c:v>0.266853023947409</c:v>
                </c:pt>
                <c:pt idx="15">
                  <c:v>0.283811005563172</c:v>
                </c:pt>
                <c:pt idx="16">
                  <c:v>0.301377066122117</c:v>
                </c:pt>
              </c:numCache>
            </c:numRef>
          </c:yVal>
          <c:smooth val="1"/>
        </c:ser>
        <c:axId val="91758173"/>
        <c:axId val="20584243"/>
      </c:scatterChart>
      <c:valAx>
        <c:axId val="917581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#\ ##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584243"/>
        <c:crosses val="autoZero"/>
        <c:crossBetween val="midCat"/>
      </c:valAx>
      <c:valAx>
        <c:axId val="205842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\ ##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75817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Лист2!$B$36:$B$46</c:f>
              <c:numCache>
                <c:formatCode>General</c:formatCode>
                <c:ptCount val="11"/>
                <c:pt idx="0">
                  <c:v>17.5</c:v>
                </c:pt>
                <c:pt idx="1">
                  <c:v>17.6</c:v>
                </c:pt>
                <c:pt idx="2">
                  <c:v>17.7</c:v>
                </c:pt>
                <c:pt idx="3">
                  <c:v>17.8</c:v>
                </c:pt>
                <c:pt idx="4">
                  <c:v>17.9</c:v>
                </c:pt>
                <c:pt idx="5">
                  <c:v>18</c:v>
                </c:pt>
                <c:pt idx="6">
                  <c:v>18.1</c:v>
                </c:pt>
                <c:pt idx="7">
                  <c:v>18.2</c:v>
                </c:pt>
                <c:pt idx="8">
                  <c:v>18.3</c:v>
                </c:pt>
                <c:pt idx="9">
                  <c:v>18.4</c:v>
                </c:pt>
                <c:pt idx="10">
                  <c:v>18.5</c:v>
                </c:pt>
              </c:numCache>
            </c:numRef>
          </c:xVal>
          <c:yVal>
            <c:numRef>
              <c:f>Лист2!$H$36:$H$46</c:f>
              <c:numCache>
                <c:formatCode>General</c:formatCode>
                <c:ptCount val="11"/>
                <c:pt idx="0">
                  <c:v>0.198991471067601</c:v>
                </c:pt>
                <c:pt idx="1">
                  <c:v>0.200972098852544</c:v>
                </c:pt>
                <c:pt idx="2">
                  <c:v>0.202964430174483</c:v>
                </c:pt>
                <c:pt idx="3">
                  <c:v>0.204968465033417</c:v>
                </c:pt>
                <c:pt idx="4">
                  <c:v>0.206984203429346</c:v>
                </c:pt>
                <c:pt idx="5">
                  <c:v>0.20901164536227</c:v>
                </c:pt>
                <c:pt idx="6">
                  <c:v>0.21105079083219</c:v>
                </c:pt>
                <c:pt idx="7">
                  <c:v>0.213101639839105</c:v>
                </c:pt>
                <c:pt idx="8">
                  <c:v>0.215164192383016</c:v>
                </c:pt>
                <c:pt idx="9">
                  <c:v>0.217238448463921</c:v>
                </c:pt>
                <c:pt idx="10">
                  <c:v>0.219324408081823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0">
              <a:solidFill>
                <a:srgbClr val="ff420e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Лист2!$B$36:$B$46</c:f>
              <c:numCache>
                <c:formatCode>General</c:formatCode>
                <c:ptCount val="11"/>
                <c:pt idx="0">
                  <c:v>17.5</c:v>
                </c:pt>
                <c:pt idx="1">
                  <c:v>17.6</c:v>
                </c:pt>
                <c:pt idx="2">
                  <c:v>17.7</c:v>
                </c:pt>
                <c:pt idx="3">
                  <c:v>17.8</c:v>
                </c:pt>
                <c:pt idx="4">
                  <c:v>17.9</c:v>
                </c:pt>
                <c:pt idx="5">
                  <c:v>18</c:v>
                </c:pt>
                <c:pt idx="6">
                  <c:v>18.1</c:v>
                </c:pt>
                <c:pt idx="7">
                  <c:v>18.2</c:v>
                </c:pt>
                <c:pt idx="8">
                  <c:v>18.3</c:v>
                </c:pt>
                <c:pt idx="9">
                  <c:v>18.4</c:v>
                </c:pt>
                <c:pt idx="10">
                  <c:v>18.5</c:v>
                </c:pt>
              </c:numCache>
            </c:numRef>
          </c:xVal>
          <c:yVal>
            <c:numRef>
              <c:f>Лист2!$G$36:$G$46</c:f>
              <c:numCache>
                <c:formatCode>General</c:formatCode>
                <c:ptCount val="11"/>
                <c:pt idx="0">
                  <c:v>0.1945288153</c:v>
                </c:pt>
                <c:pt idx="1">
                  <c:v>0.195764972</c:v>
                </c:pt>
                <c:pt idx="2">
                  <c:v>0.1969910313</c:v>
                </c:pt>
                <c:pt idx="3">
                  <c:v>0.1982069932</c:v>
                </c:pt>
                <c:pt idx="4">
                  <c:v>0.1994128577</c:v>
                </c:pt>
                <c:pt idx="5">
                  <c:v>0.2006086248</c:v>
                </c:pt>
                <c:pt idx="6">
                  <c:v>0.2017942945</c:v>
                </c:pt>
                <c:pt idx="7">
                  <c:v>0.2029698668</c:v>
                </c:pt>
                <c:pt idx="8">
                  <c:v>0.2041353417</c:v>
                </c:pt>
                <c:pt idx="9">
                  <c:v>0.2052907192</c:v>
                </c:pt>
                <c:pt idx="10">
                  <c:v>0.2064359993</c:v>
                </c:pt>
              </c:numCache>
            </c:numRef>
          </c:yVal>
          <c:smooth val="0"/>
        </c:ser>
        <c:axId val="48026835"/>
        <c:axId val="38207954"/>
      </c:scatterChart>
      <c:valAx>
        <c:axId val="48026835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8207954"/>
        <c:crossesAt val="0"/>
        <c:crossBetween val="midCat"/>
      </c:valAx>
      <c:valAx>
        <c:axId val="382079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02683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Лист2!$H$9:$H$9</c:f>
              <c:strCache>
                <c:ptCount val="1"/>
                <c:pt idx="0">
                  <c:v>Jгр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Лист2!$B$10:$B$31</c:f>
              <c:numCache>
                <c:formatCode>General</c:formatCode>
                <c:ptCount val="2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</c:numCache>
            </c:numRef>
          </c:xVal>
          <c:yVal>
            <c:numRef>
              <c:f>Лист2!$H$10:$H$31</c:f>
              <c:numCache>
                <c:formatCode>General</c:formatCode>
                <c:ptCount val="22"/>
                <c:pt idx="0">
                  <c:v>0.056155737027701</c:v>
                </c:pt>
                <c:pt idx="1">
                  <c:v>0.0641999601968053</c:v>
                </c:pt>
                <c:pt idx="2">
                  <c:v>0.0734145370654445</c:v>
                </c:pt>
                <c:pt idx="3">
                  <c:v>0.0837994676336187</c:v>
                </c:pt>
                <c:pt idx="4">
                  <c:v>0.0953547519013277</c:v>
                </c:pt>
                <c:pt idx="5">
                  <c:v>0.108080389868572</c:v>
                </c:pt>
                <c:pt idx="6">
                  <c:v>0.121976381535351</c:v>
                </c:pt>
                <c:pt idx="7">
                  <c:v>0.137042726901665</c:v>
                </c:pt>
                <c:pt idx="8">
                  <c:v>0.153279425967514</c:v>
                </c:pt>
                <c:pt idx="9">
                  <c:v>0.170686478732897</c:v>
                </c:pt>
                <c:pt idx="10">
                  <c:v>0.189263885197816</c:v>
                </c:pt>
                <c:pt idx="11">
                  <c:v>0.20901164536227</c:v>
                </c:pt>
                <c:pt idx="12">
                  <c:v>0.229929759226259</c:v>
                </c:pt>
                <c:pt idx="13">
                  <c:v>0.252018226789782</c:v>
                </c:pt>
                <c:pt idx="14">
                  <c:v>0.275277048052841</c:v>
                </c:pt>
                <c:pt idx="15">
                  <c:v>0.299706223015434</c:v>
                </c:pt>
                <c:pt idx="16">
                  <c:v>0.325305751677563</c:v>
                </c:pt>
                <c:pt idx="17">
                  <c:v>0.352075634039226</c:v>
                </c:pt>
                <c:pt idx="18">
                  <c:v>0.380015870100425</c:v>
                </c:pt>
                <c:pt idx="19">
                  <c:v>0.409126459861158</c:v>
                </c:pt>
                <c:pt idx="20">
                  <c:v>0.439407403321426</c:v>
                </c:pt>
                <c:pt idx="21">
                  <c:v>0.470858700481229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Лист2!$G$9:$G$9</c:f>
              <c:strCache>
                <c:ptCount val="1"/>
                <c:pt idx="0">
                  <c:v>J0 — Jст</c:v>
                </c:pt>
              </c:strCache>
            </c:strRef>
          </c:tx>
          <c:spPr>
            <a:solidFill>
              <a:srgbClr val="ff420e"/>
            </a:solidFill>
            <a:ln w="0">
              <a:solidFill>
                <a:srgbClr val="ff420e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Лист2!$B$10:$B$31</c:f>
              <c:numCache>
                <c:formatCode>General</c:formatCode>
                <c:ptCount val="2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</c:numCache>
            </c:numRef>
          </c:xVal>
          <c:yVal>
            <c:numRef>
              <c:f>Лист2!$G$10:$G$31</c:f>
              <c:numCache>
                <c:formatCode>General</c:formatCode>
                <c:ptCount val="22"/>
                <c:pt idx="0">
                  <c:v>0.00854033079999997</c:v>
                </c:pt>
                <c:pt idx="1">
                  <c:v>0.0310497848</c:v>
                </c:pt>
                <c:pt idx="2">
                  <c:v>0.0525494988</c:v>
                </c:pt>
                <c:pt idx="3">
                  <c:v>0.0730394728</c:v>
                </c:pt>
                <c:pt idx="4">
                  <c:v>0.0925197068</c:v>
                </c:pt>
                <c:pt idx="5">
                  <c:v>0.1109902008</c:v>
                </c:pt>
                <c:pt idx="6">
                  <c:v>0.1284509548</c:v>
                </c:pt>
                <c:pt idx="7">
                  <c:v>0.1449019688</c:v>
                </c:pt>
                <c:pt idx="8">
                  <c:v>0.1603432428</c:v>
                </c:pt>
                <c:pt idx="9">
                  <c:v>0.1747747768</c:v>
                </c:pt>
                <c:pt idx="10">
                  <c:v>0.1881965708</c:v>
                </c:pt>
                <c:pt idx="11">
                  <c:v>0.2006086248</c:v>
                </c:pt>
                <c:pt idx="12">
                  <c:v>0.2120109388</c:v>
                </c:pt>
                <c:pt idx="13">
                  <c:v>0.2224035128</c:v>
                </c:pt>
                <c:pt idx="14">
                  <c:v>0.2317863468</c:v>
                </c:pt>
                <c:pt idx="15">
                  <c:v>0.2401594408</c:v>
                </c:pt>
                <c:pt idx="16">
                  <c:v>0.2475227948</c:v>
                </c:pt>
                <c:pt idx="17">
                  <c:v>0.2538764088</c:v>
                </c:pt>
                <c:pt idx="18">
                  <c:v>0.2592202828</c:v>
                </c:pt>
                <c:pt idx="19">
                  <c:v>0.2635544168</c:v>
                </c:pt>
                <c:pt idx="20">
                  <c:v>0.2668788108</c:v>
                </c:pt>
                <c:pt idx="21">
                  <c:v>0.2691934648</c:v>
                </c:pt>
              </c:numCache>
            </c:numRef>
          </c:yVal>
          <c:smooth val="0"/>
        </c:ser>
        <c:axId val="84745427"/>
        <c:axId val="2237257"/>
      </c:scatterChart>
      <c:valAx>
        <c:axId val="84745427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L2, см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\ 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37257"/>
        <c:crossesAt val="0"/>
        <c:crossBetween val="midCat"/>
      </c:valAx>
      <c:valAx>
        <c:axId val="2237257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\ ##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7454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25015634771732"/>
          <c:y val="0.343187066974596"/>
          <c:w val="0.161851156973108"/>
          <c:h val="0.20739030023094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Лист3!$E$2</c:f>
              <c:strCache>
                <c:ptCount val="1"/>
                <c:pt idx="0">
                  <c:v>J0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Лист3!$B$3:$B$32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Лист3!$E$3:$E$32</c:f>
              <c:numCache>
                <c:formatCode>General</c:formatCode>
                <c:ptCount val="30"/>
                <c:pt idx="0">
                  <c:v>0.023571264</c:v>
                </c:pt>
                <c:pt idx="1">
                  <c:v>0.046338048</c:v>
                </c:pt>
                <c:pt idx="2">
                  <c:v>0.068300352</c:v>
                </c:pt>
                <c:pt idx="3">
                  <c:v>0.089458176</c:v>
                </c:pt>
                <c:pt idx="4">
                  <c:v>0.10981152</c:v>
                </c:pt>
                <c:pt idx="5">
                  <c:v>0.129360384</c:v>
                </c:pt>
                <c:pt idx="6">
                  <c:v>0.148104768</c:v>
                </c:pt>
                <c:pt idx="7">
                  <c:v>0.166044672</c:v>
                </c:pt>
                <c:pt idx="8">
                  <c:v>0.183180096</c:v>
                </c:pt>
                <c:pt idx="9">
                  <c:v>0.19951104</c:v>
                </c:pt>
                <c:pt idx="10">
                  <c:v>0.215037504</c:v>
                </c:pt>
                <c:pt idx="11">
                  <c:v>0.229759488</c:v>
                </c:pt>
                <c:pt idx="12">
                  <c:v>0.243676992</c:v>
                </c:pt>
                <c:pt idx="13">
                  <c:v>0.256790016</c:v>
                </c:pt>
                <c:pt idx="14">
                  <c:v>0.26909856</c:v>
                </c:pt>
                <c:pt idx="15">
                  <c:v>0.280602624</c:v>
                </c:pt>
                <c:pt idx="16">
                  <c:v>0.291302208</c:v>
                </c:pt>
                <c:pt idx="17">
                  <c:v>0.301197312</c:v>
                </c:pt>
                <c:pt idx="18">
                  <c:v>0.310287936</c:v>
                </c:pt>
                <c:pt idx="19">
                  <c:v>0.31857408</c:v>
                </c:pt>
                <c:pt idx="20">
                  <c:v>0.326055744</c:v>
                </c:pt>
                <c:pt idx="21">
                  <c:v>0.332732928</c:v>
                </c:pt>
                <c:pt idx="22">
                  <c:v>0.338605632</c:v>
                </c:pt>
                <c:pt idx="23">
                  <c:v>0.343673856</c:v>
                </c:pt>
                <c:pt idx="24">
                  <c:v>0.3479376</c:v>
                </c:pt>
                <c:pt idx="25">
                  <c:v>0.351396864</c:v>
                </c:pt>
                <c:pt idx="26">
                  <c:v>0.354051648</c:v>
                </c:pt>
                <c:pt idx="27">
                  <c:v>0.355901952</c:v>
                </c:pt>
                <c:pt idx="28">
                  <c:v>0.356947776</c:v>
                </c:pt>
                <c:pt idx="29">
                  <c:v>0.35718912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Лист3!$H$2:$H$2</c:f>
              <c:strCache>
                <c:ptCount val="1"/>
                <c:pt idx="0">
                  <c:v>Jст + Jгр(min)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Лист3!$B$3:$B$32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Лист3!$H$3:$H$32</c:f>
              <c:numCache>
                <c:formatCode>General</c:formatCode>
                <c:ptCount val="30"/>
                <c:pt idx="0">
                  <c:v>0.1714429872</c:v>
                </c:pt>
                <c:pt idx="1">
                  <c:v>0.1660942472</c:v>
                </c:pt>
                <c:pt idx="2">
                  <c:v>0.1612523472</c:v>
                </c:pt>
                <c:pt idx="3">
                  <c:v>0.1569172872</c:v>
                </c:pt>
                <c:pt idx="4">
                  <c:v>0.1530890672</c:v>
                </c:pt>
                <c:pt idx="5">
                  <c:v>0.1497676872</c:v>
                </c:pt>
                <c:pt idx="6">
                  <c:v>0.1469531472</c:v>
                </c:pt>
                <c:pt idx="7">
                  <c:v>0.1446454472</c:v>
                </c:pt>
                <c:pt idx="8">
                  <c:v>0.1428445872</c:v>
                </c:pt>
                <c:pt idx="9">
                  <c:v>0.1415505672</c:v>
                </c:pt>
                <c:pt idx="10">
                  <c:v>0.1407633872</c:v>
                </c:pt>
                <c:pt idx="11">
                  <c:v>0.1404830472</c:v>
                </c:pt>
                <c:pt idx="12">
                  <c:v>0.1407095472</c:v>
                </c:pt>
                <c:pt idx="13">
                  <c:v>0.1414428872</c:v>
                </c:pt>
                <c:pt idx="14">
                  <c:v>0.1426830672</c:v>
                </c:pt>
                <c:pt idx="15">
                  <c:v>0.1444300872</c:v>
                </c:pt>
                <c:pt idx="16">
                  <c:v>0.1466839472</c:v>
                </c:pt>
                <c:pt idx="17">
                  <c:v>0.1494446472</c:v>
                </c:pt>
                <c:pt idx="18">
                  <c:v>0.1527121872</c:v>
                </c:pt>
                <c:pt idx="19">
                  <c:v>0.1564865672</c:v>
                </c:pt>
                <c:pt idx="20">
                  <c:v>0.1607677872</c:v>
                </c:pt>
                <c:pt idx="21">
                  <c:v>0.1655558472</c:v>
                </c:pt>
                <c:pt idx="22">
                  <c:v>0.1708507472</c:v>
                </c:pt>
                <c:pt idx="23">
                  <c:v>0.1766524872</c:v>
                </c:pt>
                <c:pt idx="24">
                  <c:v>0.1829610672</c:v>
                </c:pt>
                <c:pt idx="25">
                  <c:v>0.1897764872</c:v>
                </c:pt>
                <c:pt idx="26">
                  <c:v>0.1970987472</c:v>
                </c:pt>
                <c:pt idx="27">
                  <c:v>0.2049278472</c:v>
                </c:pt>
                <c:pt idx="28">
                  <c:v>0.2132637872</c:v>
                </c:pt>
                <c:pt idx="29">
                  <c:v>0.2221065672</c:v>
                </c:pt>
              </c:numCache>
            </c:numRef>
          </c:yVal>
          <c:smooth val="0"/>
        </c:ser>
        <c:axId val="93322187"/>
        <c:axId val="84693806"/>
      </c:scatterChart>
      <c:valAx>
        <c:axId val="93322187"/>
        <c:scaling>
          <c:orientation val="minMax"/>
          <c:max val="30"/>
        </c:scaling>
        <c:delete val="0"/>
        <c:axPos val="b"/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693806"/>
        <c:crosses val="autoZero"/>
        <c:crossBetween val="midCat"/>
      </c:valAx>
      <c:valAx>
        <c:axId val="84693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3221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167760</xdr:colOff>
      <xdr:row>36</xdr:row>
      <xdr:rowOff>3960</xdr:rowOff>
    </xdr:from>
    <xdr:to>
      <xdr:col>10</xdr:col>
      <xdr:colOff>776880</xdr:colOff>
      <xdr:row>55</xdr:row>
      <xdr:rowOff>68400</xdr:rowOff>
    </xdr:to>
    <xdr:graphicFrame>
      <xdr:nvGraphicFramePr>
        <xdr:cNvPr id="0" name="Диаграмма 4"/>
        <xdr:cNvGraphicFramePr/>
      </xdr:nvGraphicFramePr>
      <xdr:xfrm>
        <a:off x="4937760" y="7690680"/>
        <a:ext cx="4682880" cy="33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137160</xdr:colOff>
      <xdr:row>15</xdr:row>
      <xdr:rowOff>23040</xdr:rowOff>
    </xdr:from>
    <xdr:to>
      <xdr:col>11</xdr:col>
      <xdr:colOff>716040</xdr:colOff>
      <xdr:row>35</xdr:row>
      <xdr:rowOff>167400</xdr:rowOff>
    </xdr:to>
    <xdr:graphicFrame>
      <xdr:nvGraphicFramePr>
        <xdr:cNvPr id="1" name="Диаграмма 5"/>
        <xdr:cNvGraphicFramePr/>
      </xdr:nvGraphicFramePr>
      <xdr:xfrm>
        <a:off x="4907160" y="3880800"/>
        <a:ext cx="5467320" cy="380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34200</xdr:colOff>
      <xdr:row>32</xdr:row>
      <xdr:rowOff>26280</xdr:rowOff>
    </xdr:from>
    <xdr:to>
      <xdr:col>14</xdr:col>
      <xdr:colOff>134280</xdr:colOff>
      <xdr:row>54</xdr:row>
      <xdr:rowOff>86040</xdr:rowOff>
    </xdr:to>
    <xdr:graphicFrame>
      <xdr:nvGraphicFramePr>
        <xdr:cNvPr id="2" name="Диаграмма 1"/>
        <xdr:cNvGraphicFramePr/>
      </xdr:nvGraphicFramePr>
      <xdr:xfrm>
        <a:off x="6546600" y="5807880"/>
        <a:ext cx="4799160" cy="368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30960</xdr:colOff>
      <xdr:row>6</xdr:row>
      <xdr:rowOff>28800</xdr:rowOff>
    </xdr:from>
    <xdr:to>
      <xdr:col>15</xdr:col>
      <xdr:colOff>270000</xdr:colOff>
      <xdr:row>31</xdr:row>
      <xdr:rowOff>155160</xdr:rowOff>
    </xdr:to>
    <xdr:graphicFrame>
      <xdr:nvGraphicFramePr>
        <xdr:cNvPr id="3" name="Диаграмма 2"/>
        <xdr:cNvGraphicFramePr/>
      </xdr:nvGraphicFramePr>
      <xdr:xfrm>
        <a:off x="6543360" y="1257480"/>
        <a:ext cx="5752800" cy="451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17640</xdr:colOff>
      <xdr:row>17</xdr:row>
      <xdr:rowOff>0</xdr:rowOff>
    </xdr:from>
    <xdr:to>
      <xdr:col>10</xdr:col>
      <xdr:colOff>619920</xdr:colOff>
      <xdr:row>41</xdr:row>
      <xdr:rowOff>65880</xdr:rowOff>
    </xdr:to>
    <xdr:sp>
      <xdr:nvSpPr>
        <xdr:cNvPr id="4" name=" 3"/>
        <xdr:cNvSpPr/>
      </xdr:nvSpPr>
      <xdr:spPr>
        <a:xfrm>
          <a:off x="4370040" y="3352680"/>
          <a:ext cx="4202640" cy="4019040"/>
        </a:xfr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401040</xdr:colOff>
      <xdr:row>1</xdr:row>
      <xdr:rowOff>132840</xdr:rowOff>
    </xdr:from>
    <xdr:to>
      <xdr:col>14</xdr:col>
      <xdr:colOff>766440</xdr:colOff>
      <xdr:row>22</xdr:row>
      <xdr:rowOff>66960</xdr:rowOff>
    </xdr:to>
    <xdr:graphicFrame>
      <xdr:nvGraphicFramePr>
        <xdr:cNvPr id="5" name="Диаграмма 3"/>
        <xdr:cNvGraphicFramePr/>
      </xdr:nvGraphicFramePr>
      <xdr:xfrm>
        <a:off x="6918840" y="294840"/>
        <a:ext cx="5253480" cy="333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2" activeCellId="0" sqref="B2"/>
    </sheetView>
  </sheetViews>
  <sheetFormatPr defaultColWidth="11.5625" defaultRowHeight="13.5" zeroHeight="false" outlineLevelRow="0" outlineLevelCol="0"/>
  <cols>
    <col collapsed="false" customWidth="true" hidden="false" outlineLevel="0" max="1" min="1" style="1" width="22"/>
    <col collapsed="false" customWidth="true" hidden="false" outlineLevel="0" max="2" min="2" style="1" width="11"/>
    <col collapsed="false" customWidth="false" hidden="false" outlineLevel="0" max="1024" min="3" style="1" width="11.56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3"/>
    </row>
    <row r="2" customFormat="false" ht="15" hidden="false" customHeight="false" outlineLevel="0" collapsed="false">
      <c r="A2" s="4" t="s">
        <v>1</v>
      </c>
      <c r="B2" s="5" t="n">
        <v>868.2</v>
      </c>
      <c r="C2" s="6" t="s">
        <v>2</v>
      </c>
      <c r="D2" s="7" t="s">
        <v>3</v>
      </c>
      <c r="E2" s="8" t="n">
        <v>2.695</v>
      </c>
      <c r="F2" s="6"/>
      <c r="G2" s="3"/>
    </row>
    <row r="3" customFormat="false" ht="15" hidden="false" customHeight="false" outlineLevel="0" collapsed="false">
      <c r="A3" s="9" t="s">
        <v>4</v>
      </c>
      <c r="B3" s="10" t="n">
        <v>78.4</v>
      </c>
      <c r="C3" s="11" t="s">
        <v>2</v>
      </c>
      <c r="D3" s="12" t="s">
        <v>5</v>
      </c>
      <c r="E3" s="13" t="n">
        <f aca="false">Lпр/(1/Lambda+1)</f>
        <v>43.4700947225981</v>
      </c>
      <c r="F3" s="11" t="s">
        <v>6</v>
      </c>
      <c r="G3" s="3"/>
    </row>
    <row r="4" customFormat="false" ht="15" hidden="false" customHeight="false" outlineLevel="0" collapsed="false">
      <c r="A4" s="9" t="s">
        <v>7</v>
      </c>
      <c r="B4" s="10" t="n">
        <v>79.7</v>
      </c>
      <c r="C4" s="11" t="s">
        <v>2</v>
      </c>
      <c r="D4" s="14" t="s">
        <v>8</v>
      </c>
      <c r="E4" s="15" t="n">
        <f aca="false">Lпр - L_1</f>
        <v>16.1299052774019</v>
      </c>
      <c r="F4" s="16" t="s">
        <v>6</v>
      </c>
      <c r="G4" s="3"/>
    </row>
    <row r="5" customFormat="false" ht="15" hidden="false" customHeight="false" outlineLevel="0" collapsed="false">
      <c r="A5" s="9" t="s">
        <v>9</v>
      </c>
      <c r="B5" s="10" t="n">
        <v>1483.7</v>
      </c>
      <c r="C5" s="11" t="s">
        <v>2</v>
      </c>
      <c r="D5" s="17"/>
      <c r="E5" s="17"/>
      <c r="F5" s="17"/>
      <c r="G5" s="3"/>
    </row>
    <row r="6" customFormat="false" ht="15" hidden="false" customHeight="false" outlineLevel="0" collapsed="false">
      <c r="A6" s="18" t="s">
        <v>10</v>
      </c>
      <c r="B6" s="19" t="n">
        <v>1507.9</v>
      </c>
      <c r="C6" s="16" t="s">
        <v>2</v>
      </c>
      <c r="D6" s="17"/>
      <c r="E6" s="17"/>
      <c r="F6" s="17"/>
      <c r="G6" s="3"/>
    </row>
    <row r="7" customFormat="false" ht="30.75" hidden="false" customHeight="false" outlineLevel="0" collapsed="false">
      <c r="A7" s="20" t="s">
        <v>11</v>
      </c>
      <c r="B7" s="21" t="n">
        <f aca="false">Mст + Mпр + Mпр2 + M_1 + M_2</f>
        <v>4017.9</v>
      </c>
      <c r="C7" s="6" t="s">
        <v>2</v>
      </c>
      <c r="D7" s="17"/>
      <c r="E7" s="17"/>
      <c r="F7" s="17"/>
      <c r="G7" s="3"/>
    </row>
    <row r="8" customFormat="false" ht="30.75" hidden="false" customHeight="false" outlineLevel="0" collapsed="false">
      <c r="A8" s="22" t="s">
        <v>12</v>
      </c>
      <c r="B8" s="19" t="n">
        <v>4022.4</v>
      </c>
      <c r="C8" s="16" t="s">
        <v>2</v>
      </c>
      <c r="D8" s="17"/>
      <c r="E8" s="17"/>
      <c r="F8" s="17"/>
      <c r="G8" s="3"/>
    </row>
    <row r="9" customFormat="false" ht="15" hidden="false" customHeight="false" outlineLevel="0" collapsed="false">
      <c r="A9" s="4" t="s">
        <v>13</v>
      </c>
      <c r="B9" s="5" t="n">
        <v>100</v>
      </c>
      <c r="C9" s="6" t="s">
        <v>6</v>
      </c>
      <c r="D9" s="17"/>
      <c r="E9" s="17"/>
    </row>
    <row r="10" customFormat="false" ht="30.75" hidden="false" customHeight="false" outlineLevel="0" collapsed="false">
      <c r="A10" s="22" t="s">
        <v>14</v>
      </c>
      <c r="B10" s="19" t="n">
        <v>59.6</v>
      </c>
      <c r="C10" s="16" t="s">
        <v>6</v>
      </c>
      <c r="D10" s="17"/>
      <c r="E10" s="17"/>
    </row>
    <row r="11" customFormat="false" ht="15" hidden="false" customHeight="false" outlineLevel="0" collapsed="false">
      <c r="A11" s="23"/>
      <c r="B11" s="3"/>
      <c r="C11" s="3"/>
      <c r="D11" s="3"/>
      <c r="E11" s="3"/>
      <c r="F11" s="3"/>
      <c r="G11" s="3"/>
    </row>
    <row r="12" customFormat="false" ht="15" hidden="false" customHeight="false" outlineLevel="0" collapsed="false">
      <c r="A12" s="24" t="s">
        <v>15</v>
      </c>
      <c r="B12" s="25"/>
      <c r="C12" s="26"/>
      <c r="D12" s="3"/>
      <c r="E12" s="3"/>
      <c r="F12" s="3"/>
      <c r="G12" s="3"/>
    </row>
    <row r="13" customFormat="false" ht="30.75" hidden="false" customHeight="false" outlineLevel="0" collapsed="false">
      <c r="A13" s="20" t="s">
        <v>16</v>
      </c>
      <c r="B13" s="27" t="n">
        <f aca="false">(Mст * (Lст^2/12 + (Lпр/2)^2) + Mпр * Lпр^2)/10000000</f>
        <v>0.1772985672</v>
      </c>
      <c r="C13" s="28" t="s">
        <v>17</v>
      </c>
      <c r="D13" s="3"/>
      <c r="E13" s="3"/>
      <c r="F13" s="3"/>
      <c r="G13" s="3"/>
    </row>
    <row r="14" customFormat="false" ht="30.75" hidden="false" customHeight="false" outlineLevel="0" collapsed="false">
      <c r="A14" s="22" t="s">
        <v>18</v>
      </c>
      <c r="B14" s="29" t="n">
        <f aca="false">(Mполн * Lпр * L_2)/10000000</f>
        <v>0.386690348687416</v>
      </c>
      <c r="C14" s="30" t="s">
        <v>17</v>
      </c>
      <c r="D14" s="3"/>
      <c r="E14" s="3"/>
      <c r="F14" s="3"/>
      <c r="G14" s="3"/>
    </row>
    <row r="15" customFormat="false" ht="15" hidden="false" customHeight="false" outlineLevel="0" collapsed="false">
      <c r="D15" s="3"/>
      <c r="E15" s="3"/>
      <c r="F15" s="3"/>
      <c r="G15" s="3"/>
    </row>
    <row r="16" customFormat="false" ht="24.75" hidden="false" customHeight="true" outlineLevel="0" collapsed="false">
      <c r="A16" s="31" t="s">
        <v>19</v>
      </c>
      <c r="B16" s="31"/>
      <c r="C16" s="31"/>
      <c r="D16" s="31"/>
      <c r="E16" s="31"/>
      <c r="F16" s="32"/>
      <c r="G16" s="3"/>
    </row>
    <row r="17" customFormat="false" ht="15" hidden="false" customHeight="false" outlineLevel="0" collapsed="false">
      <c r="A17" s="3"/>
      <c r="B17" s="33" t="s">
        <v>20</v>
      </c>
      <c r="C17" s="33" t="s">
        <v>21</v>
      </c>
      <c r="D17" s="33" t="s">
        <v>22</v>
      </c>
      <c r="E17" s="33" t="s">
        <v>23</v>
      </c>
      <c r="F17" s="3"/>
      <c r="G17" s="3"/>
    </row>
    <row r="18" customFormat="false" ht="17.25" hidden="false" customHeight="false" outlineLevel="0" collapsed="false">
      <c r="A18" s="3"/>
      <c r="B18" s="34" t="s">
        <v>6</v>
      </c>
      <c r="C18" s="34" t="s">
        <v>6</v>
      </c>
      <c r="D18" s="34" t="s">
        <v>24</v>
      </c>
      <c r="E18" s="34" t="s">
        <v>24</v>
      </c>
      <c r="F18" s="3"/>
      <c r="G18" s="3"/>
    </row>
    <row r="19" customFormat="false" ht="15" hidden="false" customHeight="false" outlineLevel="0" collapsed="false">
      <c r="B19" s="35" t="n">
        <v>2</v>
      </c>
      <c r="C19" s="36" t="n">
        <f aca="false">(Mполн * L_1 - Mст * Lпр/2 - Mпр2 * Lпр - M_2 * (Lпр + $B19))/M_1</f>
        <v>34.606045030787</v>
      </c>
      <c r="D19" s="37" t="n">
        <f aca="false">Jполн - Jст</f>
        <v>0.209391781487415</v>
      </c>
      <c r="E19" s="38" t="n">
        <f aca="false">( M_1 *(Lпр  -  $C19)^2 + M_2 * $B19^2)/10000000</f>
        <v>0.0932895703609024</v>
      </c>
      <c r="F19" s="39"/>
      <c r="G19" s="40"/>
      <c r="H19" s="41"/>
      <c r="I19" s="42"/>
    </row>
    <row r="20" customFormat="false" ht="13.5" hidden="false" customHeight="false" outlineLevel="0" collapsed="false">
      <c r="B20" s="35" t="n">
        <v>3</v>
      </c>
      <c r="C20" s="36" t="n">
        <f aca="false">(Mполн * L_1 - Mст * Lпр/2 - Mпр2 * Lпр - M_2 * (Lпр + $B20))/M_1</f>
        <v>33.5897344558729</v>
      </c>
      <c r="D20" s="37" t="n">
        <f aca="false">Jполн - Jст</f>
        <v>0.209391781487415</v>
      </c>
      <c r="E20" s="38" t="n">
        <f aca="false">( M_1 *(Lпр  -  $C20)^2 + M_2 * $B20^2)/10000000</f>
        <v>0.101734446772109</v>
      </c>
      <c r="F20" s="43"/>
      <c r="G20" s="44"/>
      <c r="H20" s="44"/>
    </row>
    <row r="21" customFormat="false" ht="13.5" hidden="false" customHeight="false" outlineLevel="0" collapsed="false">
      <c r="B21" s="35" t="n">
        <v>4</v>
      </c>
      <c r="C21" s="36" t="n">
        <f aca="false">(Mполн * L_1 - Mст * Lпр/2 - Mпр2 * Lпр - M_2 * (Lпр + $B21))/M_1</f>
        <v>32.5734238809588</v>
      </c>
      <c r="D21" s="37" t="n">
        <f aca="false">Jполн - Jст</f>
        <v>0.209391781487415</v>
      </c>
      <c r="E21" s="38" t="n">
        <f aca="false">( M_1 *(Lпр  -  $C21)^2 + M_2 * $B21^2)/10000000</f>
        <v>0.110787402126498</v>
      </c>
      <c r="F21" s="43"/>
      <c r="G21" s="44"/>
      <c r="H21" s="44"/>
    </row>
    <row r="22" customFormat="false" ht="13.5" hidden="false" customHeight="false" outlineLevel="0" collapsed="false">
      <c r="B22" s="35" t="n">
        <v>5</v>
      </c>
      <c r="C22" s="36" t="n">
        <f aca="false">(Mполн * L_1 - Mст * Lпр/2 - Mпр2 * Lпр - M_2 * (Lпр + $B22))/M_1</f>
        <v>31.5571133060448</v>
      </c>
      <c r="D22" s="37" t="n">
        <f aca="false">Jполн - Jст</f>
        <v>0.209391781487415</v>
      </c>
      <c r="E22" s="38" t="n">
        <f aca="false">( M_1 *(Lпр  -  $C22)^2 + M_2 * $B22^2)/10000000</f>
        <v>0.12044843642407</v>
      </c>
      <c r="F22" s="43"/>
      <c r="G22" s="44"/>
      <c r="H22" s="44"/>
    </row>
    <row r="23" customFormat="false" ht="13.5" hidden="false" customHeight="false" outlineLevel="0" collapsed="false">
      <c r="B23" s="35" t="n">
        <v>6</v>
      </c>
      <c r="C23" s="36" t="n">
        <f aca="false">(Mполн * L_1 - Mст * Lпр/2 - Mпр2 * Lпр - M_2 * (Lпр + $B23))/M_1</f>
        <v>30.5408027311307</v>
      </c>
      <c r="D23" s="37" t="n">
        <f aca="false">Jполн - Jст</f>
        <v>0.209391781487415</v>
      </c>
      <c r="E23" s="38" t="n">
        <f aca="false">( M_1 *(Lпр  -  $C23)^2 + M_2 * $B23^2)/10000000</f>
        <v>0.130717549664824</v>
      </c>
      <c r="F23" s="43"/>
      <c r="G23" s="44"/>
      <c r="H23" s="44"/>
    </row>
    <row r="24" customFormat="false" ht="13.5" hidden="false" customHeight="false" outlineLevel="0" collapsed="false">
      <c r="B24" s="35" t="n">
        <v>7</v>
      </c>
      <c r="C24" s="36" t="n">
        <f aca="false">(Mполн * L_1 - Mст * Lпр/2 - Mпр2 * Lпр - M_2 * (Lпр + $B24))/M_1</f>
        <v>29.5244921562166</v>
      </c>
      <c r="D24" s="37" t="n">
        <f aca="false">Jполн - Jст</f>
        <v>0.209391781487415</v>
      </c>
      <c r="E24" s="38" t="n">
        <f aca="false">( M_1 *(Lпр  -  $C24)^2 + M_2 * $B24^2)/10000000</f>
        <v>0.141594741848761</v>
      </c>
      <c r="F24" s="43"/>
      <c r="G24" s="44"/>
      <c r="H24" s="44"/>
    </row>
    <row r="25" customFormat="false" ht="13.5" hidden="false" customHeight="false" outlineLevel="0" collapsed="false">
      <c r="B25" s="35" t="n">
        <v>8</v>
      </c>
      <c r="C25" s="36" t="n">
        <f aca="false">(Mполн * L_1 - Mст * Lпр/2 - Mпр2 * Lпр - M_2 * (Lпр + $B25))/M_1</f>
        <v>28.5081815813026</v>
      </c>
      <c r="D25" s="37" t="n">
        <f aca="false">Jполн - Jст</f>
        <v>0.209391781487415</v>
      </c>
      <c r="E25" s="38" t="n">
        <f aca="false">( M_1 *(Lпр  -  $C25)^2 + M_2 * $B25^2)/10000000</f>
        <v>0.15308001297588</v>
      </c>
      <c r="F25" s="43"/>
      <c r="G25" s="44"/>
      <c r="H25" s="44"/>
    </row>
    <row r="26" customFormat="false" ht="13.5" hidden="false" customHeight="false" outlineLevel="0" collapsed="false">
      <c r="B26" s="35" t="n">
        <v>9</v>
      </c>
      <c r="C26" s="36" t="n">
        <f aca="false">(Mполн * L_1 - Mст * Lпр/2 - Mпр2 * Lпр - M_2 * (Lпр + $B26))/M_1</f>
        <v>27.4918710063885</v>
      </c>
      <c r="D26" s="37" t="n">
        <f aca="false">Jполн - Jст</f>
        <v>0.209391781487415</v>
      </c>
      <c r="E26" s="38" t="n">
        <f aca="false">( M_1 *(Lпр  -  $C26)^2 + M_2 * $B26^2)/10000000</f>
        <v>0.165173363046183</v>
      </c>
      <c r="F26" s="43"/>
      <c r="G26" s="44"/>
      <c r="H26" s="44"/>
    </row>
    <row r="27" customFormat="false" ht="13.5" hidden="false" customHeight="false" outlineLevel="0" collapsed="false">
      <c r="B27" s="35" t="n">
        <v>10</v>
      </c>
      <c r="C27" s="36" t="n">
        <f aca="false">(Mполн * L_1 - Mст * Lпр/2 - Mпр2 * Lпр - M_2 * (Lпр + $B27))/M_1</f>
        <v>26.4755604314744</v>
      </c>
      <c r="D27" s="37" t="n">
        <f aca="false">Jполн - Jст</f>
        <v>0.209391781487415</v>
      </c>
      <c r="E27" s="38" t="n">
        <f aca="false">( M_1 *(Lпр  -  $C27)^2 + M_2 * $B27^2)/10000000</f>
        <v>0.177874792059667</v>
      </c>
      <c r="F27" s="43"/>
      <c r="G27" s="44"/>
      <c r="H27" s="44"/>
    </row>
    <row r="28" customFormat="false" ht="13.5" hidden="false" customHeight="false" outlineLevel="0" collapsed="false">
      <c r="B28" s="35" t="n">
        <v>11</v>
      </c>
      <c r="C28" s="36" t="n">
        <f aca="false">(Mполн * L_1 - Mст * Lпр/2 - Mпр2 * Lпр - M_2 * (Lпр + $B28))/M_1</f>
        <v>25.4592498565604</v>
      </c>
      <c r="D28" s="37" t="n">
        <f aca="false">Jполн - Jст</f>
        <v>0.209391781487415</v>
      </c>
      <c r="E28" s="38" t="n">
        <f aca="false">( M_1 *(Lпр  -  $C28)^2 + M_2 * $B28^2)/10000000</f>
        <v>0.191184300016334</v>
      </c>
      <c r="F28" s="43"/>
      <c r="G28" s="44"/>
      <c r="H28" s="44"/>
    </row>
    <row r="29" customFormat="false" ht="13.5" hidden="false" customHeight="false" outlineLevel="0" collapsed="false">
      <c r="B29" s="35" t="n">
        <v>12</v>
      </c>
      <c r="C29" s="36" t="n">
        <f aca="false">(Mполн * L_1 - Mст * Lпр/2 - Mпр2 * Lпр - M_2 * (Lпр + $B29))/M_1</f>
        <v>24.4429392816463</v>
      </c>
      <c r="D29" s="37" t="n">
        <f aca="false">Jполн - Jст</f>
        <v>0.209391781487415</v>
      </c>
      <c r="E29" s="38" t="n">
        <f aca="false">( M_1 *(Lпр  -  $C29)^2 + M_2 * $B29^2)/10000000</f>
        <v>0.205101886916184</v>
      </c>
      <c r="F29" s="43"/>
      <c r="G29" s="44"/>
      <c r="H29" s="44"/>
    </row>
    <row r="30" customFormat="false" ht="13.5" hidden="false" customHeight="false" outlineLevel="0" collapsed="false">
      <c r="B30" s="35" t="n">
        <v>13</v>
      </c>
      <c r="C30" s="36" t="n">
        <f aca="false">(Mполн * L_1 - Mст * Lпр/2 - Mпр2 * Lпр - M_2 * (Lпр + $B30))/M_1</f>
        <v>23.4266287067323</v>
      </c>
      <c r="D30" s="37" t="n">
        <f aca="false">Jполн - Jст</f>
        <v>0.209391781487415</v>
      </c>
      <c r="E30" s="38" t="n">
        <f aca="false">( M_1 *(Lпр  -  $C30)^2 + M_2 * $B30^2)/10000000</f>
        <v>0.219627552759217</v>
      </c>
      <c r="F30" s="43"/>
      <c r="G30" s="44"/>
      <c r="H30" s="44"/>
    </row>
    <row r="31" customFormat="false" ht="13.5" hidden="false" customHeight="false" outlineLevel="0" collapsed="false">
      <c r="B31" s="35" t="n">
        <v>14</v>
      </c>
      <c r="C31" s="36" t="n">
        <f aca="false">(Mполн * L_1 - Mст * Lпр/2 - Mпр2 * Lпр - M_2 * (Lпр + $B31))/M_1</f>
        <v>22.4103181318182</v>
      </c>
      <c r="D31" s="37" t="n">
        <f aca="false">Jполн - Jст</f>
        <v>0.209391781487415</v>
      </c>
      <c r="E31" s="38" t="n">
        <f aca="false">( M_1 *(Lпр  -  $C31)^2 + M_2 * $B31^2)/10000000</f>
        <v>0.234761297545432</v>
      </c>
      <c r="F31" s="43"/>
      <c r="G31" s="44"/>
      <c r="H31" s="44"/>
    </row>
    <row r="32" customFormat="false" ht="13.5" hidden="false" customHeight="false" outlineLevel="0" collapsed="false">
      <c r="B32" s="35" t="n">
        <v>15</v>
      </c>
      <c r="C32" s="36" t="n">
        <f aca="false">(Mполн * L_1 - Mст * Lпр/2 - Mпр2 * Lпр - M_2 * (Lпр + $B32))/M_1</f>
        <v>21.3940075569041</v>
      </c>
      <c r="D32" s="37" t="n">
        <f aca="false">Jполн - Jст</f>
        <v>0.209391781487415</v>
      </c>
      <c r="E32" s="38" t="n">
        <f aca="false">( M_1 *(Lпр  -  $C32)^2 + M_2 * $B32^2)/10000000</f>
        <v>0.250503121274829</v>
      </c>
      <c r="F32" s="43"/>
      <c r="G32" s="44"/>
      <c r="H32" s="44"/>
    </row>
    <row r="33" customFormat="false" ht="13.5" hidden="false" customHeight="false" outlineLevel="0" collapsed="false">
      <c r="B33" s="35" t="n">
        <v>16</v>
      </c>
      <c r="C33" s="36" t="n">
        <f aca="false">(Mполн * L_1 - Mст * Lпр/2 - Mпр2 * Lпр - M_2 * (Lпр + $B33))/M_1</f>
        <v>20.37769698199</v>
      </c>
      <c r="D33" s="37" t="n">
        <f aca="false">Jполн - Jст</f>
        <v>0.209391781487415</v>
      </c>
      <c r="E33" s="38" t="n">
        <f aca="false">( M_1 *(Lпр  -  $C33)^2 + M_2 * $B33^2)/10000000</f>
        <v>0.266853023947409</v>
      </c>
      <c r="F33" s="43"/>
      <c r="G33" s="44"/>
      <c r="H33" s="44"/>
    </row>
    <row r="34" customFormat="false" ht="13.5" hidden="false" customHeight="false" outlineLevel="0" collapsed="false">
      <c r="B34" s="35" t="n">
        <v>17</v>
      </c>
      <c r="C34" s="36" t="n">
        <f aca="false">(Mполн * L_1 - Mст * Lпр/2 - Mпр2 * Lпр - M_2 * (Lпр + $B34))/M_1</f>
        <v>19.361386407076</v>
      </c>
      <c r="D34" s="37" t="n">
        <f aca="false">Jполн - Jст</f>
        <v>0.209391781487415</v>
      </c>
      <c r="E34" s="38" t="n">
        <f aca="false">( M_1 *(Lпр  -  $C34)^2 + M_2 * $B34^2)/10000000</f>
        <v>0.283811005563172</v>
      </c>
      <c r="F34" s="43"/>
      <c r="G34" s="44"/>
      <c r="H34" s="44"/>
    </row>
    <row r="35" customFormat="false" ht="13.5" hidden="false" customHeight="false" outlineLevel="0" collapsed="false">
      <c r="B35" s="35" t="n">
        <v>18</v>
      </c>
      <c r="C35" s="36" t="n">
        <f aca="false">(Mполн * L_1 - Mст * Lпр/2 - Mпр2 * Lпр - M_2 * (Lпр + $B35))/M_1</f>
        <v>18.3450758321619</v>
      </c>
      <c r="D35" s="37" t="n">
        <f aca="false">Jполн - Jст</f>
        <v>0.209391781487415</v>
      </c>
      <c r="E35" s="38" t="n">
        <f aca="false">( M_1 *(Lпр  -  $C35)^2 + M_2 * $B35^2)/10000000</f>
        <v>0.301377066122117</v>
      </c>
      <c r="F35" s="43"/>
      <c r="G35" s="44"/>
      <c r="H35" s="44"/>
    </row>
    <row r="36" customFormat="false" ht="13.5" hidden="false" customHeight="false" outlineLevel="0" collapsed="false">
      <c r="B36" s="44"/>
      <c r="C36" s="44"/>
      <c r="D36" s="43"/>
      <c r="E36" s="43"/>
      <c r="F36" s="43"/>
      <c r="G36" s="44"/>
      <c r="H36" s="44"/>
    </row>
    <row r="37" customFormat="false" ht="13.5" hidden="false" customHeight="false" outlineLevel="0" collapsed="false">
      <c r="A37" s="2" t="s">
        <v>25</v>
      </c>
      <c r="B37" s="2"/>
      <c r="C37" s="2"/>
      <c r="D37" s="2"/>
      <c r="E37" s="2"/>
      <c r="F37" s="45"/>
      <c r="G37" s="44"/>
      <c r="H37" s="44"/>
    </row>
    <row r="38" customFormat="false" ht="15" hidden="false" customHeight="true" outlineLevel="0" collapsed="false">
      <c r="B38" s="46" t="n">
        <v>12</v>
      </c>
      <c r="C38" s="47" t="s">
        <v>26</v>
      </c>
      <c r="D38" s="47"/>
      <c r="E38" s="47"/>
      <c r="F38" s="43"/>
      <c r="G38" s="44"/>
      <c r="H38" s="44"/>
    </row>
    <row r="39" customFormat="false" ht="15" hidden="false" customHeight="false" outlineLevel="0" collapsed="false">
      <c r="B39" s="46" t="n">
        <v>0.1</v>
      </c>
      <c r="C39" s="48" t="s">
        <v>27</v>
      </c>
      <c r="D39" s="49"/>
      <c r="E39" s="49"/>
    </row>
    <row r="40" customFormat="false" ht="13.5" hidden="false" customHeight="false" outlineLevel="0" collapsed="false">
      <c r="B40" s="50" t="n">
        <f aca="false">$B$38-5*$B$39</f>
        <v>11.5</v>
      </c>
      <c r="C40" s="51" t="n">
        <f aca="false">(Mполн * L_1 - Mст * Lпр/2 - Mпр2 * Lпр - M_2 * (Lпр + $B40))/M_1</f>
        <v>24.9510945691033</v>
      </c>
      <c r="D40" s="52" t="n">
        <f aca="false">Jполн - Jст</f>
        <v>0.209391781487415</v>
      </c>
      <c r="E40" s="53" t="n">
        <f aca="false">( M_1 *(Lпр  -  $C40)^2 + M_2 * $B40^2)/10000000</f>
        <v>0.198067083598362</v>
      </c>
    </row>
    <row r="41" customFormat="false" ht="13.5" hidden="false" customHeight="false" outlineLevel="0" collapsed="false">
      <c r="B41" s="35" t="n">
        <f aca="false">$B$38-4*$B$39</f>
        <v>11.6</v>
      </c>
      <c r="C41" s="36" t="n">
        <f aca="false">(Mполн * L_1 - Mст * Lпр/2 - Mпр2 * Lпр - M_2 * (Lпр + $B41))/M_1</f>
        <v>24.8494635116119</v>
      </c>
      <c r="D41" s="37" t="n">
        <f aca="false">Jполн - Jст</f>
        <v>0.209391781487415</v>
      </c>
      <c r="E41" s="38" t="n">
        <f aca="false">( M_1 *(Lпр  -  $C41)^2 + M_2 * $B41^2)/10000000</f>
        <v>0.199461882683062</v>
      </c>
    </row>
    <row r="42" customFormat="false" ht="13.5" hidden="false" customHeight="false" outlineLevel="0" collapsed="false">
      <c r="B42" s="35" t="n">
        <f aca="false">$B$38-3*$B$39</f>
        <v>11.7</v>
      </c>
      <c r="C42" s="36" t="n">
        <f aca="false">(Mполн * L_1 - Mст * Lпр/2 - Mпр2 * Lпр - M_2 * (Lпр + $B42))/M_1</f>
        <v>24.7478324541205</v>
      </c>
      <c r="D42" s="37" t="n">
        <f aca="false">Jполн - Jст</f>
        <v>0.209391781487415</v>
      </c>
      <c r="E42" s="38" t="n">
        <f aca="false">( M_1 *(Lпр  -  $C42)^2 + M_2 * $B42^2)/10000000</f>
        <v>0.200862762557195</v>
      </c>
      <c r="F42" s="43"/>
      <c r="G42" s="44"/>
      <c r="H42" s="44"/>
    </row>
    <row r="43" customFormat="false" ht="13.5" hidden="false" customHeight="false" outlineLevel="0" collapsed="false">
      <c r="B43" s="35" t="n">
        <f aca="false">$B$38-2*$B$39</f>
        <v>11.8</v>
      </c>
      <c r="C43" s="36" t="n">
        <f aca="false">(Mполн * L_1 - Mст * Lпр/2 - Mпр2 * Lпр - M_2 * (Lпр + $B43))/M_1</f>
        <v>24.6462013966291</v>
      </c>
      <c r="D43" s="37" t="n">
        <f aca="false">Jполн - Jст</f>
        <v>0.209391781487415</v>
      </c>
      <c r="E43" s="38" t="n">
        <f aca="false">( M_1 *(Lпр  -  $C43)^2 + M_2 * $B43^2)/10000000</f>
        <v>0.20226972322076</v>
      </c>
      <c r="F43" s="43"/>
      <c r="G43" s="44"/>
      <c r="H43" s="44"/>
    </row>
    <row r="44" customFormat="false" ht="13.5" hidden="false" customHeight="false" outlineLevel="0" collapsed="false">
      <c r="B44" s="35" t="n">
        <f aca="false">$B$38-1*$B$39</f>
        <v>11.9</v>
      </c>
      <c r="C44" s="36" t="n">
        <f aca="false">(Mполн * L_1 - Mст * Lпр/2 - Mпр2 * Lпр - M_2 * (Lпр + $B44))/M_1</f>
        <v>24.5445703391377</v>
      </c>
      <c r="D44" s="37" t="n">
        <f aca="false">Jполн - Jст</f>
        <v>0.209391781487415</v>
      </c>
      <c r="E44" s="38" t="n">
        <f aca="false">( M_1 *(Lпр  -  $C44)^2 + M_2 * $B44^2)/10000000</f>
        <v>0.203682764673756</v>
      </c>
      <c r="F44" s="43"/>
      <c r="G44" s="44"/>
      <c r="H44" s="44"/>
    </row>
    <row r="45" customFormat="false" ht="13.5" hidden="false" customHeight="false" outlineLevel="0" collapsed="false">
      <c r="B45" s="35" t="n">
        <f aca="false">$B$38-0*$B$39</f>
        <v>12</v>
      </c>
      <c r="C45" s="36" t="n">
        <f aca="false">(Mполн * L_1 - Mст * Lпр/2 - Mпр2 * Lпр - M_2 * (Lпр + $B45))/M_1</f>
        <v>24.4429392816463</v>
      </c>
      <c r="D45" s="37" t="n">
        <f aca="false">Jполн - Jст</f>
        <v>0.209391781487415</v>
      </c>
      <c r="E45" s="38" t="n">
        <f aca="false">( M_1 *(Lпр  -  $C45)^2 + M_2 * $B45^2)/10000000</f>
        <v>0.205101886916184</v>
      </c>
      <c r="F45" s="43"/>
      <c r="G45" s="44"/>
      <c r="H45" s="44"/>
    </row>
    <row r="46" customFormat="false" ht="13.5" hidden="false" customHeight="false" outlineLevel="0" collapsed="false">
      <c r="B46" s="35" t="n">
        <f aca="false">$B$38+1*$B$39</f>
        <v>12.1</v>
      </c>
      <c r="C46" s="36" t="n">
        <f aca="false">(Mполн * L_1 - Mст * Lпр/2 - Mпр2 * Lпр - M_2 * (Lпр + $B46))/M_1</f>
        <v>24.3413082241549</v>
      </c>
      <c r="D46" s="37" t="n">
        <f aca="false">Jполн - Jст</f>
        <v>0.209391781487415</v>
      </c>
      <c r="E46" s="38" t="n">
        <f aca="false">( M_1 *(Lпр  -  $C46)^2 + M_2 * $B46^2)/10000000</f>
        <v>0.206527089948044</v>
      </c>
      <c r="F46" s="43"/>
      <c r="G46" s="44"/>
      <c r="H46" s="44"/>
    </row>
    <row r="47" customFormat="false" ht="13.5" hidden="false" customHeight="false" outlineLevel="0" collapsed="false">
      <c r="B47" s="35" t="n">
        <f aca="false">$B$38+2*$B$39</f>
        <v>12.2</v>
      </c>
      <c r="C47" s="36" t="n">
        <f aca="false">(Mполн * L_1 - Mст * Lпр/2 - Mпр2 * Lпр - M_2 * (Lпр + $B47))/M_1</f>
        <v>24.2396771666635</v>
      </c>
      <c r="D47" s="37" t="n">
        <f aca="false">Jполн - Jст</f>
        <v>0.209391781487415</v>
      </c>
      <c r="E47" s="38" t="n">
        <f aca="false">( M_1 *(Lпр  -  $C47)^2 + M_2 * $B47^2)/10000000</f>
        <v>0.207958373769336</v>
      </c>
      <c r="F47" s="43"/>
      <c r="G47" s="44"/>
      <c r="H47" s="44"/>
    </row>
    <row r="48" customFormat="false" ht="13.5" hidden="false" customHeight="false" outlineLevel="0" collapsed="false">
      <c r="B48" s="35" t="n">
        <f aca="false">$B$38+3*$B$39</f>
        <v>12.3</v>
      </c>
      <c r="C48" s="36" t="n">
        <f aca="false">(Mполн * L_1 - Mст * Lпр/2 - Mпр2 * Lпр - M_2 * (Lпр + $B48))/M_1</f>
        <v>24.1380461091721</v>
      </c>
      <c r="D48" s="37" t="n">
        <f aca="false">Jполн - Jст</f>
        <v>0.209391781487415</v>
      </c>
      <c r="E48" s="38" t="n">
        <f aca="false">( M_1 *(Lпр  -  $C48)^2 + M_2 * $B48^2)/10000000</f>
        <v>0.20939573838006</v>
      </c>
      <c r="F48" s="43"/>
      <c r="G48" s="44"/>
      <c r="H48" s="44"/>
    </row>
    <row r="49" customFormat="false" ht="13.5" hidden="false" customHeight="false" outlineLevel="0" collapsed="false">
      <c r="B49" s="35" t="n">
        <f aca="false">$B$38+4*$B$39</f>
        <v>12.4</v>
      </c>
      <c r="C49" s="36" t="n">
        <f aca="false">(Mполн * L_1 - Mст * Lпр/2 - Mпр2 * Lпр - M_2 * (Lпр + $B49))/M_1</f>
        <v>24.0364150516807</v>
      </c>
      <c r="D49" s="37" t="n">
        <f aca="false">Jполн - Jст</f>
        <v>0.209391781487415</v>
      </c>
      <c r="E49" s="38" t="n">
        <f aca="false">( M_1 *(Lпр  -  $C49)^2 + M_2 * $B49^2)/10000000</f>
        <v>0.210839183780215</v>
      </c>
      <c r="F49" s="43"/>
      <c r="G49" s="44"/>
      <c r="H49" s="44"/>
    </row>
    <row r="50" customFormat="false" ht="13.5" hidden="false" customHeight="false" outlineLevel="0" collapsed="false">
      <c r="B50" s="54" t="n">
        <f aca="false">$B$38+5*$B$39</f>
        <v>12.5</v>
      </c>
      <c r="C50" s="55" t="n">
        <f aca="false">(Mполн * L_1 - Mст * Lпр/2 - Mпр2 * Lпр - M_2 * (Lпр + $B50))/M_1</f>
        <v>23.9347839941893</v>
      </c>
      <c r="D50" s="56" t="n">
        <f aca="false">Jполн - Jст</f>
        <v>0.209391781487415</v>
      </c>
      <c r="E50" s="57" t="n">
        <f aca="false">( M_1 *(Lпр  -  $C50)^2 + M_2 * $B50^2)/10000000</f>
        <v>0.212288709969802</v>
      </c>
      <c r="F50" s="43"/>
      <c r="G50" s="44"/>
      <c r="H50" s="44"/>
    </row>
    <row r="51" customFormat="false" ht="13.5" hidden="false" customHeight="false" outlineLevel="0" collapsed="false">
      <c r="F51" s="43"/>
      <c r="G51" s="44"/>
      <c r="H51" s="44"/>
    </row>
    <row r="52" customFormat="false" ht="13.5" hidden="false" customHeight="false" outlineLevel="0" collapsed="false">
      <c r="F52" s="43"/>
      <c r="G52" s="44"/>
      <c r="H52" s="44"/>
    </row>
    <row r="53" customFormat="false" ht="13.5" hidden="false" customHeight="false" outlineLevel="0" collapsed="false">
      <c r="A53" s="44"/>
      <c r="B53" s="44"/>
      <c r="C53" s="43"/>
      <c r="D53" s="43"/>
      <c r="E53" s="43"/>
      <c r="F53" s="44"/>
      <c r="G53" s="44"/>
    </row>
    <row r="57" customFormat="false" ht="13.5" hidden="false" customHeight="false" outlineLevel="0" collapsed="false">
      <c r="A57" s="44"/>
      <c r="B57" s="44"/>
      <c r="C57" s="58"/>
      <c r="D57" s="43"/>
      <c r="E57" s="42"/>
    </row>
    <row r="58" customFormat="false" ht="13.5" hidden="false" customHeight="false" outlineLevel="0" collapsed="false">
      <c r="A58" s="44"/>
      <c r="B58" s="44"/>
      <c r="C58" s="58"/>
      <c r="D58" s="43"/>
      <c r="E58" s="42"/>
    </row>
    <row r="59" customFormat="false" ht="13.5" hidden="false" customHeight="false" outlineLevel="0" collapsed="false">
      <c r="A59" s="44"/>
      <c r="B59" s="44"/>
      <c r="C59" s="58"/>
      <c r="D59" s="43"/>
      <c r="E59" s="42"/>
    </row>
    <row r="60" customFormat="false" ht="13.5" hidden="false" customHeight="false" outlineLevel="0" collapsed="false">
      <c r="A60" s="44"/>
      <c r="B60" s="44"/>
      <c r="C60" s="58"/>
      <c r="D60" s="43"/>
      <c r="E60" s="42"/>
    </row>
    <row r="61" customFormat="false" ht="13.5" hidden="false" customHeight="false" outlineLevel="0" collapsed="false">
      <c r="A61" s="44"/>
      <c r="B61" s="44"/>
      <c r="C61" s="58"/>
      <c r="D61" s="43"/>
      <c r="E61" s="42"/>
    </row>
    <row r="62" customFormat="false" ht="13.5" hidden="false" customHeight="false" outlineLevel="0" collapsed="false">
      <c r="A62" s="44"/>
      <c r="B62" s="44"/>
      <c r="C62" s="58"/>
      <c r="D62" s="43"/>
      <c r="E62" s="42"/>
    </row>
    <row r="63" customFormat="false" ht="13.5" hidden="false" customHeight="false" outlineLevel="0" collapsed="false">
      <c r="A63" s="44"/>
      <c r="B63" s="44"/>
      <c r="C63" s="58"/>
      <c r="D63" s="43"/>
      <c r="E63" s="42"/>
    </row>
    <row r="64" customFormat="false" ht="13.5" hidden="false" customHeight="false" outlineLevel="0" collapsed="false">
      <c r="A64" s="44"/>
      <c r="B64" s="44"/>
      <c r="C64" s="58"/>
      <c r="D64" s="43"/>
      <c r="E64" s="42"/>
    </row>
    <row r="65" customFormat="false" ht="13.5" hidden="false" customHeight="false" outlineLevel="0" collapsed="false">
      <c r="A65" s="44"/>
      <c r="B65" s="44"/>
      <c r="C65" s="58"/>
      <c r="D65" s="43"/>
      <c r="E65" s="42"/>
    </row>
    <row r="66" customFormat="false" ht="13.5" hidden="false" customHeight="false" outlineLevel="0" collapsed="false">
      <c r="A66" s="44"/>
      <c r="B66" s="44"/>
      <c r="C66" s="58"/>
      <c r="D66" s="43"/>
      <c r="E66" s="42"/>
    </row>
    <row r="67" customFormat="false" ht="13.5" hidden="false" customHeight="false" outlineLevel="0" collapsed="false">
      <c r="A67" s="44"/>
      <c r="B67" s="44"/>
      <c r="C67" s="58"/>
      <c r="D67" s="43"/>
      <c r="E67" s="42"/>
    </row>
    <row r="68" customFormat="false" ht="13.5" hidden="false" customHeight="false" outlineLevel="0" collapsed="false">
      <c r="A68" s="44"/>
      <c r="B68" s="44"/>
      <c r="C68" s="58"/>
      <c r="D68" s="43"/>
      <c r="E68" s="42"/>
    </row>
    <row r="69" customFormat="false" ht="13.5" hidden="false" customHeight="false" outlineLevel="0" collapsed="false">
      <c r="A69" s="44"/>
      <c r="B69" s="44"/>
      <c r="C69" s="58"/>
      <c r="D69" s="43"/>
      <c r="E69" s="42"/>
    </row>
    <row r="70" customFormat="false" ht="13.5" hidden="false" customHeight="false" outlineLevel="0" collapsed="false">
      <c r="A70" s="44"/>
      <c r="B70" s="44"/>
      <c r="C70" s="58"/>
      <c r="D70" s="43"/>
      <c r="E70" s="42"/>
    </row>
    <row r="71" customFormat="false" ht="13.5" hidden="false" customHeight="false" outlineLevel="0" collapsed="false">
      <c r="A71" s="44"/>
      <c r="B71" s="44"/>
      <c r="C71" s="58"/>
      <c r="D71" s="43"/>
      <c r="E71" s="42"/>
    </row>
    <row r="72" customFormat="false" ht="13.5" hidden="false" customHeight="false" outlineLevel="0" collapsed="false">
      <c r="A72" s="44"/>
      <c r="B72" s="44"/>
      <c r="C72" s="58"/>
      <c r="D72" s="43"/>
      <c r="E72" s="42"/>
    </row>
    <row r="73" customFormat="false" ht="13.5" hidden="false" customHeight="false" outlineLevel="0" collapsed="false">
      <c r="A73" s="44"/>
      <c r="B73" s="44"/>
      <c r="C73" s="58"/>
      <c r="D73" s="43"/>
      <c r="E73" s="42"/>
    </row>
    <row r="74" customFormat="false" ht="13.5" hidden="false" customHeight="false" outlineLevel="0" collapsed="false">
      <c r="A74" s="44"/>
      <c r="B74" s="44"/>
      <c r="C74" s="58"/>
      <c r="D74" s="43"/>
      <c r="E74" s="42"/>
    </row>
    <row r="75" customFormat="false" ht="13.5" hidden="false" customHeight="false" outlineLevel="0" collapsed="false">
      <c r="A75" s="44"/>
      <c r="B75" s="44"/>
      <c r="C75" s="58"/>
      <c r="D75" s="43"/>
      <c r="E75" s="42"/>
    </row>
    <row r="76" customFormat="false" ht="13.5" hidden="false" customHeight="false" outlineLevel="0" collapsed="false">
      <c r="A76" s="44"/>
      <c r="B76" s="44"/>
      <c r="C76" s="58"/>
      <c r="D76" s="43"/>
      <c r="E76" s="42"/>
    </row>
    <row r="77" customFormat="false" ht="13.5" hidden="false" customHeight="false" outlineLevel="0" collapsed="false">
      <c r="A77" s="44"/>
      <c r="B77" s="44"/>
      <c r="C77" s="58"/>
      <c r="D77" s="43"/>
      <c r="E77" s="42"/>
    </row>
    <row r="78" customFormat="false" ht="13.5" hidden="false" customHeight="false" outlineLevel="0" collapsed="false">
      <c r="A78" s="44"/>
      <c r="B78" s="44"/>
      <c r="C78" s="58"/>
      <c r="D78" s="43"/>
      <c r="E78" s="42"/>
    </row>
    <row r="79" customFormat="false" ht="13.5" hidden="false" customHeight="false" outlineLevel="0" collapsed="false">
      <c r="A79" s="44"/>
      <c r="B79" s="44"/>
      <c r="C79" s="58"/>
      <c r="D79" s="43"/>
      <c r="E79" s="42"/>
    </row>
    <row r="80" customFormat="false" ht="13.5" hidden="false" customHeight="false" outlineLevel="0" collapsed="false">
      <c r="A80" s="44"/>
      <c r="B80" s="44"/>
      <c r="C80" s="58"/>
      <c r="D80" s="43"/>
      <c r="E80" s="42"/>
    </row>
    <row r="81" customFormat="false" ht="13.5" hidden="false" customHeight="false" outlineLevel="0" collapsed="false">
      <c r="A81" s="44"/>
      <c r="B81" s="44"/>
      <c r="C81" s="58"/>
      <c r="D81" s="43"/>
      <c r="E81" s="42"/>
    </row>
    <row r="82" customFormat="false" ht="13.5" hidden="false" customHeight="false" outlineLevel="0" collapsed="false">
      <c r="A82" s="44"/>
      <c r="B82" s="44"/>
      <c r="C82" s="58"/>
      <c r="D82" s="43"/>
      <c r="E82" s="42"/>
    </row>
    <row r="83" customFormat="false" ht="13.5" hidden="false" customHeight="false" outlineLevel="0" collapsed="false">
      <c r="A83" s="44"/>
      <c r="B83" s="44"/>
      <c r="C83" s="58"/>
      <c r="D83" s="43"/>
      <c r="E83" s="42"/>
    </row>
    <row r="84" customFormat="false" ht="13.5" hidden="false" customHeight="false" outlineLevel="0" collapsed="false">
      <c r="A84" s="44"/>
      <c r="B84" s="44"/>
      <c r="C84" s="58"/>
      <c r="D84" s="43"/>
      <c r="E84" s="42"/>
    </row>
    <row r="85" customFormat="false" ht="13.5" hidden="false" customHeight="false" outlineLevel="0" collapsed="false">
      <c r="A85" s="44"/>
      <c r="B85" s="44"/>
      <c r="C85" s="58"/>
      <c r="D85" s="43"/>
      <c r="E85" s="42"/>
    </row>
    <row r="86" customFormat="false" ht="13.5" hidden="false" customHeight="false" outlineLevel="0" collapsed="false">
      <c r="A86" s="44"/>
      <c r="B86" s="44"/>
      <c r="C86" s="58"/>
      <c r="D86" s="43"/>
      <c r="E86" s="42"/>
    </row>
  </sheetData>
  <sheetProtection sheet="true" objects="true" scenarios="true"/>
  <mergeCells count="4">
    <mergeCell ref="A1:F1"/>
    <mergeCell ref="A16:E16"/>
    <mergeCell ref="A37:E37"/>
    <mergeCell ref="C38:E3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20.88"/>
    <col collapsed="false" customWidth="true" hidden="false" outlineLevel="0" max="10" min="2" style="0" width="10.21"/>
  </cols>
  <sheetData>
    <row r="1" customFormat="false" ht="13.5" hidden="false" customHeight="false" outlineLevel="0" collapsed="false">
      <c r="A1" s="2" t="s">
        <v>28</v>
      </c>
      <c r="B1" s="2"/>
      <c r="C1" s="2"/>
      <c r="D1" s="2"/>
      <c r="E1" s="2"/>
      <c r="F1" s="2"/>
    </row>
    <row r="2" customFormat="false" ht="13.5" hidden="false" customHeight="false" outlineLevel="0" collapsed="false">
      <c r="A2" s="45"/>
      <c r="B2" s="45"/>
      <c r="C2" s="45"/>
      <c r="D2" s="45"/>
      <c r="E2" s="45"/>
      <c r="F2" s="45"/>
    </row>
    <row r="3" customFormat="false" ht="13.5" hidden="false" customHeight="false" outlineLevel="0" collapsed="false">
      <c r="A3" s="2" t="s">
        <v>29</v>
      </c>
      <c r="B3" s="2"/>
      <c r="C3" s="2"/>
      <c r="D3" s="2"/>
      <c r="E3" s="2"/>
      <c r="F3" s="2"/>
    </row>
    <row r="4" customFormat="false" ht="15" hidden="false" customHeight="false" outlineLevel="0" collapsed="false">
      <c r="A4" s="59" t="s">
        <v>30</v>
      </c>
      <c r="B4" s="10" t="n">
        <v>12</v>
      </c>
      <c r="C4" s="17" t="s">
        <v>6</v>
      </c>
    </row>
    <row r="5" customFormat="false" ht="15" hidden="false" customHeight="false" outlineLevel="0" collapsed="false">
      <c r="A5" s="59"/>
      <c r="B5" s="60"/>
      <c r="C5" s="17"/>
    </row>
    <row r="6" customFormat="false" ht="26.25" hidden="false" customHeight="true" outlineLevel="0" collapsed="false">
      <c r="A6" s="31" t="s">
        <v>31</v>
      </c>
      <c r="B6" s="31"/>
      <c r="C6" s="31"/>
      <c r="D6" s="31"/>
      <c r="E6" s="31"/>
      <c r="F6" s="31"/>
    </row>
    <row r="7" customFormat="false" ht="12.75" hidden="false" customHeight="false" outlineLevel="0" collapsed="false">
      <c r="E7" s="61" t="s">
        <v>32</v>
      </c>
      <c r="F7" s="61"/>
      <c r="G7" s="61"/>
      <c r="H7" s="61"/>
    </row>
    <row r="8" customFormat="false" ht="39" hidden="false" customHeight="false" outlineLevel="0" collapsed="false">
      <c r="E8" s="62" t="s">
        <v>33</v>
      </c>
      <c r="F8" s="63" t="s">
        <v>34</v>
      </c>
      <c r="G8" s="63"/>
      <c r="H8" s="64" t="s">
        <v>35</v>
      </c>
    </row>
    <row r="9" customFormat="false" ht="12.75" hidden="false" customHeight="false" outlineLevel="0" collapsed="false">
      <c r="B9" s="65" t="s">
        <v>36</v>
      </c>
      <c r="C9" s="66" t="s">
        <v>37</v>
      </c>
      <c r="D9" s="67" t="s">
        <v>21</v>
      </c>
      <c r="E9" s="68" t="s">
        <v>38</v>
      </c>
      <c r="F9" s="69" t="s">
        <v>39</v>
      </c>
      <c r="G9" s="69" t="s">
        <v>40</v>
      </c>
      <c r="H9" s="70" t="s">
        <v>23</v>
      </c>
    </row>
    <row r="10" customFormat="false" ht="13.5" hidden="false" customHeight="false" outlineLevel="0" collapsed="false">
      <c r="A10" s="71" t="s">
        <v>41</v>
      </c>
      <c r="B10" s="72" t="n">
        <v>7</v>
      </c>
      <c r="C10" s="73" t="n">
        <f aca="false">Lпр - $B10</f>
        <v>52.6</v>
      </c>
      <c r="D10" s="74" t="n">
        <f aca="false">(Mполн * $C10 - Mст * Lпр/2 - Mпр2 * Lпр - M_2 * (Lпр + $B$4))/M_1</f>
        <v>49.1946619936645</v>
      </c>
      <c r="E10" s="75" t="n">
        <f aca="false">Mполн * $B10 * $C10 /10000000</f>
        <v>0.148104768</v>
      </c>
      <c r="F10" s="76" t="n">
        <f aca="false">(Mст*(Lст^2/12+($C10 - Lпр/2)^2) + Mпр * $C10^2 + Mпр2 * $B10^2)/10000000</f>
        <v>0.1395644372</v>
      </c>
      <c r="G10" s="77" t="n">
        <f aca="false">$E10 - $F10</f>
        <v>0.00854033079999997</v>
      </c>
      <c r="H10" s="78" t="n">
        <f aca="false">(M_1 * ($C10-$D10)^2 + M_2 * ($B10+$B$4)^2)/10000000</f>
        <v>0.056155737027701</v>
      </c>
    </row>
    <row r="11" customFormat="false" ht="12.75" hidden="false" customHeight="false" outlineLevel="0" collapsed="false">
      <c r="B11" s="79" t="n">
        <f aca="false">$B10+1</f>
        <v>8</v>
      </c>
      <c r="C11" s="73" t="n">
        <f aca="false">Lпр - $B11</f>
        <v>51.6</v>
      </c>
      <c r="D11" s="74" t="n">
        <f aca="false">(Mполн * $C11 - Mст * Lпр/2 - Mпр2 * Lпр - M_2 * (Lпр + $B$4))/M_1</f>
        <v>46.4836018062951</v>
      </c>
      <c r="E11" s="75" t="n">
        <f aca="false">Mполн * $B11 * $C11 /10000000</f>
        <v>0.166044672</v>
      </c>
      <c r="F11" s="76" t="n">
        <f aca="false">(Mст*(Lст^2/12+($C11 - Lпр/2)^2) + Mпр * $C11^2 + Mпр2 * $B11^2)/10000000</f>
        <v>0.1349948872</v>
      </c>
      <c r="G11" s="77" t="n">
        <f aca="false">$E11 - $F11</f>
        <v>0.0310497848</v>
      </c>
      <c r="H11" s="78" t="n">
        <f aca="false">(M_1 * ($C11-$D11)^2 + M_2 * ($B11+$B$4)^2)/10000000</f>
        <v>0.0641999601968053</v>
      </c>
    </row>
    <row r="12" customFormat="false" ht="12.75" hidden="false" customHeight="false" outlineLevel="0" collapsed="false">
      <c r="B12" s="79" t="n">
        <f aca="false">$B11+1</f>
        <v>9</v>
      </c>
      <c r="C12" s="73" t="n">
        <f aca="false">Lпр - $B12</f>
        <v>50.6</v>
      </c>
      <c r="D12" s="74" t="n">
        <f aca="false">(Mполн * $C12 - Mст * Lпр/2 - Mпр2 * Lпр - M_2 * (Lпр + $B$4))/M_1</f>
        <v>43.7725416189257</v>
      </c>
      <c r="E12" s="75" t="n">
        <f aca="false">Mполн * $B12 * $C12 /10000000</f>
        <v>0.183180096</v>
      </c>
      <c r="F12" s="76" t="n">
        <f aca="false">(Mст*(Lст^2/12+($C12 - Lпр/2)^2) + Mпр * $C12^2 + Mпр2 * $B12^2)/10000000</f>
        <v>0.1306305972</v>
      </c>
      <c r="G12" s="77" t="n">
        <f aca="false">$E12 - $F12</f>
        <v>0.0525494988</v>
      </c>
      <c r="H12" s="78" t="n">
        <f aca="false">(M_1 * ($C12-$D12)^2 + M_2 * ($B12+$B$4)^2)/10000000</f>
        <v>0.0734145370654445</v>
      </c>
    </row>
    <row r="13" customFormat="false" ht="12.75" hidden="false" customHeight="false" outlineLevel="0" collapsed="false">
      <c r="B13" s="79" t="n">
        <f aca="false">$B12+1</f>
        <v>10</v>
      </c>
      <c r="C13" s="73" t="n">
        <f aca="false">Lпр - $B13</f>
        <v>49.6</v>
      </c>
      <c r="D13" s="74" t="n">
        <f aca="false">(Mполн * $C13 - Mст * Lпр/2 - Mпр2 * Lпр - M_2 * (Lпр + $B$4))/M_1</f>
        <v>41.0614814315562</v>
      </c>
      <c r="E13" s="75" t="n">
        <f aca="false">Mполн * $B13 * $C13 /10000000</f>
        <v>0.19951104</v>
      </c>
      <c r="F13" s="76" t="n">
        <f aca="false">(Mст*(Lст^2/12+($C13 - Lпр/2)^2) + Mпр * $C13^2 + Mпр2 * $B13^2)/10000000</f>
        <v>0.1264715672</v>
      </c>
      <c r="G13" s="77" t="n">
        <f aca="false">$E13 - $F13</f>
        <v>0.0730394728</v>
      </c>
      <c r="H13" s="78" t="n">
        <f aca="false">(M_1 * ($C13-$D13)^2 + M_2 * ($B13+$B$4)^2)/10000000</f>
        <v>0.0837994676336187</v>
      </c>
    </row>
    <row r="14" customFormat="false" ht="12.75" hidden="false" customHeight="false" outlineLevel="0" collapsed="false">
      <c r="B14" s="79" t="n">
        <f aca="false">$B13+1</f>
        <v>11</v>
      </c>
      <c r="C14" s="73" t="n">
        <f aca="false">Lпр - $B14</f>
        <v>48.6</v>
      </c>
      <c r="D14" s="74" t="n">
        <f aca="false">(Mполн * $C14 - Mст * Lпр/2 - Mпр2 * Lпр - M_2 * (Lпр + $B$4))/M_1</f>
        <v>38.3504212441869</v>
      </c>
      <c r="E14" s="75" t="n">
        <f aca="false">Mполн * $B14 * $C14 /10000000</f>
        <v>0.215037504</v>
      </c>
      <c r="F14" s="76" t="n">
        <f aca="false">(Mст*(Lст^2/12+($C14 - Lпр/2)^2) + Mпр * $C14^2 + Mпр2 * $B14^2)/10000000</f>
        <v>0.1225177972</v>
      </c>
      <c r="G14" s="77" t="n">
        <f aca="false">$E14 - $F14</f>
        <v>0.0925197068</v>
      </c>
      <c r="H14" s="78" t="n">
        <f aca="false">(M_1 * ($C14-$D14)^2 + M_2 * ($B14+$B$4)^2)/10000000</f>
        <v>0.0953547519013277</v>
      </c>
    </row>
    <row r="15" customFormat="false" ht="12.75" hidden="false" customHeight="false" outlineLevel="0" collapsed="false">
      <c r="B15" s="79" t="n">
        <f aca="false">$B14+1</f>
        <v>12</v>
      </c>
      <c r="C15" s="73" t="n">
        <f aca="false">Lпр - $B15</f>
        <v>47.6</v>
      </c>
      <c r="D15" s="74" t="n">
        <f aca="false">(Mполн * $C15 - Mст * Lпр/2 - Mпр2 * Lпр - M_2 * (Lпр + $B$4))/M_1</f>
        <v>35.6393610568174</v>
      </c>
      <c r="E15" s="75" t="n">
        <f aca="false">Mполн * $B15 * $C15 /10000000</f>
        <v>0.229759488</v>
      </c>
      <c r="F15" s="76" t="n">
        <f aca="false">(Mст*(Lст^2/12+($C15 - Lпр/2)^2) + Mпр * $C15^2 + Mпр2 * $B15^2)/10000000</f>
        <v>0.1187692872</v>
      </c>
      <c r="G15" s="77" t="n">
        <f aca="false">$E15 - $F15</f>
        <v>0.1109902008</v>
      </c>
      <c r="H15" s="78" t="n">
        <f aca="false">(M_1 * ($C15-$D15)^2 + M_2 * ($B15+$B$4)^2)/10000000</f>
        <v>0.108080389868572</v>
      </c>
    </row>
    <row r="16" customFormat="false" ht="12.75" hidden="false" customHeight="false" outlineLevel="0" collapsed="false">
      <c r="B16" s="79" t="n">
        <f aca="false">$B15+1</f>
        <v>13</v>
      </c>
      <c r="C16" s="73" t="n">
        <f aca="false">Lпр - $B16</f>
        <v>46.6</v>
      </c>
      <c r="D16" s="74" t="n">
        <f aca="false">(Mполн * $C16 - Mст * Lпр/2 - Mпр2 * Lпр - M_2 * (Lпр + $B$4))/M_1</f>
        <v>32.928300869448</v>
      </c>
      <c r="E16" s="75" t="n">
        <f aca="false">Mполн * $B16 * $C16 /10000000</f>
        <v>0.243676992</v>
      </c>
      <c r="F16" s="76" t="n">
        <f aca="false">(Mст*(Lст^2/12+($C16 - Lпр/2)^2) + Mпр * $C16^2 + Mпр2 * $B16^2)/10000000</f>
        <v>0.1152260372</v>
      </c>
      <c r="G16" s="77" t="n">
        <f aca="false">$E16 - $F16</f>
        <v>0.1284509548</v>
      </c>
      <c r="H16" s="78" t="n">
        <f aca="false">(M_1 * ($C16-$D16)^2 + M_2 * ($B16+$B$4)^2)/10000000</f>
        <v>0.121976381535351</v>
      </c>
    </row>
    <row r="17" customFormat="false" ht="12.75" hidden="false" customHeight="false" outlineLevel="0" collapsed="false">
      <c r="B17" s="79" t="n">
        <f aca="false">$B16+1</f>
        <v>14</v>
      </c>
      <c r="C17" s="73" t="n">
        <f aca="false">Lпр - $B17</f>
        <v>45.6</v>
      </c>
      <c r="D17" s="74" t="n">
        <f aca="false">(Mполн * $C17 - Mст * Lпр/2 - Mпр2 * Lпр - M_2 * (Lпр + $B$4))/M_1</f>
        <v>30.2172406820786</v>
      </c>
      <c r="E17" s="75" t="n">
        <f aca="false">Mполн * $B17 * $C17 /10000000</f>
        <v>0.256790016</v>
      </c>
      <c r="F17" s="76" t="n">
        <f aca="false">(Mст*(Lст^2/12+($C17 - Lпр/2)^2) + Mпр * $C17^2 + Mпр2 * $B17^2)/10000000</f>
        <v>0.1118880472</v>
      </c>
      <c r="G17" s="77" t="n">
        <f aca="false">$E17 - $F17</f>
        <v>0.1449019688</v>
      </c>
      <c r="H17" s="78" t="n">
        <f aca="false">(M_1 * ($C17-$D17)^2 + M_2 * ($B17+$B$4)^2)/10000000</f>
        <v>0.137042726901665</v>
      </c>
    </row>
    <row r="18" customFormat="false" ht="12.75" hidden="false" customHeight="false" outlineLevel="0" collapsed="false">
      <c r="B18" s="79" t="n">
        <f aca="false">$B17+1</f>
        <v>15</v>
      </c>
      <c r="C18" s="73" t="n">
        <f aca="false">Lпр - $B18</f>
        <v>44.6</v>
      </c>
      <c r="D18" s="74" t="n">
        <f aca="false">(Mполн * $C18 - Mст * Lпр/2 - Mпр2 * Lпр - M_2 * (Lпр + $B$4))/M_1</f>
        <v>27.5061804947092</v>
      </c>
      <c r="E18" s="75" t="n">
        <f aca="false">Mполн * $B18 * $C18 /10000000</f>
        <v>0.26909856</v>
      </c>
      <c r="F18" s="76" t="n">
        <f aca="false">(Mст*(Lст^2/12+($C18 - Lпр/2)^2) + Mпр * $C18^2 + Mпр2 * $B18^2)/10000000</f>
        <v>0.1087553172</v>
      </c>
      <c r="G18" s="77" t="n">
        <f aca="false">$E18 - $F18</f>
        <v>0.1603432428</v>
      </c>
      <c r="H18" s="78" t="n">
        <f aca="false">(M_1 * ($C18-$D18)^2 + M_2 * ($B18+$B$4)^2)/10000000</f>
        <v>0.153279425967514</v>
      </c>
    </row>
    <row r="19" customFormat="false" ht="12.75" hidden="false" customHeight="false" outlineLevel="0" collapsed="false">
      <c r="B19" s="79" t="n">
        <f aca="false">$B18+1</f>
        <v>16</v>
      </c>
      <c r="C19" s="73" t="n">
        <f aca="false">Lпр - $B19</f>
        <v>43.6</v>
      </c>
      <c r="D19" s="74" t="n">
        <f aca="false">(Mполн * $C19 - Mст * Lпр/2 - Mпр2 * Lпр - M_2 * (Lпр + $B$4))/M_1</f>
        <v>24.7951203073398</v>
      </c>
      <c r="E19" s="75" t="n">
        <f aca="false">Mполн * $B19 * $C19 /10000000</f>
        <v>0.280602624</v>
      </c>
      <c r="F19" s="76" t="n">
        <f aca="false">(Mст*(Lст^2/12+($C19 - Lпр/2)^2) + Mпр * $C19^2 + Mпр2 * $B19^2)/10000000</f>
        <v>0.1058278472</v>
      </c>
      <c r="G19" s="77" t="n">
        <f aca="false">$E19 - $F19</f>
        <v>0.1747747768</v>
      </c>
      <c r="H19" s="78" t="n">
        <f aca="false">(M_1 * ($C19-$D19)^2 + M_2 * ($B19+$B$4)^2)/10000000</f>
        <v>0.170686478732897</v>
      </c>
    </row>
    <row r="20" customFormat="false" ht="12.75" hidden="false" customHeight="false" outlineLevel="0" collapsed="false">
      <c r="B20" s="79" t="n">
        <f aca="false">$B19+1</f>
        <v>17</v>
      </c>
      <c r="C20" s="73" t="n">
        <f aca="false">Lпр - $B20</f>
        <v>42.6</v>
      </c>
      <c r="D20" s="74" t="n">
        <f aca="false">(Mполн * $C20 - Mст * Lпр/2 - Mпр2 * Lпр - M_2 * (Lпр + $B$4))/M_1</f>
        <v>22.0840601199704</v>
      </c>
      <c r="E20" s="75" t="n">
        <f aca="false">Mполн * $B20 * $C20 /10000000</f>
        <v>0.291302208</v>
      </c>
      <c r="F20" s="76" t="n">
        <f aca="false">(Mст*(Lст^2/12+($C20 - Lпр/2)^2) + Mпр * $C20^2 + Mпр2 * $B20^2)/10000000</f>
        <v>0.1031056372</v>
      </c>
      <c r="G20" s="77" t="n">
        <f aca="false">$E20 - $F20</f>
        <v>0.1881965708</v>
      </c>
      <c r="H20" s="78" t="n">
        <f aca="false">(M_1 * ($C20-$D20)^2 + M_2 * ($B20+$B$4)^2)/10000000</f>
        <v>0.189263885197816</v>
      </c>
    </row>
    <row r="21" customFormat="false" ht="12.75" hidden="false" customHeight="false" outlineLevel="0" collapsed="false">
      <c r="B21" s="79" t="n">
        <f aca="false">$B20+1</f>
        <v>18</v>
      </c>
      <c r="C21" s="73" t="n">
        <f aca="false">Lпр - $B21</f>
        <v>41.6</v>
      </c>
      <c r="D21" s="74" t="n">
        <f aca="false">(Mполн * $C21 - Mст * Lпр/2 - Mпр2 * Lпр - M_2 * (Lпр + $B$4))/M_1</f>
        <v>19.3729999326009</v>
      </c>
      <c r="E21" s="75" t="n">
        <f aca="false">Mполн * $B21 * $C21 /10000000</f>
        <v>0.301197312</v>
      </c>
      <c r="F21" s="76" t="n">
        <f aca="false">(Mст*(Lст^2/12+($C21 - Lпр/2)^2) + Mпр * $C21^2 + Mпр2 * $B21^2)/10000000</f>
        <v>0.1005886872</v>
      </c>
      <c r="G21" s="77" t="n">
        <f aca="false">$E21 - $F21</f>
        <v>0.2006086248</v>
      </c>
      <c r="H21" s="78" t="n">
        <f aca="false">(M_1 * ($C21-$D21)^2 + M_2 * ($B21+$B$4)^2)/10000000</f>
        <v>0.20901164536227</v>
      </c>
    </row>
    <row r="22" customFormat="false" ht="12.75" hidden="false" customHeight="false" outlineLevel="0" collapsed="false">
      <c r="B22" s="79" t="n">
        <f aca="false">$B21+1</f>
        <v>19</v>
      </c>
      <c r="C22" s="73" t="n">
        <f aca="false">Lпр - $B22</f>
        <v>40.6</v>
      </c>
      <c r="D22" s="74" t="n">
        <f aca="false">(Mполн * $C22 - Mст * Lпр/2 - Mпр2 * Lпр - M_2 * (Lпр + $B$4))/M_1</f>
        <v>16.6619397452315</v>
      </c>
      <c r="E22" s="75" t="n">
        <f aca="false">Mполн * $B22 * $C22 /10000000</f>
        <v>0.310287936</v>
      </c>
      <c r="F22" s="76" t="n">
        <f aca="false">(Mст*(Lст^2/12+($C22 - Lпр/2)^2) + Mпр * $C22^2 + Mпр2 * $B22^2)/10000000</f>
        <v>0.0982769972</v>
      </c>
      <c r="G22" s="77" t="n">
        <f aca="false">$E22 - $F22</f>
        <v>0.2120109388</v>
      </c>
      <c r="H22" s="78" t="n">
        <f aca="false">(M_1 * ($C22-$D22)^2 + M_2 * ($B22+$B$4)^2)/10000000</f>
        <v>0.229929759226259</v>
      </c>
    </row>
    <row r="23" customFormat="false" ht="12.75" hidden="false" customHeight="false" outlineLevel="0" collapsed="false">
      <c r="B23" s="79" t="n">
        <f aca="false">$B22+1</f>
        <v>20</v>
      </c>
      <c r="C23" s="73" t="n">
        <f aca="false">Lпр - $B23</f>
        <v>39.6</v>
      </c>
      <c r="D23" s="74" t="n">
        <f aca="false">(Mполн * $C23 - Mст * Lпр/2 - Mпр2 * Lпр - M_2 * (Lпр + $B$4))/M_1</f>
        <v>13.9508795578621</v>
      </c>
      <c r="E23" s="75" t="n">
        <f aca="false">Mполн * $B23 * $C23 /10000000</f>
        <v>0.31857408</v>
      </c>
      <c r="F23" s="76" t="n">
        <f aca="false">(Mст*(Lст^2/12+($C23 - Lпр/2)^2) + Mпр * $C23^2 + Mпр2 * $B23^2)/10000000</f>
        <v>0.0961705672</v>
      </c>
      <c r="G23" s="77" t="n">
        <f aca="false">$E23 - $F23</f>
        <v>0.2224035128</v>
      </c>
      <c r="H23" s="78" t="n">
        <f aca="false">(M_1 * ($C23-$D23)^2 + M_2 * ($B23+$B$4)^2)/10000000</f>
        <v>0.252018226789782</v>
      </c>
    </row>
    <row r="24" customFormat="false" ht="12.75" hidden="false" customHeight="false" outlineLevel="0" collapsed="false">
      <c r="B24" s="79" t="n">
        <f aca="false">$B23+1</f>
        <v>21</v>
      </c>
      <c r="C24" s="73" t="n">
        <f aca="false">Lпр - $B24</f>
        <v>38.6</v>
      </c>
      <c r="D24" s="74" t="n">
        <f aca="false">(Mполн * $C24 - Mст * Lпр/2 - Mпр2 * Lпр - M_2 * (Lпр + $B$4))/M_1</f>
        <v>11.2398193704927</v>
      </c>
      <c r="E24" s="75" t="n">
        <f aca="false">Mполн * $B24 * $C24 /10000000</f>
        <v>0.326055744</v>
      </c>
      <c r="F24" s="76" t="n">
        <f aca="false">(Mст*(Lст^2/12+($C24 - Lпр/2)^2) + Mпр * $C24^2 + Mпр2 * $B24^2)/10000000</f>
        <v>0.0942693972</v>
      </c>
      <c r="G24" s="77" t="n">
        <f aca="false">$E24 - $F24</f>
        <v>0.2317863468</v>
      </c>
      <c r="H24" s="78" t="n">
        <f aca="false">(M_1 * ($C24-$D24)^2 + M_2 * ($B24+$B$4)^2)/10000000</f>
        <v>0.275277048052841</v>
      </c>
    </row>
    <row r="25" customFormat="false" ht="12.75" hidden="false" customHeight="false" outlineLevel="0" collapsed="false">
      <c r="B25" s="79" t="n">
        <f aca="false">$B24+1</f>
        <v>22</v>
      </c>
      <c r="C25" s="73" t="n">
        <f aca="false">Lпр - $B25</f>
        <v>37.6</v>
      </c>
      <c r="D25" s="74" t="n">
        <f aca="false">(Mполн * $C25 - Mст * Lпр/2 - Mпр2 * Lпр - M_2 * (Lпр + $B$4))/M_1</f>
        <v>8.52875918312329</v>
      </c>
      <c r="E25" s="75" t="n">
        <f aca="false">Mполн * $B25 * $C25 /10000000</f>
        <v>0.332732928</v>
      </c>
      <c r="F25" s="76" t="n">
        <f aca="false">(Mст*(Lст^2/12+($C25 - Lпр/2)^2) + Mпр * $C25^2 + Mпр2 * $B25^2)/10000000</f>
        <v>0.0925734872</v>
      </c>
      <c r="G25" s="77" t="n">
        <f aca="false">$E25 - $F25</f>
        <v>0.2401594408</v>
      </c>
      <c r="H25" s="78" t="n">
        <f aca="false">(M_1 * ($C25-$D25)^2 + M_2 * ($B25+$B$4)^2)/10000000</f>
        <v>0.299706223015434</v>
      </c>
    </row>
    <row r="26" customFormat="false" ht="12.75" hidden="false" customHeight="false" outlineLevel="0" collapsed="false">
      <c r="B26" s="79" t="n">
        <f aca="false">$B25+1</f>
        <v>23</v>
      </c>
      <c r="C26" s="73" t="n">
        <f aca="false">Lпр - $B26</f>
        <v>36.6</v>
      </c>
      <c r="D26" s="74" t="n">
        <f aca="false">(Mполн * $C26 - Mст * Lпр/2 - Mпр2 * Lпр - M_2 * (Lпр + $B$4))/M_1</f>
        <v>5.81769899575386</v>
      </c>
      <c r="E26" s="75" t="n">
        <f aca="false">Mполн * $B26 * $C26 /10000000</f>
        <v>0.338605632</v>
      </c>
      <c r="F26" s="76" t="n">
        <f aca="false">(Mст*(Lст^2/12+($C26 - Lпр/2)^2) + Mпр * $C26^2 + Mпр2 * $B26^2)/10000000</f>
        <v>0.0910828372</v>
      </c>
      <c r="G26" s="77" t="n">
        <f aca="false">$E26 - $F26</f>
        <v>0.2475227948</v>
      </c>
      <c r="H26" s="78" t="n">
        <f aca="false">(M_1 * ($C26-$D26)^2 + M_2 * ($B26+$B$4)^2)/10000000</f>
        <v>0.325305751677563</v>
      </c>
    </row>
    <row r="27" customFormat="false" ht="12.75" hidden="false" customHeight="false" outlineLevel="0" collapsed="false">
      <c r="B27" s="79" t="n">
        <f aca="false">$B26+1</f>
        <v>24</v>
      </c>
      <c r="C27" s="73" t="n">
        <f aca="false">Lпр - $B27</f>
        <v>35.6</v>
      </c>
      <c r="D27" s="74" t="n">
        <f aca="false">(Mполн * $C27 - Mст * Lпр/2 - Mпр2 * Lпр - M_2 * (Lпр + $B$4))/M_1</f>
        <v>3.10663880838445</v>
      </c>
      <c r="E27" s="75" t="n">
        <f aca="false">Mполн * $B27 * $C27 /10000000</f>
        <v>0.343673856</v>
      </c>
      <c r="F27" s="76" t="n">
        <f aca="false">(Mст*(Lст^2/12+($C27 - Lпр/2)^2) + Mпр * $C27^2 + Mпр2 * $B27^2)/10000000</f>
        <v>0.0897974472</v>
      </c>
      <c r="G27" s="77" t="n">
        <f aca="false">$E27 - $F27</f>
        <v>0.2538764088</v>
      </c>
      <c r="H27" s="78" t="n">
        <f aca="false">(M_1 * ($C27-$D27)^2 + M_2 * ($B27+$B$4)^2)/10000000</f>
        <v>0.352075634039226</v>
      </c>
    </row>
    <row r="28" customFormat="false" ht="12.75" hidden="false" customHeight="false" outlineLevel="0" collapsed="false">
      <c r="B28" s="79" t="n">
        <f aca="false">$B27+1</f>
        <v>25</v>
      </c>
      <c r="C28" s="73" t="n">
        <f aca="false">Lпр - $B28</f>
        <v>34.6</v>
      </c>
      <c r="D28" s="74" t="n">
        <f aca="false">(Mполн * $C28 - Mст * Lпр/2 - Mпр2 * Lпр - M_2 * (Lпр + $B$4))/M_1</f>
        <v>0.395578621015039</v>
      </c>
      <c r="E28" s="75" t="n">
        <f aca="false">Mполн * $B28 * $C28 /10000000</f>
        <v>0.3479376</v>
      </c>
      <c r="F28" s="76" t="n">
        <f aca="false">(Mст*(Lст^2/12+($C28 - Lпр/2)^2) + Mпр * $C28^2 + Mпр2 * $B28^2)/10000000</f>
        <v>0.0887173172</v>
      </c>
      <c r="G28" s="77" t="n">
        <f aca="false">$E28 - $F28</f>
        <v>0.2592202828</v>
      </c>
      <c r="H28" s="78" t="n">
        <f aca="false">(M_1 * ($C28-$D28)^2 + M_2 * ($B28+$B$4)^2)/10000000</f>
        <v>0.380015870100425</v>
      </c>
    </row>
    <row r="29" customFormat="false" ht="12.75" hidden="false" customHeight="false" outlineLevel="0" collapsed="false">
      <c r="B29" s="79" t="n">
        <f aca="false">$B28+1</f>
        <v>26</v>
      </c>
      <c r="C29" s="73" t="n">
        <f aca="false">Lпр - $B29</f>
        <v>33.6</v>
      </c>
      <c r="D29" s="74" t="n">
        <f aca="false">(Mполн * $C29 - Mст * Lпр/2 - Mпр2 * Lпр - M_2 * (Lпр + $B$4))/M_1</f>
        <v>-2.31548156635437</v>
      </c>
      <c r="E29" s="75" t="n">
        <f aca="false">Mполн * $B29 * $C29 /10000000</f>
        <v>0.351396864</v>
      </c>
      <c r="F29" s="76" t="n">
        <f aca="false">(Mст*(Lст^2/12+($C29 - Lпр/2)^2) + Mпр * $C29^2 + Mпр2 * $B29^2)/10000000</f>
        <v>0.0878424472</v>
      </c>
      <c r="G29" s="77" t="n">
        <f aca="false">$E29 - $F29</f>
        <v>0.2635544168</v>
      </c>
      <c r="H29" s="78" t="n">
        <f aca="false">(M_1 * ($C29-$D29)^2 + M_2 * ($B29+$B$4)^2)/10000000</f>
        <v>0.409126459861158</v>
      </c>
    </row>
    <row r="30" customFormat="false" ht="12.75" hidden="false" customHeight="false" outlineLevel="0" collapsed="false">
      <c r="B30" s="79" t="n">
        <f aca="false">$B29+1</f>
        <v>27</v>
      </c>
      <c r="C30" s="73" t="n">
        <f aca="false">Lпр - $B30</f>
        <v>32.6</v>
      </c>
      <c r="D30" s="74" t="n">
        <f aca="false">(Mполн * $C30 - Mст * Lпр/2 - Mпр2 * Lпр - M_2 * (Lпр + $B$4))/M_1</f>
        <v>-5.02654175372378</v>
      </c>
      <c r="E30" s="75" t="n">
        <f aca="false">Mполн * $B30 * $C30 /10000000</f>
        <v>0.354051648</v>
      </c>
      <c r="F30" s="76" t="n">
        <f aca="false">(Mст*(Lст^2/12+($C30 - Lпр/2)^2) + Mпр * $C30^2 + Mпр2 * $B30^2)/10000000</f>
        <v>0.0871728372</v>
      </c>
      <c r="G30" s="77" t="n">
        <f aca="false">$E30 - $F30</f>
        <v>0.2668788108</v>
      </c>
      <c r="H30" s="78" t="n">
        <f aca="false">(M_1 * ($C30-$D30)^2 + M_2 * ($B30+$B$4)^2)/10000000</f>
        <v>0.439407403321426</v>
      </c>
    </row>
    <row r="31" customFormat="false" ht="12.75" hidden="false" customHeight="false" outlineLevel="0" collapsed="false">
      <c r="B31" s="80" t="n">
        <f aca="false">$B30+1</f>
        <v>28</v>
      </c>
      <c r="C31" s="81" t="n">
        <f aca="false">Lпр - $B31</f>
        <v>31.6</v>
      </c>
      <c r="D31" s="82" t="n">
        <f aca="false">(Mполн * $C31 - Mст * Lпр/2 - Mпр2 * Lпр - M_2 * (Lпр + $B$4))/M_1</f>
        <v>-7.7376019410932</v>
      </c>
      <c r="E31" s="83" t="n">
        <f aca="false">Mполн * $B31 * $C31 /10000000</f>
        <v>0.355901952</v>
      </c>
      <c r="F31" s="84" t="n">
        <f aca="false">(Mст*(Lст^2/12+($C31 - Lпр/2)^2) + Mпр * $C31^2 + Mпр2 * $B31^2)/10000000</f>
        <v>0.0867084872</v>
      </c>
      <c r="G31" s="85" t="n">
        <f aca="false">$E31 - $F31</f>
        <v>0.2691934648</v>
      </c>
      <c r="H31" s="86" t="n">
        <f aca="false">(M_1 * ($C31-$D31)^2 + M_2 * ($B31+$B$4)^2)/10000000</f>
        <v>0.470858700481229</v>
      </c>
    </row>
    <row r="33" customFormat="false" ht="13.5" hidden="false" customHeight="false" outlineLevel="0" collapsed="false">
      <c r="A33" s="2" t="s">
        <v>25</v>
      </c>
      <c r="B33" s="2"/>
      <c r="C33" s="2"/>
      <c r="D33" s="2"/>
      <c r="E33" s="2"/>
      <c r="F33" s="2"/>
    </row>
    <row r="34" customFormat="false" ht="15" hidden="false" customHeight="true" outlineLevel="0" collapsed="false">
      <c r="B34" s="87" t="n">
        <v>18</v>
      </c>
      <c r="C34" s="47" t="s">
        <v>26</v>
      </c>
      <c r="D34" s="47"/>
      <c r="E34" s="47"/>
      <c r="F34" s="47"/>
      <c r="G34" s="88"/>
      <c r="H34" s="88"/>
      <c r="I34" s="88"/>
    </row>
    <row r="35" customFormat="false" ht="15" hidden="false" customHeight="false" outlineLevel="0" collapsed="false">
      <c r="B35" s="87" t="n">
        <v>0.1</v>
      </c>
      <c r="C35" s="48" t="s">
        <v>27</v>
      </c>
    </row>
    <row r="36" customFormat="false" ht="12.75" hidden="false" customHeight="false" outlineLevel="0" collapsed="false">
      <c r="B36" s="89" t="n">
        <f aca="false">$B$34-5*$B$35</f>
        <v>17.5</v>
      </c>
      <c r="C36" s="90" t="n">
        <f aca="false">Lпр - $B36</f>
        <v>42.1</v>
      </c>
      <c r="D36" s="91" t="n">
        <f aca="false">(Mполн * $C36 - Mст * Lпр/2 - Mпр2 * Lпр - M_2 * (Lпр + $B$4))/M_1</f>
        <v>20.7285300262856</v>
      </c>
      <c r="E36" s="92" t="n">
        <f aca="false">Mполн * $B36 * $C36 /10000000</f>
        <v>0.29635032</v>
      </c>
      <c r="F36" s="92" t="n">
        <f aca="false">(Mст*(Lст^2/12+($C36 - Lпр/2)^2) + Mпр * $C36^2 + Mпр2 * $B36^2)/10000000</f>
        <v>0.1018215047</v>
      </c>
      <c r="G36" s="93" t="n">
        <f aca="false">$E36 - $F36</f>
        <v>0.1945288153</v>
      </c>
      <c r="H36" s="94" t="n">
        <f aca="false">(M_1 * ($C36-$D36)^2 + M_2 * ($B36+$B$4)^2)/10000000</f>
        <v>0.198991471067601</v>
      </c>
    </row>
    <row r="37" customFormat="false" ht="12.75" hidden="false" customHeight="false" outlineLevel="0" collapsed="false">
      <c r="B37" s="79" t="n">
        <f aca="false">$B36+$B$35</f>
        <v>17.6</v>
      </c>
      <c r="C37" s="73" t="n">
        <f aca="false">Lпр - $B37</f>
        <v>42</v>
      </c>
      <c r="D37" s="74" t="n">
        <f aca="false">(Mполн * $C37 - Mст * Lпр/2 - Mпр2 * Lпр - M_2 * (Lпр + $B$4))/M_1</f>
        <v>20.4574240075487</v>
      </c>
      <c r="E37" s="76" t="n">
        <f aca="false">Mполн * $B37 * $C37 /10000000</f>
        <v>0.297335808</v>
      </c>
      <c r="F37" s="76" t="n">
        <f aca="false">(Mст*(Lст^2/12+($C37 - Lпр/2)^2) + Mпр * $C37^2 + Mпр2 * $B37^2)/10000000</f>
        <v>0.101570836</v>
      </c>
      <c r="G37" s="77" t="n">
        <f aca="false">$E37 - $F37</f>
        <v>0.195764972</v>
      </c>
      <c r="H37" s="78" t="n">
        <f aca="false">(M_1 * ($C37-$D37)^2 + M_2 * ($B37+$B$4)^2)/10000000</f>
        <v>0.200972098852544</v>
      </c>
    </row>
    <row r="38" customFormat="false" ht="12.75" hidden="false" customHeight="false" outlineLevel="0" collapsed="false">
      <c r="B38" s="79" t="n">
        <f aca="false">$B37+$B$35</f>
        <v>17.7</v>
      </c>
      <c r="C38" s="73" t="n">
        <f aca="false">Lпр - $B38</f>
        <v>41.9</v>
      </c>
      <c r="D38" s="74" t="n">
        <f aca="false">(Mполн * $C38 - Mст * Lпр/2 - Mпр2 * Lпр - M_2 * (Lпр + $B$4))/M_1</f>
        <v>20.1863179888118</v>
      </c>
      <c r="E38" s="76" t="n">
        <f aca="false">Mполн * $B38 * $C38 /10000000</f>
        <v>0.2983132512</v>
      </c>
      <c r="F38" s="76" t="n">
        <f aca="false">(Mст*(Lст^2/12+($C38 - Lпр/2)^2) + Mпр * $C38^2 + Mпр2 * $B38^2)/10000000</f>
        <v>0.1013222199</v>
      </c>
      <c r="G38" s="77" t="n">
        <f aca="false">$E38 - $F38</f>
        <v>0.1969910313</v>
      </c>
      <c r="H38" s="78" t="n">
        <f aca="false">(M_1 * ($C38-$D38)^2 + M_2 * ($B38+$B$4)^2)/10000000</f>
        <v>0.202964430174483</v>
      </c>
    </row>
    <row r="39" customFormat="false" ht="12.75" hidden="false" customHeight="false" outlineLevel="0" collapsed="false">
      <c r="B39" s="79" t="n">
        <f aca="false">$B38+$B$35</f>
        <v>17.8</v>
      </c>
      <c r="C39" s="73" t="n">
        <f aca="false">Lпр - $B39</f>
        <v>41.8</v>
      </c>
      <c r="D39" s="74" t="n">
        <f aca="false">(Mполн * $C39 - Mст * Lпр/2 - Mпр2 * Lпр - M_2 * (Lпр + $B$4))/M_1</f>
        <v>19.9152119700748</v>
      </c>
      <c r="E39" s="76" t="n">
        <f aca="false">Mполн * $B39 * $C39 /10000000</f>
        <v>0.2992826496</v>
      </c>
      <c r="F39" s="76" t="n">
        <f aca="false">(Mст*(Lст^2/12+($C39 - Lпр/2)^2) + Mпр * $C39^2 + Mпр2 * $B39^2)/10000000</f>
        <v>0.1010756564</v>
      </c>
      <c r="G39" s="77" t="n">
        <f aca="false">$E39 - $F39</f>
        <v>0.1982069932</v>
      </c>
      <c r="H39" s="78" t="n">
        <f aca="false">(M_1 * ($C39-$D39)^2 + M_2 * ($B39+$B$4)^2)/10000000</f>
        <v>0.204968465033417</v>
      </c>
    </row>
    <row r="40" customFormat="false" ht="12.75" hidden="false" customHeight="false" outlineLevel="0" collapsed="false">
      <c r="B40" s="79" t="n">
        <f aca="false">$B39+$B$35</f>
        <v>17.9</v>
      </c>
      <c r="C40" s="73" t="n">
        <f aca="false">Lпр - $B40</f>
        <v>41.7</v>
      </c>
      <c r="D40" s="74" t="n">
        <f aca="false">(Mполн * $C40 - Mст * Lпр/2 - Mпр2 * Lпр - M_2 * (Lпр + $B$4))/M_1</f>
        <v>19.6441059513379</v>
      </c>
      <c r="E40" s="76" t="n">
        <f aca="false">Mполн * $B40 * $C40 /10000000</f>
        <v>0.3002440032</v>
      </c>
      <c r="F40" s="76" t="n">
        <f aca="false">(Mст*(Lст^2/12+($C40 - Lпр/2)^2) + Mпр * $C40^2 + Mпр2 * $B40^2)/10000000</f>
        <v>0.1008311455</v>
      </c>
      <c r="G40" s="77" t="n">
        <f aca="false">$E40 - $F40</f>
        <v>0.1994128577</v>
      </c>
      <c r="H40" s="78" t="n">
        <f aca="false">(M_1 * ($C40-$D40)^2 + M_2 * ($B40+$B$4)^2)/10000000</f>
        <v>0.206984203429346</v>
      </c>
    </row>
    <row r="41" customFormat="false" ht="12.75" hidden="false" customHeight="false" outlineLevel="0" collapsed="false">
      <c r="B41" s="79" t="n">
        <f aca="false">$B40+$B$35</f>
        <v>18</v>
      </c>
      <c r="C41" s="73" t="n">
        <f aca="false">Lпр - $B41</f>
        <v>41.6</v>
      </c>
      <c r="D41" s="74" t="n">
        <f aca="false">(Mполн * $C41 - Mст * Lпр/2 - Mпр2 * Lпр - M_2 * (Lпр + $B$4))/M_1</f>
        <v>19.3729999326009</v>
      </c>
      <c r="E41" s="76" t="n">
        <f aca="false">Mполн * $B41 * $C41 /10000000</f>
        <v>0.301197312</v>
      </c>
      <c r="F41" s="76" t="n">
        <f aca="false">(Mст*(Lст^2/12+($C41 - Lпр/2)^2) + Mпр * $C41^2 + Mпр2 * $B41^2)/10000000</f>
        <v>0.1005886872</v>
      </c>
      <c r="G41" s="77" t="n">
        <f aca="false">$E41 - $F41</f>
        <v>0.2006086248</v>
      </c>
      <c r="H41" s="78" t="n">
        <f aca="false">(M_1 * ($C41-$D41)^2 + M_2 * ($B41+$B$4)^2)/10000000</f>
        <v>0.20901164536227</v>
      </c>
    </row>
    <row r="42" customFormat="false" ht="12.75" hidden="false" customHeight="false" outlineLevel="0" collapsed="false">
      <c r="B42" s="79" t="n">
        <f aca="false">$B41+$B$35</f>
        <v>18.1</v>
      </c>
      <c r="C42" s="73" t="n">
        <f aca="false">Lпр - $B42</f>
        <v>41.5</v>
      </c>
      <c r="D42" s="74" t="n">
        <f aca="false">(Mполн * $C42 - Mст * Lпр/2 - Mпр2 * Lпр - M_2 * (Lпр + $B$4))/M_1</f>
        <v>19.101893913864</v>
      </c>
      <c r="E42" s="76" t="n">
        <f aca="false">Mполн * $B42 * $C42 /10000000</f>
        <v>0.302142576</v>
      </c>
      <c r="F42" s="76" t="n">
        <f aca="false">(Mст*(Lст^2/12+($C42 - Lпр/2)^2) + Mпр * $C42^2 + Mпр2 * $B42^2)/10000000</f>
        <v>0.1003482815</v>
      </c>
      <c r="G42" s="77" t="n">
        <f aca="false">$E42 - $F42</f>
        <v>0.2017942945</v>
      </c>
      <c r="H42" s="78" t="n">
        <f aca="false">(M_1 * ($C42-$D42)^2 + M_2 * ($B42+$B$4)^2)/10000000</f>
        <v>0.21105079083219</v>
      </c>
    </row>
    <row r="43" customFormat="false" ht="12.75" hidden="false" customHeight="false" outlineLevel="0" collapsed="false">
      <c r="B43" s="79" t="n">
        <f aca="false">$B42+$B$35</f>
        <v>18.2</v>
      </c>
      <c r="C43" s="73" t="n">
        <f aca="false">Lпр - $B43</f>
        <v>41.4</v>
      </c>
      <c r="D43" s="74" t="n">
        <f aca="false">(Mполн * $C43 - Mст * Lпр/2 - Mпр2 * Lпр - M_2 * (Lпр + $B$4))/M_1</f>
        <v>18.830787895127</v>
      </c>
      <c r="E43" s="76" t="n">
        <f aca="false">Mполн * $B43 * $C43 /10000000</f>
        <v>0.3030797952</v>
      </c>
      <c r="F43" s="76" t="n">
        <f aca="false">(Mст*(Lст^2/12+($C43 - Lпр/2)^2) + Mпр * $C43^2 + Mпр2 * $B43^2)/10000000</f>
        <v>0.1001099284</v>
      </c>
      <c r="G43" s="77" t="n">
        <f aca="false">$E43 - $F43</f>
        <v>0.2029698668</v>
      </c>
      <c r="H43" s="78" t="n">
        <f aca="false">(M_1 * ($C43-$D43)^2 + M_2 * ($B43+$B$4)^2)/10000000</f>
        <v>0.213101639839105</v>
      </c>
    </row>
    <row r="44" customFormat="false" ht="12.75" hidden="false" customHeight="false" outlineLevel="0" collapsed="false">
      <c r="B44" s="79" t="n">
        <f aca="false">$B43+$B$35</f>
        <v>18.3</v>
      </c>
      <c r="C44" s="73" t="n">
        <f aca="false">Lпр - $B44</f>
        <v>41.3</v>
      </c>
      <c r="D44" s="74" t="n">
        <f aca="false">(Mполн * $C44 - Mст * Lпр/2 - Mпр2 * Lпр - M_2 * (Lпр + $B$4))/M_1</f>
        <v>18.5596818763901</v>
      </c>
      <c r="E44" s="76" t="n">
        <f aca="false">Mполн * $B44 * $C44 /10000000</f>
        <v>0.3040089696</v>
      </c>
      <c r="F44" s="76" t="n">
        <f aca="false">(Mст*(Lст^2/12+($C44 - Lпр/2)^2) + Mпр * $C44^2 + Mпр2 * $B44^2)/10000000</f>
        <v>0.0998736279</v>
      </c>
      <c r="G44" s="77" t="n">
        <f aca="false">$E44 - $F44</f>
        <v>0.2041353417</v>
      </c>
      <c r="H44" s="78" t="n">
        <f aca="false">(M_1 * ($C44-$D44)^2 + M_2 * ($B44+$B$4)^2)/10000000</f>
        <v>0.215164192383016</v>
      </c>
    </row>
    <row r="45" customFormat="false" ht="12.75" hidden="false" customHeight="false" outlineLevel="0" collapsed="false">
      <c r="B45" s="79" t="n">
        <f aca="false">$B44+$B$35</f>
        <v>18.4</v>
      </c>
      <c r="C45" s="73" t="n">
        <f aca="false">Lпр - $B45</f>
        <v>41.2</v>
      </c>
      <c r="D45" s="74" t="n">
        <f aca="false">(Mполн * $C45 - Mст * Lпр/2 - Mпр2 * Lпр - M_2 * (Lпр + $B$4))/M_1</f>
        <v>18.2885758576531</v>
      </c>
      <c r="E45" s="76" t="n">
        <f aca="false">Mполн * $B45 * $C45 /10000000</f>
        <v>0.3049300992</v>
      </c>
      <c r="F45" s="76" t="n">
        <f aca="false">(Mст*(Lст^2/12+($C45 - Lпр/2)^2) + Mпр * $C45^2 + Mпр2 * $B45^2)/10000000</f>
        <v>0.09963938</v>
      </c>
      <c r="G45" s="77" t="n">
        <f aca="false">$E45 - $F45</f>
        <v>0.2052907192</v>
      </c>
      <c r="H45" s="78" t="n">
        <f aca="false">(M_1 * ($C45-$D45)^2 + M_2 * ($B45+$B$4)^2)/10000000</f>
        <v>0.217238448463921</v>
      </c>
    </row>
    <row r="46" customFormat="false" ht="12.75" hidden="false" customHeight="false" outlineLevel="0" collapsed="false">
      <c r="B46" s="80" t="n">
        <f aca="false">$B45+$B$35</f>
        <v>18.5</v>
      </c>
      <c r="C46" s="81" t="n">
        <f aca="false">Lпр - $B46</f>
        <v>41.1</v>
      </c>
      <c r="D46" s="82" t="n">
        <f aca="false">(Mполн * $C46 - Mст * Lпр/2 - Mпр2 * Lпр - M_2 * (Lпр + $B$4))/M_1</f>
        <v>18.0174698389162</v>
      </c>
      <c r="E46" s="84" t="n">
        <f aca="false">Mполн * $B46 * $C46 /10000000</f>
        <v>0.305843184</v>
      </c>
      <c r="F46" s="84" t="n">
        <f aca="false">(Mст*(Lст^2/12+($C46 - Lпр/2)^2) + Mпр * $C46^2 + Mпр2 * $B46^2)/10000000</f>
        <v>0.0994071847</v>
      </c>
      <c r="G46" s="85" t="n">
        <f aca="false">$E46 - $F46</f>
        <v>0.2064359993</v>
      </c>
      <c r="H46" s="86" t="n">
        <f aca="false">(M_1 * ($C46-$D46)^2 + M_2 * ($B46+$B$4)^2)/10000000</f>
        <v>0.219324408081823</v>
      </c>
    </row>
    <row r="85" customFormat="false" ht="12.75" hidden="false" customHeight="false" outlineLevel="0" collapsed="false">
      <c r="A85" s="73"/>
      <c r="B85" s="73"/>
      <c r="C85" s="95"/>
      <c r="D85" s="76"/>
      <c r="E85" s="76"/>
    </row>
    <row r="86" customFormat="false" ht="12.75" hidden="false" customHeight="false" outlineLevel="0" collapsed="false">
      <c r="A86" s="73"/>
      <c r="B86" s="73"/>
      <c r="C86" s="95"/>
      <c r="D86" s="76"/>
      <c r="E86" s="76"/>
    </row>
    <row r="87" customFormat="false" ht="12.75" hidden="false" customHeight="false" outlineLevel="0" collapsed="false">
      <c r="A87" s="73"/>
      <c r="B87" s="73"/>
      <c r="C87" s="95"/>
      <c r="D87" s="76"/>
      <c r="E87" s="76"/>
    </row>
    <row r="88" customFormat="false" ht="12.75" hidden="false" customHeight="false" outlineLevel="0" collapsed="false">
      <c r="A88" s="73"/>
      <c r="B88" s="73"/>
      <c r="C88" s="95"/>
      <c r="D88" s="76"/>
      <c r="E88" s="76"/>
    </row>
    <row r="89" customFormat="false" ht="12.75" hidden="false" customHeight="false" outlineLevel="0" collapsed="false">
      <c r="A89" s="73"/>
      <c r="B89" s="73"/>
      <c r="C89" s="95"/>
      <c r="D89" s="76"/>
      <c r="E89" s="76"/>
    </row>
    <row r="90" customFormat="false" ht="12.75" hidden="false" customHeight="false" outlineLevel="0" collapsed="false">
      <c r="A90" s="73"/>
      <c r="B90" s="73"/>
      <c r="C90" s="95"/>
      <c r="D90" s="76"/>
      <c r="E90" s="76"/>
    </row>
    <row r="91" customFormat="false" ht="12.75" hidden="false" customHeight="false" outlineLevel="0" collapsed="false">
      <c r="A91" s="73"/>
      <c r="B91" s="73"/>
      <c r="C91" s="95"/>
      <c r="D91" s="76"/>
      <c r="E91" s="76"/>
    </row>
    <row r="92" customFormat="false" ht="12.75" hidden="false" customHeight="false" outlineLevel="0" collapsed="false">
      <c r="A92" s="73"/>
      <c r="B92" s="73"/>
      <c r="C92" s="95"/>
      <c r="D92" s="76"/>
      <c r="E92" s="76"/>
    </row>
    <row r="93" customFormat="false" ht="12.75" hidden="false" customHeight="false" outlineLevel="0" collapsed="false">
      <c r="A93" s="73"/>
      <c r="B93" s="73"/>
      <c r="C93" s="95"/>
      <c r="D93" s="76"/>
      <c r="E93" s="76"/>
    </row>
    <row r="94" customFormat="false" ht="12.75" hidden="false" customHeight="false" outlineLevel="0" collapsed="false">
      <c r="A94" s="73"/>
      <c r="B94" s="73"/>
      <c r="C94" s="95"/>
      <c r="D94" s="76"/>
      <c r="E94" s="76"/>
    </row>
    <row r="95" customFormat="false" ht="12.75" hidden="false" customHeight="false" outlineLevel="0" collapsed="false">
      <c r="A95" s="73"/>
      <c r="B95" s="73"/>
      <c r="C95" s="95"/>
      <c r="D95" s="76"/>
      <c r="E95" s="76"/>
    </row>
    <row r="96" customFormat="false" ht="12.75" hidden="false" customHeight="false" outlineLevel="0" collapsed="false">
      <c r="A96" s="73"/>
      <c r="B96" s="73"/>
      <c r="C96" s="95"/>
      <c r="D96" s="76"/>
      <c r="E96" s="76"/>
    </row>
  </sheetData>
  <sheetProtection sheet="true" objects="true" scenarios="true"/>
  <mergeCells count="6">
    <mergeCell ref="A1:F1"/>
    <mergeCell ref="A3:F3"/>
    <mergeCell ref="A6:F6"/>
    <mergeCell ref="E7:H7"/>
    <mergeCell ref="A33:F33"/>
    <mergeCell ref="C34:F3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3" activeCellId="0" sqref="K43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96" t="s">
        <v>42</v>
      </c>
      <c r="B1" s="96"/>
      <c r="C1" s="96"/>
      <c r="D1" s="96"/>
      <c r="E1" s="96"/>
      <c r="F1" s="96"/>
      <c r="G1" s="96"/>
      <c r="H1" s="96"/>
      <c r="I1" s="96"/>
      <c r="J1" s="96"/>
    </row>
    <row r="2" customFormat="false" ht="12.75" hidden="false" customHeight="false" outlineLevel="0" collapsed="false">
      <c r="B2" s="0" t="s">
        <v>36</v>
      </c>
      <c r="C2" s="0" t="s">
        <v>37</v>
      </c>
      <c r="D2" s="0" t="s">
        <v>43</v>
      </c>
      <c r="E2" s="0" t="s">
        <v>38</v>
      </c>
      <c r="F2" s="0" t="s">
        <v>44</v>
      </c>
      <c r="G2" s="0" t="s">
        <v>39</v>
      </c>
      <c r="H2" s="0" t="s">
        <v>45</v>
      </c>
    </row>
    <row r="3" customFormat="false" ht="12.75" hidden="false" customHeight="false" outlineLevel="0" collapsed="false">
      <c r="B3" s="97" t="n">
        <v>1</v>
      </c>
      <c r="C3" s="73" t="n">
        <f aca="false">Lпр-$B3</f>
        <v>58.6</v>
      </c>
      <c r="D3" s="95" t="n">
        <f aca="false">C3/B3</f>
        <v>58.6</v>
      </c>
      <c r="E3" s="98" t="n">
        <f aca="false">Mполн * $B3 * $C3/10000000</f>
        <v>0.023571264</v>
      </c>
      <c r="F3" s="76" t="n">
        <f aca="false">(M_2*$B3^2)/10000000</f>
        <v>0.00015079</v>
      </c>
      <c r="G3" s="76" t="n">
        <f aca="false">(Mст*(Lст^2/12+(Lпр/2-$C3)^2)+Mпр*$C3^2+Mпр2*$B3^2)/10000000</f>
        <v>0.1712921972</v>
      </c>
      <c r="H3" s="77" t="n">
        <f aca="false">$F3+$G3</f>
        <v>0.1714429872</v>
      </c>
    </row>
    <row r="4" customFormat="false" ht="12.75" hidden="false" customHeight="false" outlineLevel="0" collapsed="false">
      <c r="B4" s="97" t="n">
        <v>2</v>
      </c>
      <c r="C4" s="73" t="n">
        <f aca="false">Lпр-$B4</f>
        <v>57.6</v>
      </c>
      <c r="D4" s="95" t="n">
        <f aca="false">C4/B4</f>
        <v>28.8</v>
      </c>
      <c r="E4" s="98" t="n">
        <f aca="false">Mполн * $B4 * $C4/10000000</f>
        <v>0.046338048</v>
      </c>
      <c r="F4" s="76" t="n">
        <f aca="false">(M_2*$B4^2)/10000000</f>
        <v>0.00060316</v>
      </c>
      <c r="G4" s="76" t="n">
        <f aca="false">(Mст*(Lст^2/12+(Lпр/2-$C4)^2)+Mпр*$C4^2+Mпр2*$B4^2)/10000000</f>
        <v>0.1654910872</v>
      </c>
      <c r="H4" s="77" t="n">
        <f aca="false">$F4+$G4</f>
        <v>0.1660942472</v>
      </c>
    </row>
    <row r="5" customFormat="false" ht="12.75" hidden="false" customHeight="false" outlineLevel="0" collapsed="false">
      <c r="B5" s="97" t="n">
        <v>3</v>
      </c>
      <c r="C5" s="73" t="n">
        <f aca="false">Lпр-$B5</f>
        <v>56.6</v>
      </c>
      <c r="D5" s="95" t="n">
        <f aca="false">C5/B5</f>
        <v>18.8666666666667</v>
      </c>
      <c r="E5" s="98" t="n">
        <f aca="false">Mполн * $B5 * $C5/10000000</f>
        <v>0.068300352</v>
      </c>
      <c r="F5" s="76" t="n">
        <f aca="false">(M_2*$B5^2)/10000000</f>
        <v>0.00135711</v>
      </c>
      <c r="G5" s="76" t="n">
        <f aca="false">(Mст*(Lст^2/12+(Lпр/2-$C5)^2)+Mпр*$C5^2+Mпр2*$B5^2)/10000000</f>
        <v>0.1598952372</v>
      </c>
      <c r="H5" s="77" t="n">
        <f aca="false">$F5+$G5</f>
        <v>0.1612523472</v>
      </c>
    </row>
    <row r="6" customFormat="false" ht="12.75" hidden="false" customHeight="false" outlineLevel="0" collapsed="false">
      <c r="B6" s="97" t="n">
        <v>4</v>
      </c>
      <c r="C6" s="73" t="n">
        <f aca="false">Lпр-$B6</f>
        <v>55.6</v>
      </c>
      <c r="D6" s="95" t="n">
        <f aca="false">C6/B6</f>
        <v>13.9</v>
      </c>
      <c r="E6" s="98" t="n">
        <f aca="false">Mполн * $B6 * $C6/10000000</f>
        <v>0.089458176</v>
      </c>
      <c r="F6" s="76" t="n">
        <f aca="false">(M_2*$B6^2)/10000000</f>
        <v>0.00241264</v>
      </c>
      <c r="G6" s="76" t="n">
        <f aca="false">(Mст*(Lст^2/12+(Lпр/2-$C6)^2)+Mпр*$C6^2+Mпр2*$B6^2)/10000000</f>
        <v>0.1545046472</v>
      </c>
      <c r="H6" s="77" t="n">
        <f aca="false">$F6+$G6</f>
        <v>0.1569172872</v>
      </c>
    </row>
    <row r="7" customFormat="false" ht="12.75" hidden="false" customHeight="false" outlineLevel="0" collapsed="false">
      <c r="B7" s="97" t="n">
        <v>5</v>
      </c>
      <c r="C7" s="73" t="n">
        <f aca="false">Lпр-$B7</f>
        <v>54.6</v>
      </c>
      <c r="D7" s="95" t="n">
        <f aca="false">C7/B7</f>
        <v>10.92</v>
      </c>
      <c r="E7" s="98" t="n">
        <f aca="false">Mполн * $B7 * $C7/10000000</f>
        <v>0.10981152</v>
      </c>
      <c r="F7" s="76" t="n">
        <f aca="false">(M_2*$B7^2)/10000000</f>
        <v>0.00376975</v>
      </c>
      <c r="G7" s="76" t="n">
        <f aca="false">(Mст*(Lст^2/12+(Lпр/2-$C7)^2)+Mпр*$C7^2+Mпр2*$B7^2)/10000000</f>
        <v>0.1493193172</v>
      </c>
      <c r="H7" s="77" t="n">
        <f aca="false">$F7+$G7</f>
        <v>0.1530890672</v>
      </c>
    </row>
    <row r="8" customFormat="false" ht="12.75" hidden="false" customHeight="false" outlineLevel="0" collapsed="false">
      <c r="B8" s="97" t="n">
        <v>6</v>
      </c>
      <c r="C8" s="73" t="n">
        <f aca="false">Lпр-$B8</f>
        <v>53.6</v>
      </c>
      <c r="D8" s="95" t="n">
        <f aca="false">C8/B8</f>
        <v>8.93333333333333</v>
      </c>
      <c r="E8" s="98" t="n">
        <f aca="false">Mполн * $B8 * $C8/10000000</f>
        <v>0.129360384</v>
      </c>
      <c r="F8" s="76" t="n">
        <f aca="false">(M_2*$B8^2)/10000000</f>
        <v>0.00542844</v>
      </c>
      <c r="G8" s="76" t="n">
        <f aca="false">(Mст*(Lст^2/12+(Lпр/2-$C8)^2)+Mпр*$C8^2+Mпр2*$B8^2)/10000000</f>
        <v>0.1443392472</v>
      </c>
      <c r="H8" s="77" t="n">
        <f aca="false">$F8+$G8</f>
        <v>0.1497676872</v>
      </c>
    </row>
    <row r="9" customFormat="false" ht="12.75" hidden="false" customHeight="false" outlineLevel="0" collapsed="false">
      <c r="B9" s="97" t="n">
        <v>7</v>
      </c>
      <c r="C9" s="73" t="n">
        <f aca="false">Lпр-$B9</f>
        <v>52.6</v>
      </c>
      <c r="D9" s="95" t="n">
        <f aca="false">C9/B9</f>
        <v>7.51428571428571</v>
      </c>
      <c r="E9" s="98" t="n">
        <f aca="false">Mполн * $B9 * $C9/10000000</f>
        <v>0.148104768</v>
      </c>
      <c r="F9" s="76" t="n">
        <f aca="false">(M_2*$B9^2)/10000000</f>
        <v>0.00738871</v>
      </c>
      <c r="G9" s="76" t="n">
        <f aca="false">(Mст*(Lст^2/12+(Lпр/2-$C9)^2)+Mпр*$C9^2+Mпр2*$B9^2)/10000000</f>
        <v>0.1395644372</v>
      </c>
      <c r="H9" s="77" t="n">
        <f aca="false">$F9+$G9</f>
        <v>0.1469531472</v>
      </c>
    </row>
    <row r="10" customFormat="false" ht="12.75" hidden="false" customHeight="false" outlineLevel="0" collapsed="false">
      <c r="B10" s="97" t="n">
        <v>8</v>
      </c>
      <c r="C10" s="73" t="n">
        <f aca="false">Lпр-$B10</f>
        <v>51.6</v>
      </c>
      <c r="D10" s="95" t="n">
        <f aca="false">C10/B10</f>
        <v>6.45</v>
      </c>
      <c r="E10" s="98" t="n">
        <f aca="false">Mполн * $B10 * $C10/10000000</f>
        <v>0.166044672</v>
      </c>
      <c r="F10" s="76" t="n">
        <f aca="false">(M_2*$B10^2)/10000000</f>
        <v>0.00965056</v>
      </c>
      <c r="G10" s="76" t="n">
        <f aca="false">(Mст*(Lст^2/12+(Lпр/2-$C10)^2)+Mпр*$C10^2+Mпр2*$B10^2)/10000000</f>
        <v>0.1349948872</v>
      </c>
      <c r="H10" s="77" t="n">
        <f aca="false">$F10+$G10</f>
        <v>0.1446454472</v>
      </c>
    </row>
    <row r="11" customFormat="false" ht="12.75" hidden="false" customHeight="false" outlineLevel="0" collapsed="false">
      <c r="B11" s="97" t="n">
        <v>9</v>
      </c>
      <c r="C11" s="73" t="n">
        <f aca="false">Lпр-$B11</f>
        <v>50.6</v>
      </c>
      <c r="D11" s="95" t="n">
        <f aca="false">C11/B11</f>
        <v>5.62222222222222</v>
      </c>
      <c r="E11" s="98" t="n">
        <f aca="false">Mполн * $B11 * $C11/10000000</f>
        <v>0.183180096</v>
      </c>
      <c r="F11" s="76" t="n">
        <f aca="false">(M_2*$B11^2)/10000000</f>
        <v>0.01221399</v>
      </c>
      <c r="G11" s="76" t="n">
        <f aca="false">(Mст*(Lст^2/12+(Lпр/2-$C11)^2)+Mпр*$C11^2+Mпр2*$B11^2)/10000000</f>
        <v>0.1306305972</v>
      </c>
      <c r="H11" s="77" t="n">
        <f aca="false">$F11+$G11</f>
        <v>0.1428445872</v>
      </c>
    </row>
    <row r="12" customFormat="false" ht="12.75" hidden="false" customHeight="false" outlineLevel="0" collapsed="false">
      <c r="B12" s="97" t="n">
        <v>10</v>
      </c>
      <c r="C12" s="73" t="n">
        <f aca="false">Lпр-$B12</f>
        <v>49.6</v>
      </c>
      <c r="D12" s="95" t="n">
        <f aca="false">C12/B12</f>
        <v>4.96</v>
      </c>
      <c r="E12" s="98" t="n">
        <f aca="false">Mполн * $B12 * $C12/10000000</f>
        <v>0.19951104</v>
      </c>
      <c r="F12" s="76" t="n">
        <f aca="false">(M_2*$B12^2)/10000000</f>
        <v>0.015079</v>
      </c>
      <c r="G12" s="76" t="n">
        <f aca="false">(Mст*(Lст^2/12+(Lпр/2-$C12)^2)+Mпр*$C12^2+Mпр2*$B12^2)/10000000</f>
        <v>0.1264715672</v>
      </c>
      <c r="H12" s="77" t="n">
        <f aca="false">$F12+$G12</f>
        <v>0.1415505672</v>
      </c>
    </row>
    <row r="13" customFormat="false" ht="12.75" hidden="false" customHeight="false" outlineLevel="0" collapsed="false">
      <c r="B13" s="97" t="n">
        <v>11</v>
      </c>
      <c r="C13" s="73" t="n">
        <f aca="false">Lпр-$B13</f>
        <v>48.6</v>
      </c>
      <c r="D13" s="95" t="n">
        <f aca="false">C13/B13</f>
        <v>4.41818181818182</v>
      </c>
      <c r="E13" s="98" t="n">
        <f aca="false">Mполн * $B13 * $C13/10000000</f>
        <v>0.215037504</v>
      </c>
      <c r="F13" s="76" t="n">
        <f aca="false">(M_2*$B13^2)/10000000</f>
        <v>0.01824559</v>
      </c>
      <c r="G13" s="76" t="n">
        <f aca="false">(Mст*(Lст^2/12+(Lпр/2-$C13)^2)+Mпр*$C13^2+Mпр2*$B13^2)/10000000</f>
        <v>0.1225177972</v>
      </c>
      <c r="H13" s="77" t="n">
        <f aca="false">$F13+$G13</f>
        <v>0.1407633872</v>
      </c>
    </row>
    <row r="14" customFormat="false" ht="12.75" hidden="false" customHeight="false" outlineLevel="0" collapsed="false">
      <c r="B14" s="97" t="n">
        <v>12</v>
      </c>
      <c r="C14" s="73" t="n">
        <f aca="false">Lпр-$B14</f>
        <v>47.6</v>
      </c>
      <c r="D14" s="95" t="n">
        <f aca="false">C14/B14</f>
        <v>3.96666666666667</v>
      </c>
      <c r="E14" s="98" t="n">
        <f aca="false">Mполн * $B14 * $C14/10000000</f>
        <v>0.229759488</v>
      </c>
      <c r="F14" s="76" t="n">
        <f aca="false">(M_2*$B14^2)/10000000</f>
        <v>0.02171376</v>
      </c>
      <c r="G14" s="76" t="n">
        <f aca="false">(Mст*(Lст^2/12+(Lпр/2-$C14)^2)+Mпр*$C14^2+Mпр2*$B14^2)/10000000</f>
        <v>0.1187692872</v>
      </c>
      <c r="H14" s="77" t="n">
        <f aca="false">$F14+$G14</f>
        <v>0.1404830472</v>
      </c>
    </row>
    <row r="15" customFormat="false" ht="12.75" hidden="false" customHeight="false" outlineLevel="0" collapsed="false">
      <c r="B15" s="97" t="n">
        <v>13</v>
      </c>
      <c r="C15" s="73" t="n">
        <f aca="false">Lпр-$B15</f>
        <v>46.6</v>
      </c>
      <c r="D15" s="95" t="n">
        <f aca="false">C15/B15</f>
        <v>3.58461538461538</v>
      </c>
      <c r="E15" s="98" t="n">
        <f aca="false">Mполн * $B15 * $C15/10000000</f>
        <v>0.243676992</v>
      </c>
      <c r="F15" s="76" t="n">
        <f aca="false">(M_2*$B15^2)/10000000</f>
        <v>0.02548351</v>
      </c>
      <c r="G15" s="76" t="n">
        <f aca="false">(Mст*(Lст^2/12+(Lпр/2-$C15)^2)+Mпр*$C15^2+Mпр2*$B15^2)/10000000</f>
        <v>0.1152260372</v>
      </c>
      <c r="H15" s="77" t="n">
        <f aca="false">$F15+$G15</f>
        <v>0.1407095472</v>
      </c>
    </row>
    <row r="16" customFormat="false" ht="12.75" hidden="false" customHeight="false" outlineLevel="0" collapsed="false">
      <c r="B16" s="97" t="n">
        <v>14</v>
      </c>
      <c r="C16" s="73" t="n">
        <f aca="false">Lпр-$B16</f>
        <v>45.6</v>
      </c>
      <c r="D16" s="95" t="n">
        <f aca="false">C16/B16</f>
        <v>3.25714285714286</v>
      </c>
      <c r="E16" s="98" t="n">
        <f aca="false">Mполн * $B16 * $C16/10000000</f>
        <v>0.256790016</v>
      </c>
      <c r="F16" s="76" t="n">
        <f aca="false">(M_2*$B16^2)/10000000</f>
        <v>0.02955484</v>
      </c>
      <c r="G16" s="76" t="n">
        <f aca="false">(Mст*(Lст^2/12+(Lпр/2-$C16)^2)+Mпр*$C16^2+Mпр2*$B16^2)/10000000</f>
        <v>0.1118880472</v>
      </c>
      <c r="H16" s="77" t="n">
        <f aca="false">$F16+$G16</f>
        <v>0.1414428872</v>
      </c>
    </row>
    <row r="17" customFormat="false" ht="12.75" hidden="false" customHeight="false" outlineLevel="0" collapsed="false">
      <c r="B17" s="97" t="n">
        <v>15</v>
      </c>
      <c r="C17" s="73" t="n">
        <f aca="false">Lпр-$B17</f>
        <v>44.6</v>
      </c>
      <c r="D17" s="95" t="n">
        <f aca="false">C17/B17</f>
        <v>2.97333333333333</v>
      </c>
      <c r="E17" s="98" t="n">
        <f aca="false">Mполн * $B17 * $C17/10000000</f>
        <v>0.26909856</v>
      </c>
      <c r="F17" s="76" t="n">
        <f aca="false">(M_2*$B17^2)/10000000</f>
        <v>0.03392775</v>
      </c>
      <c r="G17" s="76" t="n">
        <f aca="false">(Mст*(Lст^2/12+(Lпр/2-$C17)^2)+Mпр*$C17^2+Mпр2*$B17^2)/10000000</f>
        <v>0.1087553172</v>
      </c>
      <c r="H17" s="77" t="n">
        <f aca="false">$F17+$G17</f>
        <v>0.1426830672</v>
      </c>
    </row>
    <row r="18" customFormat="false" ht="12.75" hidden="false" customHeight="false" outlineLevel="0" collapsed="false">
      <c r="B18" s="97" t="n">
        <v>16</v>
      </c>
      <c r="C18" s="73" t="n">
        <f aca="false">Lпр-$B18</f>
        <v>43.6</v>
      </c>
      <c r="D18" s="95" t="n">
        <f aca="false">C18/B18</f>
        <v>2.725</v>
      </c>
      <c r="E18" s="98" t="n">
        <f aca="false">Mполн * $B18 * $C18/10000000</f>
        <v>0.280602624</v>
      </c>
      <c r="F18" s="76" t="n">
        <f aca="false">(M_2*$B18^2)/10000000</f>
        <v>0.03860224</v>
      </c>
      <c r="G18" s="76" t="n">
        <f aca="false">(Mст*(Lст^2/12+(Lпр/2-$C18)^2)+Mпр*$C18^2+Mпр2*$B18^2)/10000000</f>
        <v>0.1058278472</v>
      </c>
      <c r="H18" s="77" t="n">
        <f aca="false">$F18+$G18</f>
        <v>0.1444300872</v>
      </c>
    </row>
    <row r="19" customFormat="false" ht="12.75" hidden="false" customHeight="false" outlineLevel="0" collapsed="false">
      <c r="B19" s="97" t="n">
        <v>17</v>
      </c>
      <c r="C19" s="73" t="n">
        <f aca="false">Lпр-$B19</f>
        <v>42.6</v>
      </c>
      <c r="D19" s="95" t="n">
        <f aca="false">C19/B19</f>
        <v>2.50588235294118</v>
      </c>
      <c r="E19" s="98" t="n">
        <f aca="false">Mполн * $B19 * $C19/10000000</f>
        <v>0.291302208</v>
      </c>
      <c r="F19" s="76" t="n">
        <f aca="false">(M_2*$B19^2)/10000000</f>
        <v>0.04357831</v>
      </c>
      <c r="G19" s="76" t="n">
        <f aca="false">(Mст*(Lст^2/12+(Lпр/2-$C19)^2)+Mпр*$C19^2+Mпр2*$B19^2)/10000000</f>
        <v>0.1031056372</v>
      </c>
      <c r="H19" s="77" t="n">
        <f aca="false">$F19+$G19</f>
        <v>0.1466839472</v>
      </c>
    </row>
    <row r="20" customFormat="false" ht="12.75" hidden="false" customHeight="false" outlineLevel="0" collapsed="false">
      <c r="B20" s="97" t="n">
        <v>18</v>
      </c>
      <c r="C20" s="73" t="n">
        <f aca="false">Lпр-$B20</f>
        <v>41.6</v>
      </c>
      <c r="D20" s="95" t="n">
        <f aca="false">C20/B20</f>
        <v>2.31111111111111</v>
      </c>
      <c r="E20" s="98" t="n">
        <f aca="false">Mполн * $B20 * $C20/10000000</f>
        <v>0.301197312</v>
      </c>
      <c r="F20" s="76" t="n">
        <f aca="false">(M_2*$B20^2)/10000000</f>
        <v>0.04885596</v>
      </c>
      <c r="G20" s="76" t="n">
        <f aca="false">(Mст*(Lст^2/12+(Lпр/2-$C20)^2)+Mпр*$C20^2+Mпр2*$B20^2)/10000000</f>
        <v>0.1005886872</v>
      </c>
      <c r="H20" s="77" t="n">
        <f aca="false">$F20+$G20</f>
        <v>0.1494446472</v>
      </c>
    </row>
    <row r="21" customFormat="false" ht="12.75" hidden="false" customHeight="false" outlineLevel="0" collapsed="false">
      <c r="B21" s="97" t="n">
        <v>19</v>
      </c>
      <c r="C21" s="73" t="n">
        <f aca="false">Lпр-$B21</f>
        <v>40.6</v>
      </c>
      <c r="D21" s="95" t="n">
        <f aca="false">C21/B21</f>
        <v>2.13684210526316</v>
      </c>
      <c r="E21" s="98" t="n">
        <f aca="false">Mполн * $B21 * $C21/10000000</f>
        <v>0.310287936</v>
      </c>
      <c r="F21" s="76" t="n">
        <f aca="false">(M_2*$B21^2)/10000000</f>
        <v>0.05443519</v>
      </c>
      <c r="G21" s="76" t="n">
        <f aca="false">(Mст*(Lст^2/12+(Lпр/2-$C21)^2)+Mпр*$C21^2+Mпр2*$B21^2)/10000000</f>
        <v>0.0982769972</v>
      </c>
      <c r="H21" s="77" t="n">
        <f aca="false">$F21+$G21</f>
        <v>0.1527121872</v>
      </c>
    </row>
    <row r="22" customFormat="false" ht="12.75" hidden="false" customHeight="false" outlineLevel="0" collapsed="false">
      <c r="B22" s="97" t="n">
        <v>20</v>
      </c>
      <c r="C22" s="73" t="n">
        <f aca="false">Lпр-$B22</f>
        <v>39.6</v>
      </c>
      <c r="D22" s="95" t="n">
        <f aca="false">C22/B22</f>
        <v>1.98</v>
      </c>
      <c r="E22" s="98" t="n">
        <f aca="false">Mполн * $B22 * $C22/10000000</f>
        <v>0.31857408</v>
      </c>
      <c r="F22" s="76" t="n">
        <f aca="false">(M_2*$B22^2)/10000000</f>
        <v>0.060316</v>
      </c>
      <c r="G22" s="76" t="n">
        <f aca="false">(Mст*(Lст^2/12+(Lпр/2-$C22)^2)+Mпр*$C22^2+Mпр2*$B22^2)/10000000</f>
        <v>0.0961705672</v>
      </c>
      <c r="H22" s="77" t="n">
        <f aca="false">$F22+$G22</f>
        <v>0.1564865672</v>
      </c>
    </row>
    <row r="23" customFormat="false" ht="12.75" hidden="false" customHeight="false" outlineLevel="0" collapsed="false">
      <c r="B23" s="97" t="n">
        <v>21</v>
      </c>
      <c r="C23" s="73" t="n">
        <f aca="false">Lпр-$B23</f>
        <v>38.6</v>
      </c>
      <c r="D23" s="95" t="n">
        <f aca="false">C23/B23</f>
        <v>1.83809523809524</v>
      </c>
      <c r="E23" s="98" t="n">
        <f aca="false">Mполн * $B23 * $C23/10000000</f>
        <v>0.326055744</v>
      </c>
      <c r="F23" s="76" t="n">
        <f aca="false">(M_2*$B23^2)/10000000</f>
        <v>0.06649839</v>
      </c>
      <c r="G23" s="76" t="n">
        <f aca="false">(Mст*(Lст^2/12+(Lпр/2-$C23)^2)+Mпр*$C23^2+Mпр2*$B23^2)/10000000</f>
        <v>0.0942693972</v>
      </c>
      <c r="H23" s="77" t="n">
        <f aca="false">$F23+$G23</f>
        <v>0.1607677872</v>
      </c>
    </row>
    <row r="24" customFormat="false" ht="12.75" hidden="false" customHeight="false" outlineLevel="0" collapsed="false">
      <c r="B24" s="97" t="n">
        <v>22</v>
      </c>
      <c r="C24" s="73" t="n">
        <f aca="false">Lпр-$B24</f>
        <v>37.6</v>
      </c>
      <c r="D24" s="95" t="n">
        <f aca="false">C24/B24</f>
        <v>1.70909090909091</v>
      </c>
      <c r="E24" s="98" t="n">
        <f aca="false">Mполн * $B24 * $C24/10000000</f>
        <v>0.332732928</v>
      </c>
      <c r="F24" s="76" t="n">
        <f aca="false">(M_2*$B24^2)/10000000</f>
        <v>0.07298236</v>
      </c>
      <c r="G24" s="76" t="n">
        <f aca="false">(Mст*(Lст^2/12+(Lпр/2-$C24)^2)+Mпр*$C24^2+Mпр2*$B24^2)/10000000</f>
        <v>0.0925734872</v>
      </c>
      <c r="H24" s="77" t="n">
        <f aca="false">$F24+$G24</f>
        <v>0.1655558472</v>
      </c>
    </row>
    <row r="25" customFormat="false" ht="12.75" hidden="false" customHeight="false" outlineLevel="0" collapsed="false">
      <c r="B25" s="97" t="n">
        <v>23</v>
      </c>
      <c r="C25" s="73" t="n">
        <f aca="false">Lпр-$B25</f>
        <v>36.6</v>
      </c>
      <c r="D25" s="95" t="n">
        <f aca="false">C25/B25</f>
        <v>1.59130434782609</v>
      </c>
      <c r="E25" s="98" t="n">
        <f aca="false">Mполн * $B25 * $C25/10000000</f>
        <v>0.338605632</v>
      </c>
      <c r="F25" s="76" t="n">
        <f aca="false">(M_2*$B25^2)/10000000</f>
        <v>0.07976791</v>
      </c>
      <c r="G25" s="76" t="n">
        <f aca="false">(Mст*(Lст^2/12+(Lпр/2-$C25)^2)+Mпр*$C25^2+Mпр2*$B25^2)/10000000</f>
        <v>0.0910828372</v>
      </c>
      <c r="H25" s="77" t="n">
        <f aca="false">$F25+$G25</f>
        <v>0.1708507472</v>
      </c>
    </row>
    <row r="26" customFormat="false" ht="12.75" hidden="false" customHeight="false" outlineLevel="0" collapsed="false">
      <c r="B26" s="97" t="n">
        <v>24</v>
      </c>
      <c r="C26" s="73" t="n">
        <f aca="false">Lпр-$B26</f>
        <v>35.6</v>
      </c>
      <c r="D26" s="95" t="n">
        <f aca="false">C26/B26</f>
        <v>1.48333333333333</v>
      </c>
      <c r="E26" s="98" t="n">
        <f aca="false">Mполн * $B26 * $C26/10000000</f>
        <v>0.343673856</v>
      </c>
      <c r="F26" s="76" t="n">
        <f aca="false">(M_2*$B26^2)/10000000</f>
        <v>0.08685504</v>
      </c>
      <c r="G26" s="76" t="n">
        <f aca="false">(Mст*(Lст^2/12+(Lпр/2-$C26)^2)+Mпр*$C26^2+Mпр2*$B26^2)/10000000</f>
        <v>0.0897974472</v>
      </c>
      <c r="H26" s="77" t="n">
        <f aca="false">$F26+$G26</f>
        <v>0.1766524872</v>
      </c>
    </row>
    <row r="27" customFormat="false" ht="12.75" hidden="false" customHeight="false" outlineLevel="0" collapsed="false">
      <c r="B27" s="97" t="n">
        <v>25</v>
      </c>
      <c r="C27" s="73" t="n">
        <f aca="false">Lпр-$B27</f>
        <v>34.6</v>
      </c>
      <c r="D27" s="95" t="n">
        <f aca="false">C27/B27</f>
        <v>1.384</v>
      </c>
      <c r="E27" s="98" t="n">
        <f aca="false">Mполн * $B27 * $C27/10000000</f>
        <v>0.3479376</v>
      </c>
      <c r="F27" s="76" t="n">
        <f aca="false">(M_2*$B27^2)/10000000</f>
        <v>0.09424375</v>
      </c>
      <c r="G27" s="76" t="n">
        <f aca="false">(Mст*(Lст^2/12+(Lпр/2-$C27)^2)+Mпр*$C27^2+Mпр2*$B27^2)/10000000</f>
        <v>0.0887173172</v>
      </c>
      <c r="H27" s="77" t="n">
        <f aca="false">$F27+$G27</f>
        <v>0.1829610672</v>
      </c>
    </row>
    <row r="28" customFormat="false" ht="12.75" hidden="false" customHeight="false" outlineLevel="0" collapsed="false">
      <c r="A28" s="73"/>
      <c r="B28" s="97" t="n">
        <v>26</v>
      </c>
      <c r="C28" s="73" t="n">
        <f aca="false">Lпр-$B28</f>
        <v>33.6</v>
      </c>
      <c r="D28" s="95" t="n">
        <f aca="false">C28/B28</f>
        <v>1.29230769230769</v>
      </c>
      <c r="E28" s="98" t="n">
        <f aca="false">Mполн * $B28 * $C28/10000000</f>
        <v>0.351396864</v>
      </c>
      <c r="F28" s="76" t="n">
        <f aca="false">(M_2*$B28^2)/10000000</f>
        <v>0.10193404</v>
      </c>
      <c r="G28" s="76" t="n">
        <f aca="false">(Mст*(Lст^2/12+(Lпр/2-$C28)^2)+Mпр*$C28^2+Mпр2*$B28^2)/10000000</f>
        <v>0.0878424472</v>
      </c>
      <c r="H28" s="77" t="n">
        <f aca="false">$F28+$G28</f>
        <v>0.1897764872</v>
      </c>
    </row>
    <row r="29" customFormat="false" ht="12.75" hidden="false" customHeight="false" outlineLevel="0" collapsed="false">
      <c r="A29" s="73"/>
      <c r="B29" s="97" t="n">
        <v>27</v>
      </c>
      <c r="C29" s="73" t="n">
        <f aca="false">Lпр-$B29</f>
        <v>32.6</v>
      </c>
      <c r="D29" s="95" t="n">
        <f aca="false">C29/B29</f>
        <v>1.20740740740741</v>
      </c>
      <c r="E29" s="98" t="n">
        <f aca="false">Mполн * $B29 * $C29/10000000</f>
        <v>0.354051648</v>
      </c>
      <c r="F29" s="76" t="n">
        <f aca="false">(M_2*$B29^2)/10000000</f>
        <v>0.10992591</v>
      </c>
      <c r="G29" s="76" t="n">
        <f aca="false">(Mст*(Lст^2/12+(Lпр/2-$C29)^2)+Mпр*$C29^2+Mпр2*$B29^2)/10000000</f>
        <v>0.0871728372</v>
      </c>
      <c r="H29" s="77" t="n">
        <f aca="false">$F29+$G29</f>
        <v>0.1970987472</v>
      </c>
    </row>
    <row r="30" customFormat="false" ht="12.75" hidden="false" customHeight="false" outlineLevel="0" collapsed="false">
      <c r="A30" s="73"/>
      <c r="B30" s="97" t="n">
        <v>28</v>
      </c>
      <c r="C30" s="73" t="n">
        <f aca="false">Lпр-$B30</f>
        <v>31.6</v>
      </c>
      <c r="D30" s="95" t="n">
        <f aca="false">C30/B30</f>
        <v>1.12857142857143</v>
      </c>
      <c r="E30" s="98" t="n">
        <f aca="false">Mполн * $B30 * $C30/10000000</f>
        <v>0.355901952</v>
      </c>
      <c r="F30" s="76" t="n">
        <f aca="false">(M_2*$B30^2)/10000000</f>
        <v>0.11821936</v>
      </c>
      <c r="G30" s="76" t="n">
        <f aca="false">(Mст*(Lст^2/12+(Lпр/2-$C30)^2)+Mпр*$C30^2+Mпр2*$B30^2)/10000000</f>
        <v>0.0867084872</v>
      </c>
      <c r="H30" s="77" t="n">
        <f aca="false">$F30+$G30</f>
        <v>0.2049278472</v>
      </c>
    </row>
    <row r="31" customFormat="false" ht="12.75" hidden="false" customHeight="false" outlineLevel="0" collapsed="false">
      <c r="A31" s="73"/>
      <c r="B31" s="97" t="n">
        <v>29</v>
      </c>
      <c r="C31" s="73" t="n">
        <f aca="false">Lпр-$B31</f>
        <v>30.6</v>
      </c>
      <c r="D31" s="95" t="n">
        <f aca="false">C31/B31</f>
        <v>1.0551724137931</v>
      </c>
      <c r="E31" s="98" t="n">
        <f aca="false">Mполн * $B31 * $C31/10000000</f>
        <v>0.356947776</v>
      </c>
      <c r="F31" s="76" t="n">
        <f aca="false">(M_2*$B31^2)/10000000</f>
        <v>0.12681439</v>
      </c>
      <c r="G31" s="76" t="n">
        <f aca="false">(Mст*(Lст^2/12+(Lпр/2-$C31)^2)+Mпр*$C31^2+Mпр2*$B31^2)/10000000</f>
        <v>0.0864493972</v>
      </c>
      <c r="H31" s="77" t="n">
        <f aca="false">$F31+$G31</f>
        <v>0.2132637872</v>
      </c>
    </row>
    <row r="32" customFormat="false" ht="12.75" hidden="false" customHeight="false" outlineLevel="0" collapsed="false">
      <c r="A32" s="73"/>
      <c r="B32" s="97" t="n">
        <v>30</v>
      </c>
      <c r="C32" s="73" t="n">
        <f aca="false">Lпр-$B32</f>
        <v>29.6</v>
      </c>
      <c r="D32" s="95" t="n">
        <f aca="false">C32/B32</f>
        <v>0.986666666666667</v>
      </c>
      <c r="E32" s="98" t="n">
        <f aca="false">Mполн * $B32 * $C32/10000000</f>
        <v>0.35718912</v>
      </c>
      <c r="F32" s="76" t="n">
        <f aca="false">(M_2*$B32^2)/10000000</f>
        <v>0.135711</v>
      </c>
      <c r="G32" s="76" t="n">
        <f aca="false">(Mст*(Lст^2/12+(Lпр/2-$C32)^2)+Mпр*$C32^2+Mпр2*$B32^2)/10000000</f>
        <v>0.0863955672</v>
      </c>
      <c r="H32" s="77" t="n">
        <f aca="false">$F32+$G32</f>
        <v>0.2221065672</v>
      </c>
    </row>
  </sheetData>
  <sheetProtection sheet="true" objects="true" scenarios="true"/>
  <mergeCells count="1">
    <mergeCell ref="A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625" defaultRowHeight="12.7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1272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2021-10-10T23:31:48Z</dcterms:created>
  <dc:creator>Павел Владимирович Попов</dc:creator>
  <dc:description/>
  <dc:language>ru-RU</dc:language>
  <cp:lastModifiedBy/>
  <dcterms:modified xsi:type="dcterms:W3CDTF">2023-11-06T16:04:45Z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