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884c472342d338db/Bureau/Equity Research/Stocks analysis/Ideas/Long/"/>
    </mc:Choice>
  </mc:AlternateContent>
  <xr:revisionPtr revIDLastSave="0" documentId="14_{D7A6A6C9-35F2-4339-AB72-E13BF003C8D9}" xr6:coauthVersionLast="47" xr6:coauthVersionMax="47" xr10:uidLastSave="{00000000-0000-0000-0000-000000000000}"/>
  <bookViews>
    <workbookView xWindow="-28905" yWindow="0" windowWidth="14610" windowHeight="15585" activeTab="1" xr2:uid="{56F5D9B8-077D-4967-B431-290D322609CF}"/>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2" l="1"/>
  <c r="U6" i="2"/>
  <c r="T6" i="2"/>
  <c r="AR12" i="2" l="1"/>
  <c r="AS12" i="2" s="1"/>
  <c r="AU21" i="2"/>
  <c r="AU18" i="2"/>
  <c r="AQ13" i="2"/>
  <c r="AL13" i="2"/>
  <c r="AG13" i="2"/>
  <c r="AF14" i="2"/>
  <c r="AP13" i="2"/>
  <c r="AO13" i="2"/>
  <c r="AN13" i="2"/>
  <c r="AM13" i="2"/>
  <c r="AK13" i="2"/>
  <c r="AJ13" i="2"/>
  <c r="AI13" i="2"/>
  <c r="AH13" i="2"/>
  <c r="AF13" i="2"/>
  <c r="AQ12" i="2"/>
  <c r="AP12" i="2"/>
  <c r="AO12" i="2"/>
  <c r="AN12" i="2"/>
  <c r="AM12" i="2"/>
  <c r="AL12" i="2"/>
  <c r="AK12" i="2"/>
  <c r="AJ12" i="2"/>
  <c r="AI12" i="2"/>
  <c r="AH12" i="2"/>
  <c r="AG12" i="2"/>
  <c r="AH6" i="2"/>
  <c r="AH7" i="2" s="1"/>
  <c r="AG6" i="2"/>
  <c r="AF5" i="2"/>
  <c r="AG3" i="2"/>
  <c r="AH3" i="2" s="1"/>
  <c r="AI3" i="2" s="1"/>
  <c r="AJ3" i="2" s="1"/>
  <c r="AK3" i="2" s="1"/>
  <c r="AL3" i="2" s="1"/>
  <c r="AM3" i="2" s="1"/>
  <c r="AN3" i="2" s="1"/>
  <c r="AO3" i="2" s="1"/>
  <c r="AP3" i="2" s="1"/>
  <c r="AQ3" i="2" s="1"/>
  <c r="AG7" i="2"/>
  <c r="AF17" i="2"/>
  <c r="V14" i="2"/>
  <c r="U14" i="2"/>
  <c r="T14" i="2"/>
  <c r="AF7" i="2"/>
  <c r="AF8" i="2" s="1"/>
  <c r="AF10" i="2" s="1"/>
  <c r="AF11" i="2" s="1"/>
  <c r="AF20" i="2" s="1"/>
  <c r="AE8" i="2"/>
  <c r="AF4" i="2"/>
  <c r="AF3" i="2"/>
  <c r="V7" i="2"/>
  <c r="V8" i="2" s="1"/>
  <c r="U7" i="2"/>
  <c r="U8" i="2" s="1"/>
  <c r="T7" i="2"/>
  <c r="T8" i="2" s="1"/>
  <c r="V9" i="2"/>
  <c r="U9" i="2"/>
  <c r="T9" i="2"/>
  <c r="V4" i="2"/>
  <c r="U4" i="2"/>
  <c r="T4" i="2"/>
  <c r="V5" i="2"/>
  <c r="V17" i="2" s="1"/>
  <c r="U5" i="2"/>
  <c r="T5" i="2"/>
  <c r="T17" i="2" s="1"/>
  <c r="U17" i="2"/>
  <c r="V3" i="2"/>
  <c r="U3" i="2"/>
  <c r="V16" i="2"/>
  <c r="U16" i="2"/>
  <c r="T16" i="2"/>
  <c r="T3" i="2"/>
  <c r="AO2" i="2"/>
  <c r="AP2" i="2" s="1"/>
  <c r="AQ2" i="2" s="1"/>
  <c r="AK2" i="2"/>
  <c r="AL2" i="2" s="1"/>
  <c r="AM2" i="2" s="1"/>
  <c r="AN2" i="2" s="1"/>
  <c r="AF16" i="2"/>
  <c r="Z18" i="2"/>
  <c r="Z17" i="2"/>
  <c r="Z16" i="2"/>
  <c r="Y16" i="2"/>
  <c r="Y7" i="2"/>
  <c r="Y5" i="2"/>
  <c r="Y17" i="2" s="1"/>
  <c r="X7" i="2"/>
  <c r="X5" i="2"/>
  <c r="X17" i="2" s="1"/>
  <c r="AG2" i="2"/>
  <c r="AH2" i="2" s="1"/>
  <c r="AI2" i="2" s="1"/>
  <c r="AJ2" i="2" s="1"/>
  <c r="AF2" i="2"/>
  <c r="G16" i="2"/>
  <c r="E5" i="2"/>
  <c r="J3" i="2"/>
  <c r="AE3" i="2"/>
  <c r="AE5" i="2" s="1"/>
  <c r="H16" i="2"/>
  <c r="I16" i="2"/>
  <c r="K16" i="2"/>
  <c r="L16" i="2"/>
  <c r="M16" i="2"/>
  <c r="O16" i="2"/>
  <c r="P16" i="2"/>
  <c r="Q16" i="2"/>
  <c r="R16" i="2"/>
  <c r="S16" i="2"/>
  <c r="R7" i="2"/>
  <c r="Q7" i="2"/>
  <c r="P7" i="2"/>
  <c r="O7" i="2"/>
  <c r="N7" i="2"/>
  <c r="M7" i="2"/>
  <c r="L7" i="2"/>
  <c r="K7" i="2"/>
  <c r="J7" i="2"/>
  <c r="I7" i="2"/>
  <c r="H7" i="2"/>
  <c r="G7" i="2"/>
  <c r="F7" i="2"/>
  <c r="E7" i="2"/>
  <c r="D7" i="2"/>
  <c r="C7" i="2"/>
  <c r="R5" i="2"/>
  <c r="R17" i="2" s="1"/>
  <c r="Q5" i="2"/>
  <c r="Q17" i="2" s="1"/>
  <c r="P5" i="2"/>
  <c r="P17" i="2" s="1"/>
  <c r="O5" i="2"/>
  <c r="O17" i="2" s="1"/>
  <c r="N5" i="2"/>
  <c r="N17" i="2" s="1"/>
  <c r="M5" i="2"/>
  <c r="M17" i="2" s="1"/>
  <c r="L5" i="2"/>
  <c r="L17" i="2" s="1"/>
  <c r="K5" i="2"/>
  <c r="K17" i="2" s="1"/>
  <c r="I5" i="2"/>
  <c r="H5" i="2"/>
  <c r="G5" i="2"/>
  <c r="G17" i="2" s="1"/>
  <c r="E17" i="2"/>
  <c r="D5" i="2"/>
  <c r="D17" i="2" s="1"/>
  <c r="C5" i="2"/>
  <c r="C17" i="2" s="1"/>
  <c r="S7" i="2"/>
  <c r="S5" i="2"/>
  <c r="AD16" i="2"/>
  <c r="AA16" i="2"/>
  <c r="AE7" i="2"/>
  <c r="AD7" i="2"/>
  <c r="AC7" i="2"/>
  <c r="AB7" i="2"/>
  <c r="AA7" i="2"/>
  <c r="AD5" i="2"/>
  <c r="AC5" i="2"/>
  <c r="AA5" i="2"/>
  <c r="Z7" i="2"/>
  <c r="V18" i="2" l="1"/>
  <c r="V10" i="2"/>
  <c r="U10" i="2"/>
  <c r="U18" i="2"/>
  <c r="T18" i="2"/>
  <c r="T10" i="2"/>
  <c r="AT12" i="2"/>
  <c r="AI6" i="2"/>
  <c r="AG5" i="2"/>
  <c r="AG8" i="2"/>
  <c r="AG10" i="2" s="1"/>
  <c r="AG11" i="2" s="1"/>
  <c r="AG20" i="2" s="1"/>
  <c r="AG17" i="2"/>
  <c r="AG16" i="2"/>
  <c r="AG4" i="2"/>
  <c r="AF12" i="2"/>
  <c r="Y8" i="2"/>
  <c r="Y18" i="2" s="1"/>
  <c r="X8" i="2"/>
  <c r="H8" i="2"/>
  <c r="H10" i="2" s="1"/>
  <c r="I8" i="2"/>
  <c r="I18" i="2" s="1"/>
  <c r="J5" i="2"/>
  <c r="J8" i="2" s="1"/>
  <c r="J10" i="2" s="1"/>
  <c r="N16" i="2"/>
  <c r="K8" i="2"/>
  <c r="K10" i="2" s="1"/>
  <c r="K20" i="2" s="1"/>
  <c r="G8" i="2"/>
  <c r="G18" i="2" s="1"/>
  <c r="H17" i="2"/>
  <c r="I17" i="2"/>
  <c r="AE16" i="2"/>
  <c r="L8" i="2"/>
  <c r="L10" i="2" s="1"/>
  <c r="L18" i="2"/>
  <c r="H18" i="2"/>
  <c r="I10" i="2"/>
  <c r="M8" i="2"/>
  <c r="N8" i="2"/>
  <c r="O8" i="2"/>
  <c r="P8" i="2"/>
  <c r="Q8" i="2"/>
  <c r="R8" i="2"/>
  <c r="C8" i="2"/>
  <c r="D8" i="2"/>
  <c r="E8" i="2"/>
  <c r="AC8" i="2"/>
  <c r="AC10" i="2" s="1"/>
  <c r="AC12" i="2" s="1"/>
  <c r="AC13" i="2" s="1"/>
  <c r="AA8" i="2"/>
  <c r="AA10" i="2" s="1"/>
  <c r="AA12" i="2" s="1"/>
  <c r="S17" i="2"/>
  <c r="S8" i="2"/>
  <c r="S10" i="2" s="1"/>
  <c r="AD8" i="2"/>
  <c r="AA17" i="2"/>
  <c r="AC17" i="2"/>
  <c r="AD17" i="2"/>
  <c r="AE17" i="2"/>
  <c r="V11" i="2" l="1"/>
  <c r="V20" i="2" s="1"/>
  <c r="V12" i="2"/>
  <c r="U11" i="2"/>
  <c r="U20" i="2" s="1"/>
  <c r="T11" i="2"/>
  <c r="T20" i="2" s="1"/>
  <c r="AU12" i="2"/>
  <c r="AV12" i="2" s="1"/>
  <c r="AW12" i="2" s="1"/>
  <c r="AX12" i="2" s="1"/>
  <c r="AY12" i="2" s="1"/>
  <c r="AZ12" i="2" s="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AJ6" i="2"/>
  <c r="AI7" i="2"/>
  <c r="AH5" i="2"/>
  <c r="AH16" i="2"/>
  <c r="Y10" i="2"/>
  <c r="Y20" i="2" s="1"/>
  <c r="X18" i="2"/>
  <c r="X10" i="2"/>
  <c r="J18" i="2"/>
  <c r="J17" i="2"/>
  <c r="G10" i="2"/>
  <c r="G20" i="2" s="1"/>
  <c r="K12" i="2"/>
  <c r="K19" i="2" s="1"/>
  <c r="K18" i="2"/>
  <c r="O18" i="2"/>
  <c r="O10" i="2"/>
  <c r="L20" i="2"/>
  <c r="L12" i="2"/>
  <c r="N18" i="2"/>
  <c r="N10" i="2"/>
  <c r="M18" i="2"/>
  <c r="M10" i="2"/>
  <c r="J12" i="2"/>
  <c r="J20" i="2"/>
  <c r="I20" i="2"/>
  <c r="I12" i="2"/>
  <c r="E10" i="2"/>
  <c r="E18" i="2"/>
  <c r="D18" i="2"/>
  <c r="D10" i="2"/>
  <c r="C18" i="2"/>
  <c r="C10" i="2"/>
  <c r="H12" i="2"/>
  <c r="H20" i="2"/>
  <c r="R18" i="2"/>
  <c r="R10" i="2"/>
  <c r="Q18" i="2"/>
  <c r="Q10" i="2"/>
  <c r="P18" i="2"/>
  <c r="P10" i="2"/>
  <c r="AC19" i="2"/>
  <c r="S18" i="2"/>
  <c r="AC18" i="2"/>
  <c r="AA18" i="2"/>
  <c r="AC20" i="2"/>
  <c r="AA20" i="2"/>
  <c r="AA13" i="2"/>
  <c r="AA19" i="2"/>
  <c r="AE10" i="2"/>
  <c r="AE18" i="2"/>
  <c r="AD10" i="2"/>
  <c r="AD18" i="2"/>
  <c r="S20" i="2"/>
  <c r="S12" i="2"/>
  <c r="S19" i="2" s="1"/>
  <c r="V19" i="2" l="1"/>
  <c r="V13" i="2"/>
  <c r="U12" i="2"/>
  <c r="T12" i="2"/>
  <c r="T13" i="2" s="1"/>
  <c r="AU17" i="2"/>
  <c r="AU19" i="2" s="1"/>
  <c r="AU20" i="2" s="1"/>
  <c r="AU22" i="2" s="1"/>
  <c r="AK6" i="2"/>
  <c r="AJ7" i="2"/>
  <c r="AH8" i="2"/>
  <c r="AH10" i="2" s="1"/>
  <c r="AH11" i="2" s="1"/>
  <c r="AH20" i="2" s="1"/>
  <c r="AH17" i="2"/>
  <c r="AH4" i="2"/>
  <c r="AI16" i="2"/>
  <c r="AI5" i="2"/>
  <c r="Y12" i="2"/>
  <c r="Y13" i="2" s="1"/>
  <c r="X20" i="2"/>
  <c r="X12" i="2"/>
  <c r="G12" i="2"/>
  <c r="G13" i="2" s="1"/>
  <c r="K13" i="2"/>
  <c r="Q20" i="2"/>
  <c r="Q12" i="2"/>
  <c r="E12" i="2"/>
  <c r="E20" i="2"/>
  <c r="I13" i="2"/>
  <c r="I19" i="2"/>
  <c r="J19" i="2"/>
  <c r="J13" i="2"/>
  <c r="R20" i="2"/>
  <c r="R12" i="2"/>
  <c r="M20" i="2"/>
  <c r="M12" i="2"/>
  <c r="N20" i="2"/>
  <c r="N12" i="2"/>
  <c r="H13" i="2"/>
  <c r="H19" i="2"/>
  <c r="C20" i="2"/>
  <c r="C12" i="2"/>
  <c r="L19" i="2"/>
  <c r="L13" i="2"/>
  <c r="P20" i="2"/>
  <c r="P12" i="2"/>
  <c r="D12" i="2"/>
  <c r="D20" i="2"/>
  <c r="O20" i="2"/>
  <c r="O12" i="2"/>
  <c r="AE12" i="2"/>
  <c r="AE20" i="2"/>
  <c r="AD12" i="2"/>
  <c r="AD20" i="2"/>
  <c r="S13" i="2"/>
  <c r="U13" i="2" l="1"/>
  <c r="U19" i="2"/>
  <c r="T19" i="2"/>
  <c r="AK7" i="2"/>
  <c r="AL6" i="2"/>
  <c r="AI8" i="2"/>
  <c r="AI10" i="2" s="1"/>
  <c r="AI11" i="2" s="1"/>
  <c r="AI20" i="2" s="1"/>
  <c r="AI17" i="2"/>
  <c r="AJ16" i="2"/>
  <c r="AJ5" i="2"/>
  <c r="AI4" i="2"/>
  <c r="Y19" i="2"/>
  <c r="X19" i="2"/>
  <c r="X13" i="2"/>
  <c r="G19" i="2"/>
  <c r="M19" i="2"/>
  <c r="M13" i="2"/>
  <c r="O19" i="2"/>
  <c r="O13" i="2"/>
  <c r="R19" i="2"/>
  <c r="R13" i="2"/>
  <c r="D13" i="2"/>
  <c r="D19" i="2"/>
  <c r="P19" i="2"/>
  <c r="P13" i="2"/>
  <c r="C19" i="2"/>
  <c r="C13" i="2"/>
  <c r="E13" i="2"/>
  <c r="E19" i="2"/>
  <c r="Q19" i="2"/>
  <c r="Q13" i="2"/>
  <c r="N19" i="2"/>
  <c r="N13" i="2"/>
  <c r="AD13" i="2"/>
  <c r="AD19" i="2"/>
  <c r="AE13" i="2"/>
  <c r="AE19" i="2"/>
  <c r="AL7" i="2" l="1"/>
  <c r="AM6" i="2"/>
  <c r="AJ8" i="2"/>
  <c r="AJ10" i="2" s="1"/>
  <c r="AJ11" i="2" s="1"/>
  <c r="AJ20" i="2" s="1"/>
  <c r="AJ17" i="2"/>
  <c r="AK16" i="2"/>
  <c r="AK5" i="2"/>
  <c r="AK4" i="2" s="1"/>
  <c r="AJ4" i="2"/>
  <c r="AM7" i="2" l="1"/>
  <c r="AN6" i="2"/>
  <c r="AL16" i="2"/>
  <c r="AL5" i="2"/>
  <c r="AL4" i="2" s="1"/>
  <c r="AK17" i="2"/>
  <c r="AK8" i="2"/>
  <c r="AK10" i="2" s="1"/>
  <c r="AK11" i="2" s="1"/>
  <c r="AK20" i="2" s="1"/>
  <c r="AN7" i="2" l="1"/>
  <c r="AO6" i="2"/>
  <c r="AL8" i="2"/>
  <c r="AL10" i="2" s="1"/>
  <c r="AL11" i="2" s="1"/>
  <c r="AL20" i="2" s="1"/>
  <c r="AL17" i="2"/>
  <c r="AM16" i="2"/>
  <c r="AM5" i="2"/>
  <c r="AO7" i="2" l="1"/>
  <c r="AP6" i="2"/>
  <c r="AM17" i="2"/>
  <c r="AM8" i="2"/>
  <c r="AM10" i="2" s="1"/>
  <c r="AM11" i="2" s="1"/>
  <c r="AM20" i="2" s="1"/>
  <c r="AN16" i="2"/>
  <c r="AN5" i="2"/>
  <c r="AM4" i="2"/>
  <c r="AP7" i="2" l="1"/>
  <c r="AQ6" i="2"/>
  <c r="AQ7" i="2" s="1"/>
  <c r="AO16" i="2"/>
  <c r="AO5" i="2"/>
  <c r="AN17" i="2"/>
  <c r="AN8" i="2"/>
  <c r="AN10" i="2" s="1"/>
  <c r="AN11" i="2" s="1"/>
  <c r="AN20" i="2" s="1"/>
  <c r="AN4" i="2"/>
  <c r="AO17" i="2" l="1"/>
  <c r="AO8" i="2"/>
  <c r="AO10" i="2" s="1"/>
  <c r="AO11" i="2" s="1"/>
  <c r="AO20" i="2" s="1"/>
  <c r="AO4" i="2"/>
  <c r="AP16" i="2"/>
  <c r="AP5" i="2"/>
  <c r="AP4" i="2" s="1"/>
  <c r="AP17" i="2" l="1"/>
  <c r="AP8" i="2"/>
  <c r="AP10" i="2" s="1"/>
  <c r="AP11" i="2" s="1"/>
  <c r="AP20" i="2" s="1"/>
  <c r="AQ16" i="2"/>
  <c r="AQ5" i="2"/>
  <c r="AQ4" i="2"/>
  <c r="AQ17" i="2" l="1"/>
  <c r="AQ8" i="2"/>
  <c r="AQ10" i="2" s="1"/>
  <c r="AQ11" i="2" s="1"/>
  <c r="AQ20" i="2" s="1"/>
  <c r="Z5" i="2" l="1"/>
  <c r="Z8" i="2" s="1"/>
  <c r="Z10" i="2" s="1"/>
  <c r="AA2" i="2"/>
  <c r="AB2" i="2" s="1"/>
  <c r="AC2" i="2" s="1"/>
  <c r="AD2" i="2" s="1"/>
  <c r="AE2" i="2" s="1"/>
  <c r="Z12" i="2" l="1"/>
  <c r="Z20" i="2"/>
  <c r="K9" i="1"/>
  <c r="AB5" i="2"/>
  <c r="AB17" i="2" s="1"/>
  <c r="AC16" i="2"/>
  <c r="AB16" i="2"/>
  <c r="F3" i="2"/>
  <c r="F5" i="2" s="1"/>
  <c r="F8" i="2" s="1"/>
  <c r="Z13" i="2" l="1"/>
  <c r="Z19" i="2"/>
  <c r="AB8" i="2"/>
  <c r="AB18" i="2" s="1"/>
  <c r="J16" i="2"/>
  <c r="F18" i="2"/>
  <c r="F10" i="2"/>
  <c r="AB10" i="2"/>
  <c r="F17" i="2"/>
  <c r="AB20" i="2" l="1"/>
  <c r="AB12" i="2"/>
  <c r="F20" i="2"/>
  <c r="F12" i="2"/>
  <c r="AB19" i="2" l="1"/>
  <c r="AB13" i="2"/>
  <c r="F13" i="2"/>
  <c r="F19" i="2"/>
</calcChain>
</file>

<file path=xl/sharedStrings.xml><?xml version="1.0" encoding="utf-8"?>
<sst xmlns="http://schemas.openxmlformats.org/spreadsheetml/2006/main" count="78" uniqueCount="78">
  <si>
    <t>Price</t>
  </si>
  <si>
    <t>shares</t>
  </si>
  <si>
    <t>MC</t>
  </si>
  <si>
    <t>Cash</t>
  </si>
  <si>
    <t>Debt</t>
  </si>
  <si>
    <t>EV</t>
  </si>
  <si>
    <t>CEO</t>
  </si>
  <si>
    <t>Revenue</t>
  </si>
  <si>
    <t>COGS</t>
  </si>
  <si>
    <t>Gross profit</t>
  </si>
  <si>
    <t>SG&amp;A</t>
  </si>
  <si>
    <t>Operating Expense</t>
  </si>
  <si>
    <t xml:space="preserve">Oerating Income </t>
  </si>
  <si>
    <t>Pretax Income</t>
  </si>
  <si>
    <t>Taxes</t>
  </si>
  <si>
    <t>Net Income</t>
  </si>
  <si>
    <t>Shares</t>
  </si>
  <si>
    <t>EPS</t>
  </si>
  <si>
    <t>Interest Income</t>
  </si>
  <si>
    <t>Revenue YoY</t>
  </si>
  <si>
    <t>Gross Margin</t>
  </si>
  <si>
    <t>Operating Margin</t>
  </si>
  <si>
    <t>Tax rate</t>
  </si>
  <si>
    <t>Q123</t>
  </si>
  <si>
    <t xml:space="preserve">Net Margin </t>
  </si>
  <si>
    <t>Q422</t>
  </si>
  <si>
    <t>Q322</t>
  </si>
  <si>
    <t>Q222</t>
  </si>
  <si>
    <t>Q122</t>
  </si>
  <si>
    <t>Q421</t>
  </si>
  <si>
    <t>Q321</t>
  </si>
  <si>
    <t>Q221</t>
  </si>
  <si>
    <t>Q121</t>
  </si>
  <si>
    <t>Q419</t>
  </si>
  <si>
    <t>Q120</t>
  </si>
  <si>
    <t>Q220</t>
  </si>
  <si>
    <t>Q320</t>
  </si>
  <si>
    <t>Q420</t>
  </si>
  <si>
    <t>Q119</t>
  </si>
  <si>
    <t>Q219</t>
  </si>
  <si>
    <t>Q319</t>
  </si>
  <si>
    <t>Q223</t>
  </si>
  <si>
    <t>Q323</t>
  </si>
  <si>
    <t>Q423</t>
  </si>
  <si>
    <t>Name</t>
  </si>
  <si>
    <t>Ticker</t>
  </si>
  <si>
    <t>ATR</t>
  </si>
  <si>
    <t>Aptar Group Inc</t>
  </si>
  <si>
    <t>Discount rate</t>
  </si>
  <si>
    <t>NPV</t>
  </si>
  <si>
    <t>Net cash</t>
  </si>
  <si>
    <t>Total Value</t>
  </si>
  <si>
    <t>Per share</t>
  </si>
  <si>
    <t>Current Price</t>
  </si>
  <si>
    <t>Bob Kuhn</t>
  </si>
  <si>
    <t>Stephan Tanda</t>
  </si>
  <si>
    <t>CFO / VP</t>
  </si>
  <si>
    <t>KPIs</t>
  </si>
  <si>
    <t>HR</t>
  </si>
  <si>
    <t>Shiela Vinczeller</t>
  </si>
  <si>
    <t>Asia</t>
  </si>
  <si>
    <t>Xiangwei Gong</t>
  </si>
  <si>
    <t>Kimberly Chainey</t>
  </si>
  <si>
    <t>Gael Touya</t>
  </si>
  <si>
    <t>Marc Prieur</t>
  </si>
  <si>
    <t>Hedi Tlili</t>
  </si>
  <si>
    <t>Pharma</t>
  </si>
  <si>
    <t>Legal Officer</t>
  </si>
  <si>
    <t>Beauty</t>
  </si>
  <si>
    <t>Closure</t>
  </si>
  <si>
    <t>Capex expected at 280-300m</t>
  </si>
  <si>
    <t>FDA approved "Narcan" (growth expected/ new product)</t>
  </si>
  <si>
    <t xml:space="preserve">Maturity </t>
  </si>
  <si>
    <r>
      <rPr>
        <b/>
        <u/>
        <sz val="10"/>
        <rFont val="Arial"/>
        <family val="2"/>
      </rPr>
      <t>Decription :</t>
    </r>
    <r>
      <rPr>
        <sz val="10"/>
        <rFont val="Arial"/>
        <family val="2"/>
      </rPr>
      <t xml:space="preserve"> AptarGroup, Inc. is a designer and manufacturer of a range of drug delivery and consumer product dispensing, sealing and active packaging solutions and services. The Company operates through three segments: Aptar Pharma, Aptar Beauty and Aptar Closures. Aptar Pharma includes operations that sells dispensing systems and sealing solutions and also manufactures and sells elastomeric primary packaging components. The Company's products include stoppers for infusion, antibiotic, lyophilization and diagnostic vials. The Aptar Beauty segment includes operations that sell dispensing systems, drug delivery systems, sealing solutions and services to the prescription drug, consumer health care, injectables, and active material science solutions markets. The Aptar Closures business serves multiple markets, including food, beverage, personal care, home care, beauty and healthcare. This segment offers food protection business and elastomeric flow-control technology business.</t>
    </r>
  </si>
  <si>
    <t xml:space="preserve">Nasal spay for migrane US FDA approved </t>
  </si>
  <si>
    <t>Pharma tartget Q223 at 6-10%</t>
  </si>
  <si>
    <t xml:space="preserve">Pharma + Beauty = Star divison </t>
  </si>
  <si>
    <t>Large capital project due for Q223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</si>
</sst>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6" formatCode="#,##0.0"/>
    <numFmt numFmtId="168" formatCode="0.0%"/>
  </numFmts>
  <fonts count="10" x14ac:knownFonts="1">
    <font>
      <sz val="11"/>
      <color theme="1"/>
      <name val="Calibri"/>
      <family val="2"/>
      <scheme val="minor"/>
    </font>
    <font>
      <b/>
      <sz val="11"/>
      <color theme="1"/>
      <name val="Calibri"/>
      <family val="2"/>
      <scheme val="minor"/>
    </font>
    <font>
      <b/>
      <u/>
      <sz val="11"/>
      <color theme="1"/>
      <name val="Calibri"/>
      <family val="2"/>
      <scheme val="minor"/>
    </font>
    <font>
      <sz val="11"/>
      <color rgb="FF474747"/>
      <name val="Arial"/>
      <family val="2"/>
    </font>
    <font>
      <sz val="11"/>
      <color rgb="FF474747"/>
      <name val="Arial"/>
      <family val="2"/>
    </font>
    <font>
      <sz val="11"/>
      <color theme="9"/>
      <name val="Calibri"/>
      <family val="2"/>
      <scheme val="minor"/>
    </font>
    <font>
      <sz val="11"/>
      <color theme="9"/>
      <name val="Arial"/>
      <family val="2"/>
    </font>
    <font>
      <sz val="10"/>
      <name val="Arial"/>
      <family val="2"/>
    </font>
    <font>
      <b/>
      <u/>
      <sz val="10"/>
      <name val="Arial"/>
      <family val="2"/>
    </font>
    <font>
      <sz val="14"/>
      <color theme="1"/>
      <name val="Calibri"/>
      <family val="2"/>
      <scheme val="minor"/>
    </font>
  </fonts>
  <fills count="2">
    <fill>
      <patternFill patternType="none"/>
    </fill>
    <fill>
      <patternFill patternType="gray125"/>
    </fill>
  </fills>
  <borders count="2">
    <border>
      <left/>
      <right/>
      <top/>
      <bottom/>
      <diagonal/>
    </border>
    <border>
      <left/>
      <right style="thin">
        <color theme="4"/>
      </right>
      <top/>
      <bottom/>
      <diagonal/>
    </border>
  </borders>
  <cellStyleXfs count="1">
    <xf numFmtId="0" fontId="0" fillId="0" borderId="0"/>
  </cellStyleXfs>
  <cellXfs count="38">
    <xf numFmtId="0" fontId="0" fillId="0" borderId="0" xfId="0"/>
    <xf numFmtId="4" fontId="0" fillId="0" borderId="0" xfId="0" applyNumberFormat="1"/>
    <xf numFmtId="0" fontId="1" fillId="0" borderId="0" xfId="0" applyFont="1"/>
    <xf numFmtId="9" fontId="0" fillId="0" borderId="0" xfId="0" applyNumberFormat="1"/>
    <xf numFmtId="0" fontId="2" fillId="0" borderId="0" xfId="0" applyFont="1"/>
    <xf numFmtId="0" fontId="0" fillId="0" borderId="1" xfId="0" applyBorder="1"/>
    <xf numFmtId="0" fontId="1" fillId="0" borderId="1" xfId="0" applyFont="1" applyBorder="1"/>
    <xf numFmtId="4" fontId="0" fillId="0" borderId="1" xfId="0" applyNumberFormat="1" applyBorder="1"/>
    <xf numFmtId="9" fontId="0" fillId="0" borderId="1" xfId="0" applyNumberFormat="1" applyBorder="1"/>
    <xf numFmtId="0" fontId="1" fillId="0" borderId="0" xfId="0" applyFont="1" applyFill="1" applyBorder="1"/>
    <xf numFmtId="0" fontId="1" fillId="0" borderId="0" xfId="0" applyFont="1" applyAlignment="1">
      <alignment horizontal="right"/>
    </xf>
    <xf numFmtId="166" fontId="0" fillId="0" borderId="0" xfId="0" applyNumberFormat="1"/>
    <xf numFmtId="166" fontId="0" fillId="0" borderId="1" xfId="0" applyNumberFormat="1" applyBorder="1"/>
    <xf numFmtId="9" fontId="1" fillId="0" borderId="0" xfId="0" applyNumberFormat="1" applyFont="1"/>
    <xf numFmtId="9" fontId="1" fillId="0" borderId="1" xfId="0" applyNumberFormat="1" applyFont="1" applyBorder="1"/>
    <xf numFmtId="0" fontId="0" fillId="0" borderId="0" xfId="0" applyBorder="1"/>
    <xf numFmtId="166" fontId="0" fillId="0" borderId="0" xfId="0" applyNumberFormat="1" applyBorder="1"/>
    <xf numFmtId="9" fontId="1" fillId="0" borderId="0" xfId="0" applyNumberFormat="1" applyFont="1" applyBorder="1"/>
    <xf numFmtId="9" fontId="0" fillId="0" borderId="0" xfId="0" applyNumberFormat="1" applyBorder="1"/>
    <xf numFmtId="4" fontId="0" fillId="0" borderId="0" xfId="0" applyNumberFormat="1" applyBorder="1"/>
    <xf numFmtId="3" fontId="0" fillId="0" borderId="0" xfId="0" applyNumberFormat="1"/>
    <xf numFmtId="3" fontId="0" fillId="0" borderId="1" xfId="0" applyNumberFormat="1" applyBorder="1"/>
    <xf numFmtId="3" fontId="0" fillId="0" borderId="0" xfId="0" applyNumberFormat="1" applyBorder="1"/>
    <xf numFmtId="3" fontId="0" fillId="0" borderId="0" xfId="0" applyNumberFormat="1" applyFill="1" applyBorder="1"/>
    <xf numFmtId="8" fontId="0" fillId="0" borderId="0" xfId="0" applyNumberFormat="1"/>
    <xf numFmtId="3" fontId="1" fillId="0" borderId="0" xfId="0" applyNumberFormat="1" applyFont="1"/>
    <xf numFmtId="3" fontId="1" fillId="0" borderId="1" xfId="0" applyNumberFormat="1" applyFont="1" applyBorder="1"/>
    <xf numFmtId="3" fontId="1" fillId="0" borderId="0" xfId="0" applyNumberFormat="1" applyFont="1" applyBorder="1"/>
    <xf numFmtId="3" fontId="1" fillId="0" borderId="0" xfId="0" applyNumberFormat="1" applyFont="1" applyFill="1" applyBorder="1"/>
    <xf numFmtId="168" fontId="0" fillId="0" borderId="0" xfId="0" applyNumberFormat="1"/>
    <xf numFmtId="0" fontId="3" fillId="0" borderId="0" xfId="0" applyFont="1"/>
    <xf numFmtId="0" fontId="0" fillId="0" borderId="0" xfId="0" applyFont="1"/>
    <xf numFmtId="0" fontId="4" fillId="0" borderId="0" xfId="0" applyFont="1" applyAlignment="1">
      <alignment vertical="center" wrapText="1"/>
    </xf>
    <xf numFmtId="0" fontId="5" fillId="0" borderId="0" xfId="0" applyFont="1"/>
    <xf numFmtId="0" fontId="6" fillId="0" borderId="0" xfId="0" applyFont="1" applyAlignment="1">
      <alignment vertical="center" wrapText="1"/>
    </xf>
    <xf numFmtId="0" fontId="7" fillId="0" borderId="0" xfId="0" applyFont="1" applyAlignment="1">
      <alignment wrapText="1"/>
    </xf>
    <xf numFmtId="0" fontId="7" fillId="0" borderId="0" xfId="0" applyFont="1" applyAlignment="1">
      <alignment horizontal="center"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78AF-DD08-496D-AAD3-D31FA393F47D}">
  <dimension ref="C3:K30"/>
  <sheetViews>
    <sheetView workbookViewId="0">
      <selection activeCell="C30" sqref="C30"/>
    </sheetView>
  </sheetViews>
  <sheetFormatPr defaultRowHeight="15" x14ac:dyDescent="0.25"/>
  <cols>
    <col min="3" max="3" width="50.85546875" customWidth="1"/>
    <col min="4" max="4" width="20.5703125" customWidth="1"/>
    <col min="10" max="10" width="12.140625" bestFit="1" customWidth="1"/>
    <col min="11" max="11" width="15.28515625" bestFit="1" customWidth="1"/>
  </cols>
  <sheetData>
    <row r="3" spans="3:11" ht="18.75" x14ac:dyDescent="0.3">
      <c r="C3" s="37" t="s">
        <v>44</v>
      </c>
      <c r="D3" s="37" t="s">
        <v>47</v>
      </c>
    </row>
    <row r="4" spans="3:11" ht="18.75" x14ac:dyDescent="0.3">
      <c r="C4" s="37" t="s">
        <v>45</v>
      </c>
      <c r="D4" s="37" t="s">
        <v>46</v>
      </c>
      <c r="J4" t="s">
        <v>0</v>
      </c>
      <c r="K4" s="1">
        <v>119.62</v>
      </c>
    </row>
    <row r="5" spans="3:11" x14ac:dyDescent="0.25">
      <c r="J5" t="s">
        <v>1</v>
      </c>
      <c r="K5" s="1">
        <v>65.400000000000006</v>
      </c>
    </row>
    <row r="6" spans="3:11" x14ac:dyDescent="0.25">
      <c r="C6" s="4" t="s">
        <v>57</v>
      </c>
      <c r="J6" t="s">
        <v>2</v>
      </c>
      <c r="K6" s="1">
        <v>7840</v>
      </c>
    </row>
    <row r="7" spans="3:11" x14ac:dyDescent="0.25">
      <c r="C7" s="31" t="s">
        <v>74</v>
      </c>
      <c r="J7" t="s">
        <v>3</v>
      </c>
      <c r="K7" s="1">
        <v>126.8</v>
      </c>
    </row>
    <row r="8" spans="3:11" x14ac:dyDescent="0.25">
      <c r="C8" t="s">
        <v>71</v>
      </c>
      <c r="J8" t="s">
        <v>4</v>
      </c>
      <c r="K8" s="1">
        <v>1187.4000000000001</v>
      </c>
    </row>
    <row r="9" spans="3:11" x14ac:dyDescent="0.25">
      <c r="C9" t="s">
        <v>75</v>
      </c>
      <c r="J9" t="s">
        <v>5</v>
      </c>
      <c r="K9" s="1">
        <f>+K6+K8-K7</f>
        <v>8900.6</v>
      </c>
    </row>
    <row r="10" spans="3:11" x14ac:dyDescent="0.25">
      <c r="C10" t="s">
        <v>70</v>
      </c>
    </row>
    <row r="11" spans="3:11" x14ac:dyDescent="0.25">
      <c r="C11" t="s">
        <v>76</v>
      </c>
    </row>
    <row r="12" spans="3:11" x14ac:dyDescent="0.25">
      <c r="C12" t="s">
        <v>77</v>
      </c>
    </row>
    <row r="13" spans="3:11" x14ac:dyDescent="0.25">
      <c r="J13" s="31" t="s">
        <v>6</v>
      </c>
      <c r="K13" s="30" t="s">
        <v>55</v>
      </c>
    </row>
    <row r="14" spans="3:11" ht="15" customHeight="1" x14ac:dyDescent="0.25">
      <c r="C14" s="36" t="s">
        <v>73</v>
      </c>
      <c r="D14" s="36"/>
      <c r="E14" s="36"/>
      <c r="F14" s="35"/>
      <c r="G14" s="35"/>
      <c r="J14" s="31" t="s">
        <v>56</v>
      </c>
      <c r="K14" s="30" t="s">
        <v>54</v>
      </c>
    </row>
    <row r="15" spans="3:11" ht="15" customHeight="1" x14ac:dyDescent="0.25">
      <c r="C15" s="36"/>
      <c r="D15" s="36"/>
      <c r="E15" s="36"/>
      <c r="F15" s="35"/>
      <c r="G15" s="35"/>
      <c r="J15" s="31" t="s">
        <v>58</v>
      </c>
      <c r="K15" s="30" t="s">
        <v>59</v>
      </c>
    </row>
    <row r="16" spans="3:11" x14ac:dyDescent="0.25">
      <c r="C16" s="36"/>
      <c r="D16" s="36"/>
      <c r="E16" s="36"/>
      <c r="F16" s="35"/>
      <c r="G16" s="35"/>
      <c r="J16" s="31" t="s">
        <v>60</v>
      </c>
      <c r="K16" s="32" t="s">
        <v>61</v>
      </c>
    </row>
    <row r="17" spans="3:11" ht="28.5" x14ac:dyDescent="0.25">
      <c r="C17" s="36"/>
      <c r="D17" s="36"/>
      <c r="E17" s="36"/>
      <c r="F17" s="35"/>
      <c r="G17" s="35"/>
      <c r="J17" s="31" t="s">
        <v>67</v>
      </c>
      <c r="K17" s="32" t="s">
        <v>62</v>
      </c>
    </row>
    <row r="18" spans="3:11" x14ac:dyDescent="0.25">
      <c r="C18" s="36"/>
      <c r="D18" s="36"/>
      <c r="E18" s="36"/>
      <c r="F18" s="35"/>
      <c r="G18" s="35"/>
      <c r="J18" s="33" t="s">
        <v>66</v>
      </c>
      <c r="K18" s="34" t="s">
        <v>63</v>
      </c>
    </row>
    <row r="19" spans="3:11" x14ac:dyDescent="0.25">
      <c r="C19" s="36"/>
      <c r="D19" s="36"/>
      <c r="E19" s="36"/>
      <c r="F19" s="35"/>
      <c r="G19" s="35"/>
      <c r="J19" s="33" t="s">
        <v>68</v>
      </c>
      <c r="K19" s="34" t="s">
        <v>64</v>
      </c>
    </row>
    <row r="20" spans="3:11" x14ac:dyDescent="0.25">
      <c r="C20" s="36"/>
      <c r="D20" s="36"/>
      <c r="E20" s="36"/>
      <c r="F20" s="35"/>
      <c r="G20" s="35"/>
      <c r="J20" s="31" t="s">
        <v>69</v>
      </c>
      <c r="K20" s="32" t="s">
        <v>65</v>
      </c>
    </row>
    <row r="21" spans="3:11" x14ac:dyDescent="0.25">
      <c r="C21" s="36"/>
      <c r="D21" s="36"/>
      <c r="E21" s="36"/>
      <c r="F21" s="35"/>
      <c r="G21" s="35"/>
      <c r="I21" s="33"/>
    </row>
    <row r="22" spans="3:11" x14ac:dyDescent="0.25">
      <c r="C22" s="36"/>
      <c r="D22" s="36"/>
      <c r="E22" s="36"/>
      <c r="F22" s="35"/>
      <c r="G22" s="35"/>
    </row>
    <row r="23" spans="3:11" x14ac:dyDescent="0.25">
      <c r="C23" s="36"/>
      <c r="D23" s="36"/>
      <c r="E23" s="36"/>
      <c r="F23" s="35"/>
      <c r="G23" s="35"/>
    </row>
    <row r="24" spans="3:11" x14ac:dyDescent="0.25">
      <c r="C24" s="36"/>
      <c r="D24" s="36"/>
      <c r="E24" s="36"/>
      <c r="F24" s="35"/>
      <c r="G24" s="35"/>
    </row>
    <row r="25" spans="3:11" x14ac:dyDescent="0.25">
      <c r="C25" s="36"/>
      <c r="D25" s="36"/>
      <c r="E25" s="36"/>
      <c r="F25" s="35"/>
      <c r="G25" s="35"/>
    </row>
    <row r="26" spans="3:11" x14ac:dyDescent="0.25">
      <c r="C26" s="35"/>
      <c r="D26" s="35"/>
      <c r="E26" s="35"/>
      <c r="F26" s="35"/>
      <c r="G26" s="35"/>
    </row>
    <row r="27" spans="3:11" x14ac:dyDescent="0.25">
      <c r="C27" s="35"/>
      <c r="D27" s="35"/>
      <c r="E27" s="35"/>
      <c r="F27" s="35"/>
      <c r="G27" s="35"/>
    </row>
    <row r="28" spans="3:11" x14ac:dyDescent="0.25">
      <c r="C28" s="35"/>
      <c r="D28" s="35"/>
      <c r="E28" s="35"/>
      <c r="F28" s="35"/>
      <c r="G28" s="35"/>
    </row>
    <row r="29" spans="3:11" x14ac:dyDescent="0.25">
      <c r="C29" s="35"/>
      <c r="D29" s="35"/>
      <c r="E29" s="35"/>
      <c r="F29" s="35"/>
      <c r="G29" s="35"/>
    </row>
    <row r="30" spans="3:11" x14ac:dyDescent="0.25">
      <c r="C30" s="35"/>
      <c r="D30" s="35"/>
      <c r="E30" s="35"/>
      <c r="F30" s="35"/>
      <c r="G30" s="35"/>
    </row>
  </sheetData>
  <mergeCells count="1">
    <mergeCell ref="C14:E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B18F1-825D-4766-BC6A-A53F7C086424}">
  <dimension ref="B1:BU22"/>
  <sheetViews>
    <sheetView tabSelected="1" topLeftCell="B1" zoomScale="80" zoomScaleNormal="80" workbookViewId="0">
      <pane xSplit="1" ySplit="2" topLeftCell="C3" activePane="bottomRight" state="frozen"/>
      <selection activeCell="B1" sqref="B1"/>
      <selection pane="topRight" activeCell="C1" sqref="C1"/>
      <selection pane="bottomLeft" activeCell="B3" sqref="B3"/>
      <selection pane="bottomRight" activeCell="F27" sqref="F27"/>
    </sheetView>
  </sheetViews>
  <sheetFormatPr defaultRowHeight="15" x14ac:dyDescent="0.25"/>
  <cols>
    <col min="2" max="2" width="19.85546875" bestFit="1" customWidth="1"/>
    <col min="3" max="15" width="18" customWidth="1"/>
    <col min="19" max="19" width="9.140625" style="5"/>
    <col min="31" max="31" width="9.140625" style="5"/>
    <col min="32" max="32" width="9.140625" style="15"/>
    <col min="46" max="46" width="15.7109375" bestFit="1" customWidth="1"/>
    <col min="47" max="47" width="18.7109375" bestFit="1" customWidth="1"/>
  </cols>
  <sheetData>
    <row r="1" spans="2:73" x14ac:dyDescent="0.25">
      <c r="B1" s="4"/>
      <c r="C1" s="4"/>
      <c r="D1" s="4"/>
      <c r="E1" s="4"/>
      <c r="F1" s="4"/>
      <c r="G1" s="4"/>
      <c r="H1" s="4"/>
      <c r="I1" s="4"/>
      <c r="J1" s="4"/>
      <c r="K1" s="4"/>
      <c r="L1" s="4"/>
      <c r="M1" s="4"/>
      <c r="N1" s="4"/>
      <c r="O1" s="4"/>
      <c r="T1" s="15"/>
      <c r="U1" s="15"/>
      <c r="V1" s="15"/>
    </row>
    <row r="2" spans="2:73" x14ac:dyDescent="0.25">
      <c r="C2" s="10" t="s">
        <v>38</v>
      </c>
      <c r="D2" s="10" t="s">
        <v>39</v>
      </c>
      <c r="E2" s="10" t="s">
        <v>40</v>
      </c>
      <c r="F2" s="10" t="s">
        <v>33</v>
      </c>
      <c r="G2" s="10" t="s">
        <v>34</v>
      </c>
      <c r="H2" s="10" t="s">
        <v>35</v>
      </c>
      <c r="I2" s="10" t="s">
        <v>36</v>
      </c>
      <c r="J2" s="10" t="s">
        <v>37</v>
      </c>
      <c r="K2" s="2" t="s">
        <v>32</v>
      </c>
      <c r="L2" s="2" t="s">
        <v>31</v>
      </c>
      <c r="M2" s="2" t="s">
        <v>30</v>
      </c>
      <c r="N2" s="2" t="s">
        <v>29</v>
      </c>
      <c r="O2" s="2" t="s">
        <v>28</v>
      </c>
      <c r="P2" s="2" t="s">
        <v>27</v>
      </c>
      <c r="Q2" s="2" t="s">
        <v>26</v>
      </c>
      <c r="R2" s="2" t="s">
        <v>25</v>
      </c>
      <c r="S2" s="6" t="s">
        <v>23</v>
      </c>
      <c r="T2" s="9" t="s">
        <v>41</v>
      </c>
      <c r="U2" s="9" t="s">
        <v>42</v>
      </c>
      <c r="V2" s="9" t="s">
        <v>43</v>
      </c>
      <c r="W2" s="9"/>
      <c r="X2" s="9">
        <v>2015</v>
      </c>
      <c r="Y2" s="9">
        <v>2016</v>
      </c>
      <c r="Z2" s="2">
        <v>2017</v>
      </c>
      <c r="AA2" s="2">
        <f>+Z2+1</f>
        <v>2018</v>
      </c>
      <c r="AB2" s="2">
        <f t="shared" ref="AB2:AE2" si="0">+AA2+1</f>
        <v>2019</v>
      </c>
      <c r="AC2" s="2">
        <f t="shared" si="0"/>
        <v>2020</v>
      </c>
      <c r="AD2" s="2">
        <f t="shared" si="0"/>
        <v>2021</v>
      </c>
      <c r="AE2" s="6">
        <f t="shared" si="0"/>
        <v>2022</v>
      </c>
      <c r="AF2" s="9">
        <f>+AE2+1</f>
        <v>2023</v>
      </c>
      <c r="AG2" s="9">
        <f t="shared" ref="AG2:AQ2" si="1">+AF2+1</f>
        <v>2024</v>
      </c>
      <c r="AH2" s="9">
        <f t="shared" si="1"/>
        <v>2025</v>
      </c>
      <c r="AI2" s="9">
        <f t="shared" si="1"/>
        <v>2026</v>
      </c>
      <c r="AJ2" s="9">
        <f t="shared" si="1"/>
        <v>2027</v>
      </c>
      <c r="AK2" s="9">
        <f t="shared" si="1"/>
        <v>2028</v>
      </c>
      <c r="AL2" s="9">
        <f t="shared" si="1"/>
        <v>2029</v>
      </c>
      <c r="AM2" s="9">
        <f t="shared" si="1"/>
        <v>2030</v>
      </c>
      <c r="AN2" s="9">
        <f t="shared" si="1"/>
        <v>2031</v>
      </c>
      <c r="AO2" s="9">
        <f t="shared" si="1"/>
        <v>2032</v>
      </c>
      <c r="AP2" s="9">
        <f t="shared" si="1"/>
        <v>2033</v>
      </c>
      <c r="AQ2" s="9">
        <f t="shared" si="1"/>
        <v>2034</v>
      </c>
    </row>
    <row r="3" spans="2:73" x14ac:dyDescent="0.25">
      <c r="B3" s="2" t="s">
        <v>7</v>
      </c>
      <c r="C3" s="25">
        <v>744.46</v>
      </c>
      <c r="D3" s="25">
        <v>742.66099999999994</v>
      </c>
      <c r="E3" s="25">
        <v>701.27800000000002</v>
      </c>
      <c r="F3" s="25">
        <f>+AB3-E3-D3-C3</f>
        <v>671.30099999999948</v>
      </c>
      <c r="G3" s="25">
        <v>721.5</v>
      </c>
      <c r="H3" s="25">
        <v>699.3</v>
      </c>
      <c r="I3" s="25">
        <v>759.1</v>
      </c>
      <c r="J3" s="25">
        <f>+AC3-I3-H3-G3</f>
        <v>749.40000000000032</v>
      </c>
      <c r="K3" s="25">
        <v>776.7</v>
      </c>
      <c r="L3" s="25">
        <v>811</v>
      </c>
      <c r="M3" s="25">
        <v>825.4</v>
      </c>
      <c r="N3" s="25">
        <v>814</v>
      </c>
      <c r="O3" s="25">
        <v>844.9</v>
      </c>
      <c r="P3" s="25">
        <v>844.5</v>
      </c>
      <c r="Q3" s="25">
        <v>836.9</v>
      </c>
      <c r="R3" s="25">
        <v>795.9</v>
      </c>
      <c r="S3" s="26">
        <v>860.1</v>
      </c>
      <c r="T3" s="27">
        <f>+P3*1.05</f>
        <v>886.72500000000002</v>
      </c>
      <c r="U3" s="27">
        <f>+Q3*1.06</f>
        <v>887.11400000000003</v>
      </c>
      <c r="V3" s="27">
        <f>+R3*1.05</f>
        <v>835.69500000000005</v>
      </c>
      <c r="W3" s="25"/>
      <c r="X3" s="25">
        <v>2317.1489999999999</v>
      </c>
      <c r="Y3" s="25">
        <v>2330.9340000000002</v>
      </c>
      <c r="Z3" s="25">
        <v>2469.3000000000002</v>
      </c>
      <c r="AA3" s="25">
        <v>2764.8</v>
      </c>
      <c r="AB3" s="25">
        <v>2859.7</v>
      </c>
      <c r="AC3" s="25">
        <v>2929.3</v>
      </c>
      <c r="AD3" s="25">
        <v>3227.2</v>
      </c>
      <c r="AE3" s="26">
        <f>+SUM(O3:R3)</f>
        <v>3322.2000000000003</v>
      </c>
      <c r="AF3" s="27">
        <f>+SUM(S3:V3)</f>
        <v>3469.6340000000005</v>
      </c>
      <c r="AG3" s="25">
        <f>+AF3*1.05</f>
        <v>3643.1157000000007</v>
      </c>
      <c r="AH3" s="25">
        <f t="shared" ref="AH3:AQ3" si="2">+AG3*1.03</f>
        <v>3752.4091710000007</v>
      </c>
      <c r="AI3" s="25">
        <f t="shared" si="2"/>
        <v>3864.9814461300007</v>
      </c>
      <c r="AJ3" s="25">
        <f t="shared" si="2"/>
        <v>3980.9308895139006</v>
      </c>
      <c r="AK3" s="25">
        <f t="shared" si="2"/>
        <v>4100.3588161993175</v>
      </c>
      <c r="AL3" s="25">
        <f t="shared" si="2"/>
        <v>4223.3695806852975</v>
      </c>
      <c r="AM3" s="25">
        <f t="shared" si="2"/>
        <v>4350.0706681058564</v>
      </c>
      <c r="AN3" s="25">
        <f t="shared" si="2"/>
        <v>4480.572788149032</v>
      </c>
      <c r="AO3" s="25">
        <f t="shared" si="2"/>
        <v>4614.9899717935032</v>
      </c>
      <c r="AP3" s="25">
        <f t="shared" si="2"/>
        <v>4753.4396709473085</v>
      </c>
      <c r="AQ3" s="25">
        <f t="shared" si="2"/>
        <v>4896.0428610757281</v>
      </c>
    </row>
    <row r="4" spans="2:73" x14ac:dyDescent="0.25">
      <c r="B4" t="s">
        <v>8</v>
      </c>
      <c r="C4" s="20">
        <v>469.13200000000001</v>
      </c>
      <c r="D4" s="20">
        <v>469.44099999999997</v>
      </c>
      <c r="E4" s="20">
        <v>444.23700000000002</v>
      </c>
      <c r="F4" s="20">
        <v>557.4</v>
      </c>
      <c r="G4" s="20">
        <v>451.2</v>
      </c>
      <c r="H4" s="20">
        <v>441.7</v>
      </c>
      <c r="I4" s="20">
        <v>479.6</v>
      </c>
      <c r="J4" s="20">
        <v>557.4</v>
      </c>
      <c r="K4" s="20">
        <v>488.7</v>
      </c>
      <c r="L4" s="20">
        <v>523.1</v>
      </c>
      <c r="M4" s="20">
        <v>537.1</v>
      </c>
      <c r="N4" s="20">
        <v>521.70000000000005</v>
      </c>
      <c r="O4" s="20">
        <v>542.70000000000005</v>
      </c>
      <c r="P4" s="20">
        <v>549</v>
      </c>
      <c r="Q4" s="20">
        <v>546.4</v>
      </c>
      <c r="R4" s="20">
        <v>520.29999999999995</v>
      </c>
      <c r="S4" s="21">
        <v>557.4</v>
      </c>
      <c r="T4" s="22">
        <f>+T3-T5</f>
        <v>567.50400000000002</v>
      </c>
      <c r="U4" s="22">
        <f t="shared" ref="U4:V4" si="3">+U3-U5</f>
        <v>567.75296000000003</v>
      </c>
      <c r="V4" s="22">
        <f t="shared" si="3"/>
        <v>534.84480000000008</v>
      </c>
      <c r="W4" s="20"/>
      <c r="X4" s="20">
        <v>1502.65</v>
      </c>
      <c r="Y4" s="20">
        <v>1498.07</v>
      </c>
      <c r="Z4" s="20">
        <v>1603.1</v>
      </c>
      <c r="AA4" s="20">
        <v>1798.8</v>
      </c>
      <c r="AB4" s="20">
        <v>1817.2</v>
      </c>
      <c r="AC4" s="20">
        <v>1842.8</v>
      </c>
      <c r="AD4" s="20">
        <v>2070.5</v>
      </c>
      <c r="AE4" s="21">
        <v>2158.4</v>
      </c>
      <c r="AF4" s="22">
        <f>+SUM(S4:V4)</f>
        <v>2227.5017600000001</v>
      </c>
      <c r="AG4" s="20">
        <f>+AG3-AG5</f>
        <v>2368.0252050000008</v>
      </c>
      <c r="AH4" s="20">
        <f t="shared" ref="AH4:AQ4" si="4">+AH3-AH5</f>
        <v>2439.0659611500005</v>
      </c>
      <c r="AI4" s="20">
        <f t="shared" si="4"/>
        <v>2512.2379399845004</v>
      </c>
      <c r="AJ4" s="20">
        <f t="shared" si="4"/>
        <v>2587.6050781840354</v>
      </c>
      <c r="AK4" s="20">
        <f t="shared" si="4"/>
        <v>2665.2332305295567</v>
      </c>
      <c r="AL4" s="20">
        <f t="shared" si="4"/>
        <v>2745.1902274454433</v>
      </c>
      <c r="AM4" s="20">
        <f t="shared" si="4"/>
        <v>2827.5459342688068</v>
      </c>
      <c r="AN4" s="20">
        <f t="shared" si="4"/>
        <v>2912.3723122968709</v>
      </c>
      <c r="AO4" s="20">
        <f t="shared" si="4"/>
        <v>2999.7434816657769</v>
      </c>
      <c r="AP4" s="20">
        <f t="shared" si="4"/>
        <v>3089.7357861157507</v>
      </c>
      <c r="AQ4" s="20">
        <f t="shared" si="4"/>
        <v>3182.4278596992235</v>
      </c>
    </row>
    <row r="5" spans="2:73" x14ac:dyDescent="0.25">
      <c r="B5" t="s">
        <v>9</v>
      </c>
      <c r="C5" s="20">
        <f t="shared" ref="C5:R5" si="5">+C3-C4</f>
        <v>275.32800000000003</v>
      </c>
      <c r="D5" s="20">
        <f t="shared" si="5"/>
        <v>273.21999999999997</v>
      </c>
      <c r="E5" s="20">
        <f t="shared" si="5"/>
        <v>257.041</v>
      </c>
      <c r="F5" s="20">
        <f t="shared" si="5"/>
        <v>113.9009999999995</v>
      </c>
      <c r="G5" s="20">
        <f t="shared" si="5"/>
        <v>270.3</v>
      </c>
      <c r="H5" s="20">
        <f t="shared" si="5"/>
        <v>257.59999999999997</v>
      </c>
      <c r="I5" s="20">
        <f t="shared" si="5"/>
        <v>279.5</v>
      </c>
      <c r="J5" s="20">
        <f t="shared" si="5"/>
        <v>192.00000000000034</v>
      </c>
      <c r="K5" s="20">
        <f t="shared" si="5"/>
        <v>288.00000000000006</v>
      </c>
      <c r="L5" s="20">
        <f t="shared" si="5"/>
        <v>287.89999999999998</v>
      </c>
      <c r="M5" s="20">
        <f t="shared" si="5"/>
        <v>288.29999999999995</v>
      </c>
      <c r="N5" s="20">
        <f t="shared" si="5"/>
        <v>292.29999999999995</v>
      </c>
      <c r="O5" s="20">
        <f t="shared" si="5"/>
        <v>302.19999999999993</v>
      </c>
      <c r="P5" s="20">
        <f t="shared" si="5"/>
        <v>295.5</v>
      </c>
      <c r="Q5" s="20">
        <f t="shared" si="5"/>
        <v>290.5</v>
      </c>
      <c r="R5" s="20">
        <f t="shared" si="5"/>
        <v>275.60000000000002</v>
      </c>
      <c r="S5" s="21">
        <f>+S3-S4</f>
        <v>302.70000000000005</v>
      </c>
      <c r="T5" s="22">
        <f>+T3*0.36</f>
        <v>319.221</v>
      </c>
      <c r="U5" s="22">
        <f t="shared" ref="U5:V5" si="6">+U3*0.36</f>
        <v>319.36104</v>
      </c>
      <c r="V5" s="22">
        <f t="shared" si="6"/>
        <v>300.85020000000003</v>
      </c>
      <c r="W5" s="20"/>
      <c r="X5" s="20">
        <f t="shared" ref="X5" si="7">+X3-X4</f>
        <v>814.4989999999998</v>
      </c>
      <c r="Y5" s="20">
        <f t="shared" ref="Y5:AF5" si="8">+Y3-Y4</f>
        <v>832.86400000000026</v>
      </c>
      <c r="Z5" s="20">
        <f>+Z3-Z4</f>
        <v>866.20000000000027</v>
      </c>
      <c r="AA5" s="20">
        <f t="shared" si="8"/>
        <v>966.00000000000023</v>
      </c>
      <c r="AB5" s="20">
        <f t="shared" si="8"/>
        <v>1042.4999999999998</v>
      </c>
      <c r="AC5" s="20">
        <f t="shared" si="8"/>
        <v>1086.5000000000002</v>
      </c>
      <c r="AD5" s="20">
        <f t="shared" si="8"/>
        <v>1156.6999999999998</v>
      </c>
      <c r="AE5" s="21">
        <f t="shared" si="8"/>
        <v>1163.8000000000002</v>
      </c>
      <c r="AF5" s="23">
        <f>+AF3*0.35</f>
        <v>1214.3719000000001</v>
      </c>
      <c r="AG5" s="23">
        <f>+AG3*0.35</f>
        <v>1275.0904950000001</v>
      </c>
      <c r="AH5" s="23">
        <f t="shared" ref="AH5:AQ5" si="9">+AH3*0.35</f>
        <v>1313.3432098500002</v>
      </c>
      <c r="AI5" s="23">
        <f t="shared" si="9"/>
        <v>1352.7435061455001</v>
      </c>
      <c r="AJ5" s="23">
        <f t="shared" si="9"/>
        <v>1393.3258113298652</v>
      </c>
      <c r="AK5" s="23">
        <f t="shared" si="9"/>
        <v>1435.125585669761</v>
      </c>
      <c r="AL5" s="23">
        <f t="shared" si="9"/>
        <v>1478.179353239854</v>
      </c>
      <c r="AM5" s="23">
        <f t="shared" si="9"/>
        <v>1522.5247338370496</v>
      </c>
      <c r="AN5" s="23">
        <f t="shared" si="9"/>
        <v>1568.2004758521612</v>
      </c>
      <c r="AO5" s="23">
        <f t="shared" si="9"/>
        <v>1615.246490127726</v>
      </c>
      <c r="AP5" s="23">
        <f t="shared" si="9"/>
        <v>1663.7038848315578</v>
      </c>
      <c r="AQ5" s="23">
        <f t="shared" si="9"/>
        <v>1713.6150013765048</v>
      </c>
    </row>
    <row r="6" spans="2:73" x14ac:dyDescent="0.25">
      <c r="B6" t="s">
        <v>10</v>
      </c>
      <c r="C6" s="20">
        <v>121.215</v>
      </c>
      <c r="D6" s="20">
        <v>113.752</v>
      </c>
      <c r="E6" s="20">
        <v>111.559</v>
      </c>
      <c r="F6" s="20">
        <v>147.80000000000001</v>
      </c>
      <c r="G6" s="20">
        <v>126.2</v>
      </c>
      <c r="H6" s="20">
        <v>123.3</v>
      </c>
      <c r="I6" s="20">
        <v>121.8</v>
      </c>
      <c r="J6" s="20">
        <v>147.80000000000001</v>
      </c>
      <c r="K6" s="20">
        <v>134.30000000000001</v>
      </c>
      <c r="L6" s="20">
        <v>138.5</v>
      </c>
      <c r="M6" s="20">
        <v>140.5</v>
      </c>
      <c r="N6" s="20">
        <v>145.5</v>
      </c>
      <c r="O6" s="20">
        <v>145.5</v>
      </c>
      <c r="P6" s="20">
        <v>135.4</v>
      </c>
      <c r="Q6" s="20">
        <v>135.4</v>
      </c>
      <c r="R6" s="20">
        <v>127.7</v>
      </c>
      <c r="S6" s="21">
        <v>147.80000000000001</v>
      </c>
      <c r="T6" s="22">
        <f>133.178+2.5</f>
        <v>135.678</v>
      </c>
      <c r="U6" s="22">
        <f>133.178+2.5</f>
        <v>135.678</v>
      </c>
      <c r="V6" s="22">
        <f>133.178+2.5</f>
        <v>135.678</v>
      </c>
      <c r="W6" s="20"/>
      <c r="X6" s="20">
        <v>351.46100000000001</v>
      </c>
      <c r="Y6" s="20">
        <v>367.56200000000001</v>
      </c>
      <c r="Z6" s="20">
        <v>387.4</v>
      </c>
      <c r="AA6" s="20">
        <v>420.4</v>
      </c>
      <c r="AB6" s="20">
        <v>450.7</v>
      </c>
      <c r="AC6" s="20">
        <v>500.2</v>
      </c>
      <c r="AD6" s="20">
        <v>547.4</v>
      </c>
      <c r="AE6" s="21">
        <v>544</v>
      </c>
      <c r="AF6" s="22">
        <v>550</v>
      </c>
      <c r="AG6" s="20">
        <f>+AF6*1.02</f>
        <v>561</v>
      </c>
      <c r="AH6" s="20">
        <f t="shared" ref="AH6:AQ6" si="10">+AG6*1.02</f>
        <v>572.22</v>
      </c>
      <c r="AI6" s="20">
        <f t="shared" si="10"/>
        <v>583.6644</v>
      </c>
      <c r="AJ6" s="20">
        <f t="shared" si="10"/>
        <v>595.33768799999996</v>
      </c>
      <c r="AK6" s="20">
        <f t="shared" si="10"/>
        <v>607.24444175999997</v>
      </c>
      <c r="AL6" s="20">
        <f t="shared" si="10"/>
        <v>619.38933059520002</v>
      </c>
      <c r="AM6" s="20">
        <f t="shared" si="10"/>
        <v>631.77711720710408</v>
      </c>
      <c r="AN6" s="20">
        <f t="shared" si="10"/>
        <v>644.41265955124618</v>
      </c>
      <c r="AO6" s="20">
        <f t="shared" si="10"/>
        <v>657.30091274227107</v>
      </c>
      <c r="AP6" s="20">
        <f t="shared" si="10"/>
        <v>670.44693099711651</v>
      </c>
      <c r="AQ6" s="20">
        <f t="shared" si="10"/>
        <v>683.85586961705883</v>
      </c>
    </row>
    <row r="7" spans="2:73" x14ac:dyDescent="0.25">
      <c r="B7" t="s">
        <v>11</v>
      </c>
      <c r="C7" s="20">
        <f t="shared" ref="C7:R7" si="11">+C6</f>
        <v>121.215</v>
      </c>
      <c r="D7" s="20">
        <f t="shared" si="11"/>
        <v>113.752</v>
      </c>
      <c r="E7" s="20">
        <f t="shared" si="11"/>
        <v>111.559</v>
      </c>
      <c r="F7" s="20">
        <f t="shared" si="11"/>
        <v>147.80000000000001</v>
      </c>
      <c r="G7" s="20">
        <f t="shared" si="11"/>
        <v>126.2</v>
      </c>
      <c r="H7" s="20">
        <f t="shared" si="11"/>
        <v>123.3</v>
      </c>
      <c r="I7" s="20">
        <f t="shared" si="11"/>
        <v>121.8</v>
      </c>
      <c r="J7" s="20">
        <f t="shared" si="11"/>
        <v>147.80000000000001</v>
      </c>
      <c r="K7" s="20">
        <f t="shared" si="11"/>
        <v>134.30000000000001</v>
      </c>
      <c r="L7" s="20">
        <f t="shared" si="11"/>
        <v>138.5</v>
      </c>
      <c r="M7" s="20">
        <f t="shared" si="11"/>
        <v>140.5</v>
      </c>
      <c r="N7" s="20">
        <f t="shared" si="11"/>
        <v>145.5</v>
      </c>
      <c r="O7" s="20">
        <f t="shared" si="11"/>
        <v>145.5</v>
      </c>
      <c r="P7" s="20">
        <f t="shared" si="11"/>
        <v>135.4</v>
      </c>
      <c r="Q7" s="20">
        <f t="shared" si="11"/>
        <v>135.4</v>
      </c>
      <c r="R7" s="20">
        <f t="shared" si="11"/>
        <v>127.7</v>
      </c>
      <c r="S7" s="21">
        <f>+S6</f>
        <v>147.80000000000001</v>
      </c>
      <c r="T7" s="22">
        <f t="shared" ref="T7:V7" si="12">+T6</f>
        <v>135.678</v>
      </c>
      <c r="U7" s="22">
        <f t="shared" si="12"/>
        <v>135.678</v>
      </c>
      <c r="V7" s="22">
        <f t="shared" si="12"/>
        <v>135.678</v>
      </c>
      <c r="W7" s="20"/>
      <c r="X7" s="20">
        <f t="shared" ref="X7" si="13">+X6</f>
        <v>351.46100000000001</v>
      </c>
      <c r="Y7" s="20">
        <f t="shared" ref="Y7:AF8" si="14">+Y6</f>
        <v>367.56200000000001</v>
      </c>
      <c r="Z7" s="20">
        <f>+Z6</f>
        <v>387.4</v>
      </c>
      <c r="AA7" s="20">
        <f t="shared" si="14"/>
        <v>420.4</v>
      </c>
      <c r="AB7" s="20">
        <f t="shared" si="14"/>
        <v>450.7</v>
      </c>
      <c r="AC7" s="20">
        <f t="shared" si="14"/>
        <v>500.2</v>
      </c>
      <c r="AD7" s="20">
        <f t="shared" si="14"/>
        <v>547.4</v>
      </c>
      <c r="AE7" s="21">
        <f t="shared" si="14"/>
        <v>544</v>
      </c>
      <c r="AF7" s="22">
        <f t="shared" si="14"/>
        <v>550</v>
      </c>
      <c r="AG7" s="22">
        <f t="shared" ref="AG7:AG8" si="15">+AG6</f>
        <v>561</v>
      </c>
      <c r="AH7" s="22">
        <f t="shared" ref="AH7:AH8" si="16">+AH6</f>
        <v>572.22</v>
      </c>
      <c r="AI7" s="22">
        <f t="shared" ref="AI7:AI8" si="17">+AI6</f>
        <v>583.6644</v>
      </c>
      <c r="AJ7" s="22">
        <f t="shared" ref="AJ7:AJ8" si="18">+AJ6</f>
        <v>595.33768799999996</v>
      </c>
      <c r="AK7" s="22">
        <f t="shared" ref="AK7:AK8" si="19">+AK6</f>
        <v>607.24444175999997</v>
      </c>
      <c r="AL7" s="22">
        <f t="shared" ref="AL7:AL8" si="20">+AL6</f>
        <v>619.38933059520002</v>
      </c>
      <c r="AM7" s="22">
        <f t="shared" ref="AM7:AM8" si="21">+AM6</f>
        <v>631.77711720710408</v>
      </c>
      <c r="AN7" s="22">
        <f t="shared" ref="AN7:AN8" si="22">+AN6</f>
        <v>644.41265955124618</v>
      </c>
      <c r="AO7" s="22">
        <f t="shared" ref="AO7:AO8" si="23">+AO6</f>
        <v>657.30091274227107</v>
      </c>
      <c r="AP7" s="22">
        <f t="shared" ref="AP7:AP8" si="24">+AP6</f>
        <v>670.44693099711651</v>
      </c>
      <c r="AQ7" s="22">
        <f t="shared" ref="AQ7:AQ8" si="25">+AQ6</f>
        <v>683.85586961705883</v>
      </c>
    </row>
    <row r="8" spans="2:73" x14ac:dyDescent="0.25">
      <c r="B8" t="s">
        <v>12</v>
      </c>
      <c r="C8" s="20">
        <f t="shared" ref="C8:R8" si="26">+C5-C7</f>
        <v>154.11300000000003</v>
      </c>
      <c r="D8" s="20">
        <f t="shared" si="26"/>
        <v>159.46799999999996</v>
      </c>
      <c r="E8" s="20">
        <f t="shared" si="26"/>
        <v>145.482</v>
      </c>
      <c r="F8" s="20">
        <f t="shared" si="26"/>
        <v>-33.899000000000513</v>
      </c>
      <c r="G8" s="20">
        <f t="shared" si="26"/>
        <v>144.10000000000002</v>
      </c>
      <c r="H8" s="20">
        <f t="shared" si="26"/>
        <v>134.29999999999995</v>
      </c>
      <c r="I8" s="20">
        <f t="shared" si="26"/>
        <v>157.69999999999999</v>
      </c>
      <c r="J8" s="20">
        <f t="shared" si="26"/>
        <v>44.20000000000033</v>
      </c>
      <c r="K8" s="20">
        <f t="shared" si="26"/>
        <v>153.70000000000005</v>
      </c>
      <c r="L8" s="20">
        <f t="shared" si="26"/>
        <v>149.39999999999998</v>
      </c>
      <c r="M8" s="20">
        <f t="shared" si="26"/>
        <v>147.79999999999995</v>
      </c>
      <c r="N8" s="20">
        <f t="shared" si="26"/>
        <v>146.79999999999995</v>
      </c>
      <c r="O8" s="20">
        <f t="shared" si="26"/>
        <v>156.69999999999993</v>
      </c>
      <c r="P8" s="20">
        <f t="shared" si="26"/>
        <v>160.1</v>
      </c>
      <c r="Q8" s="20">
        <f t="shared" si="26"/>
        <v>155.1</v>
      </c>
      <c r="R8" s="20">
        <f t="shared" si="26"/>
        <v>147.90000000000003</v>
      </c>
      <c r="S8" s="21">
        <f>+S5-S7</f>
        <v>154.90000000000003</v>
      </c>
      <c r="T8" s="22">
        <f t="shared" ref="T8:V8" si="27">+T5-T7</f>
        <v>183.54300000000001</v>
      </c>
      <c r="U8" s="22">
        <f t="shared" si="27"/>
        <v>183.68304000000001</v>
      </c>
      <c r="V8" s="22">
        <f t="shared" si="27"/>
        <v>165.17220000000003</v>
      </c>
      <c r="W8" s="20"/>
      <c r="X8" s="20">
        <f t="shared" ref="X8" si="28">+X5-X7</f>
        <v>463.03799999999978</v>
      </c>
      <c r="Y8" s="20">
        <f t="shared" ref="Y8:AF8" si="29">+Y5-Y7</f>
        <v>465.30200000000025</v>
      </c>
      <c r="Z8" s="20">
        <f>+Z5-Z7</f>
        <v>478.8000000000003</v>
      </c>
      <c r="AA8" s="20">
        <f t="shared" si="29"/>
        <v>545.60000000000025</v>
      </c>
      <c r="AB8" s="20">
        <f t="shared" si="29"/>
        <v>591.79999999999973</v>
      </c>
      <c r="AC8" s="20">
        <f t="shared" si="29"/>
        <v>586.30000000000018</v>
      </c>
      <c r="AD8" s="20">
        <f t="shared" si="29"/>
        <v>609.29999999999984</v>
      </c>
      <c r="AE8" s="21">
        <f t="shared" si="29"/>
        <v>619.80000000000018</v>
      </c>
      <c r="AF8" s="22">
        <f t="shared" si="29"/>
        <v>664.3719000000001</v>
      </c>
      <c r="AG8" s="22">
        <f t="shared" ref="AG8" si="30">+AG5-AG7</f>
        <v>714.09049500000015</v>
      </c>
      <c r="AH8" s="22">
        <f t="shared" ref="AH8" si="31">+AH5-AH7</f>
        <v>741.12320985000019</v>
      </c>
      <c r="AI8" s="22">
        <f t="shared" ref="AI8" si="32">+AI5-AI7</f>
        <v>769.07910614550008</v>
      </c>
      <c r="AJ8" s="22">
        <f t="shared" ref="AJ8" si="33">+AJ5-AJ7</f>
        <v>797.98812332986529</v>
      </c>
      <c r="AK8" s="22">
        <f t="shared" ref="AK8" si="34">+AK5-AK7</f>
        <v>827.88114390976102</v>
      </c>
      <c r="AL8" s="22">
        <f t="shared" ref="AL8" si="35">+AL5-AL7</f>
        <v>858.79002264465396</v>
      </c>
      <c r="AM8" s="22">
        <f t="shared" ref="AM8" si="36">+AM5-AM7</f>
        <v>890.74761662994547</v>
      </c>
      <c r="AN8" s="22">
        <f t="shared" ref="AN8" si="37">+AN5-AN7</f>
        <v>923.78781630091498</v>
      </c>
      <c r="AO8" s="22">
        <f t="shared" ref="AO8" si="38">+AO5-AO7</f>
        <v>957.94557738545495</v>
      </c>
      <c r="AP8" s="22">
        <f t="shared" ref="AP8" si="39">+AP5-AP7</f>
        <v>993.25695383444133</v>
      </c>
      <c r="AQ8" s="22">
        <f t="shared" ref="AQ8" si="40">+AQ5-AQ7</f>
        <v>1029.7591317594461</v>
      </c>
    </row>
    <row r="9" spans="2:73" x14ac:dyDescent="0.25">
      <c r="B9" t="s">
        <v>18</v>
      </c>
      <c r="C9" s="11">
        <v>1.748</v>
      </c>
      <c r="D9" s="11">
        <v>1.0329999999999999</v>
      </c>
      <c r="E9" s="11">
        <v>0.95699999999999996</v>
      </c>
      <c r="F9" s="11">
        <v>0.7</v>
      </c>
      <c r="G9" s="11">
        <v>0.17</v>
      </c>
      <c r="H9" s="11">
        <v>0.17</v>
      </c>
      <c r="I9" s="11">
        <v>0.24</v>
      </c>
      <c r="J9" s="11">
        <v>0.7</v>
      </c>
      <c r="K9" s="11">
        <v>0.38</v>
      </c>
      <c r="L9" s="11">
        <v>-0.9</v>
      </c>
      <c r="M9" s="11">
        <v>-8.6999999999999993</v>
      </c>
      <c r="N9" s="11">
        <v>0.6</v>
      </c>
      <c r="O9" s="11">
        <v>-1</v>
      </c>
      <c r="P9" s="11">
        <v>0.2</v>
      </c>
      <c r="Q9" s="11">
        <v>1.6</v>
      </c>
      <c r="R9" s="11">
        <v>0.3</v>
      </c>
      <c r="S9" s="12">
        <v>0.7</v>
      </c>
      <c r="T9" s="16">
        <f>+P9</f>
        <v>0.2</v>
      </c>
      <c r="U9" s="16">
        <f>+T9</f>
        <v>0.2</v>
      </c>
      <c r="V9" s="16">
        <f>+U9</f>
        <v>0.2</v>
      </c>
      <c r="W9" s="11"/>
      <c r="X9" s="11">
        <v>5.5960000000000001</v>
      </c>
      <c r="Y9" s="11">
        <v>2.6429999999999998</v>
      </c>
      <c r="Z9" s="11">
        <v>-60.3</v>
      </c>
      <c r="AA9" s="11">
        <v>7.5</v>
      </c>
      <c r="AB9" s="11">
        <v>4.2</v>
      </c>
      <c r="AC9" s="11">
        <v>-0.5</v>
      </c>
      <c r="AD9" s="11">
        <v>7.7</v>
      </c>
      <c r="AE9" s="12">
        <v>1.1000000000000001</v>
      </c>
      <c r="AF9" s="16">
        <v>4</v>
      </c>
      <c r="AG9" s="16">
        <v>4</v>
      </c>
      <c r="AH9" s="16">
        <v>4</v>
      </c>
      <c r="AI9" s="16">
        <v>4</v>
      </c>
      <c r="AJ9" s="16">
        <v>4</v>
      </c>
      <c r="AK9" s="16">
        <v>4</v>
      </c>
      <c r="AL9" s="16">
        <v>4</v>
      </c>
      <c r="AM9" s="16">
        <v>4</v>
      </c>
      <c r="AN9" s="16">
        <v>4</v>
      </c>
      <c r="AO9" s="16">
        <v>4</v>
      </c>
      <c r="AP9" s="16">
        <v>4</v>
      </c>
      <c r="AQ9" s="16">
        <v>4</v>
      </c>
    </row>
    <row r="10" spans="2:73" x14ac:dyDescent="0.25">
      <c r="B10" t="s">
        <v>13</v>
      </c>
      <c r="C10" s="20">
        <f t="shared" ref="C10:R10" si="41">+C8+C9</f>
        <v>155.86100000000002</v>
      </c>
      <c r="D10" s="20">
        <f t="shared" si="41"/>
        <v>160.50099999999995</v>
      </c>
      <c r="E10" s="20">
        <f t="shared" si="41"/>
        <v>146.43899999999999</v>
      </c>
      <c r="F10" s="20">
        <f t="shared" si="41"/>
        <v>-33.19900000000051</v>
      </c>
      <c r="G10" s="20">
        <f t="shared" si="41"/>
        <v>144.27000000000001</v>
      </c>
      <c r="H10" s="20">
        <f t="shared" si="41"/>
        <v>134.46999999999994</v>
      </c>
      <c r="I10" s="20">
        <f t="shared" si="41"/>
        <v>157.94</v>
      </c>
      <c r="J10" s="20">
        <f t="shared" si="41"/>
        <v>44.900000000000333</v>
      </c>
      <c r="K10" s="20">
        <f t="shared" si="41"/>
        <v>154.08000000000004</v>
      </c>
      <c r="L10" s="20">
        <f t="shared" si="41"/>
        <v>148.49999999999997</v>
      </c>
      <c r="M10" s="20">
        <f t="shared" si="41"/>
        <v>139.09999999999997</v>
      </c>
      <c r="N10" s="20">
        <f t="shared" si="41"/>
        <v>147.39999999999995</v>
      </c>
      <c r="O10" s="20">
        <f t="shared" si="41"/>
        <v>155.69999999999993</v>
      </c>
      <c r="P10" s="20">
        <f t="shared" si="41"/>
        <v>160.29999999999998</v>
      </c>
      <c r="Q10" s="20">
        <f t="shared" si="41"/>
        <v>156.69999999999999</v>
      </c>
      <c r="R10" s="20">
        <f t="shared" si="41"/>
        <v>148.20000000000005</v>
      </c>
      <c r="S10" s="21">
        <f>+S8+S9</f>
        <v>155.60000000000002</v>
      </c>
      <c r="T10" s="22">
        <f t="shared" ref="T10:V10" si="42">+T8+T9</f>
        <v>183.74299999999999</v>
      </c>
      <c r="U10" s="22">
        <f t="shared" si="42"/>
        <v>183.88303999999999</v>
      </c>
      <c r="V10" s="22">
        <f t="shared" si="42"/>
        <v>165.37220000000002</v>
      </c>
      <c r="W10" s="20"/>
      <c r="X10" s="20">
        <f t="shared" ref="X10" si="43">+X8+X9</f>
        <v>468.63399999999979</v>
      </c>
      <c r="Y10" s="20">
        <f t="shared" ref="Y10:AF10" si="44">+Y8+Y9</f>
        <v>467.94500000000022</v>
      </c>
      <c r="Z10" s="20">
        <f>+Z8+Z9</f>
        <v>418.50000000000028</v>
      </c>
      <c r="AA10" s="20">
        <f t="shared" si="44"/>
        <v>553.10000000000025</v>
      </c>
      <c r="AB10" s="20">
        <f t="shared" si="44"/>
        <v>595.99999999999977</v>
      </c>
      <c r="AC10" s="20">
        <f t="shared" si="44"/>
        <v>585.80000000000018</v>
      </c>
      <c r="AD10" s="20">
        <f t="shared" si="44"/>
        <v>616.99999999999989</v>
      </c>
      <c r="AE10" s="21">
        <f t="shared" si="44"/>
        <v>620.9000000000002</v>
      </c>
      <c r="AF10" s="22">
        <f t="shared" si="44"/>
        <v>668.3719000000001</v>
      </c>
      <c r="AG10" s="22">
        <f t="shared" ref="AG10" si="45">+AG8+AG9</f>
        <v>718.09049500000015</v>
      </c>
      <c r="AH10" s="22">
        <f t="shared" ref="AH10" si="46">+AH8+AH9</f>
        <v>745.12320985000019</v>
      </c>
      <c r="AI10" s="22">
        <f t="shared" ref="AI10" si="47">+AI8+AI9</f>
        <v>773.07910614550008</v>
      </c>
      <c r="AJ10" s="22">
        <f t="shared" ref="AJ10" si="48">+AJ8+AJ9</f>
        <v>801.98812332986529</v>
      </c>
      <c r="AK10" s="22">
        <f t="shared" ref="AK10" si="49">+AK8+AK9</f>
        <v>831.88114390976102</v>
      </c>
      <c r="AL10" s="22">
        <f t="shared" ref="AL10" si="50">+AL8+AL9</f>
        <v>862.79002264465396</v>
      </c>
      <c r="AM10" s="22">
        <f t="shared" ref="AM10" si="51">+AM8+AM9</f>
        <v>894.74761662994547</v>
      </c>
      <c r="AN10" s="22">
        <f t="shared" ref="AN10" si="52">+AN8+AN9</f>
        <v>927.78781630091498</v>
      </c>
      <c r="AO10" s="22">
        <f t="shared" ref="AO10" si="53">+AO8+AO9</f>
        <v>961.94557738545495</v>
      </c>
      <c r="AP10" s="22">
        <f t="shared" ref="AP10" si="54">+AP8+AP9</f>
        <v>997.25695383444133</v>
      </c>
      <c r="AQ10" s="22">
        <f t="shared" ref="AQ10" si="55">+AQ8+AQ9</f>
        <v>1033.7591317594461</v>
      </c>
    </row>
    <row r="11" spans="2:73" x14ac:dyDescent="0.25">
      <c r="B11" t="s">
        <v>14</v>
      </c>
      <c r="C11" s="20">
        <v>27</v>
      </c>
      <c r="D11" s="20">
        <v>28.18</v>
      </c>
      <c r="E11" s="20">
        <v>25.504000000000001</v>
      </c>
      <c r="F11" s="20">
        <v>18.7</v>
      </c>
      <c r="G11" s="20">
        <v>22.8</v>
      </c>
      <c r="H11" s="20">
        <v>18.8</v>
      </c>
      <c r="I11" s="20">
        <v>25.4</v>
      </c>
      <c r="J11" s="20">
        <v>18.7</v>
      </c>
      <c r="K11" s="20">
        <v>16.899999999999999</v>
      </c>
      <c r="L11" s="20">
        <v>19</v>
      </c>
      <c r="M11" s="20">
        <v>19.3</v>
      </c>
      <c r="N11" s="20">
        <v>22.7</v>
      </c>
      <c r="O11" s="20">
        <v>24.3</v>
      </c>
      <c r="P11" s="20">
        <v>25.9</v>
      </c>
      <c r="Q11" s="20">
        <v>30.7</v>
      </c>
      <c r="R11" s="20">
        <v>14.3</v>
      </c>
      <c r="S11" s="21">
        <v>18.7</v>
      </c>
      <c r="T11" s="22">
        <f>+T10*0.14</f>
        <v>25.724020000000003</v>
      </c>
      <c r="U11" s="22">
        <f t="shared" ref="U11:V11" si="56">+U10*0.14</f>
        <v>25.743625600000001</v>
      </c>
      <c r="V11" s="22">
        <f t="shared" si="56"/>
        <v>23.152108000000005</v>
      </c>
      <c r="W11" s="20"/>
      <c r="X11" s="20">
        <v>95.275999999999996</v>
      </c>
      <c r="Y11" s="20">
        <v>74.893000000000001</v>
      </c>
      <c r="Z11" s="20">
        <v>50</v>
      </c>
      <c r="AA11" s="20">
        <v>76.7</v>
      </c>
      <c r="AB11" s="20">
        <v>99.8</v>
      </c>
      <c r="AC11" s="20">
        <v>87.1</v>
      </c>
      <c r="AD11" s="20">
        <v>78</v>
      </c>
      <c r="AE11" s="21">
        <v>95.1</v>
      </c>
      <c r="AF11" s="22">
        <f>+AF10*0.15</f>
        <v>100.25578500000002</v>
      </c>
      <c r="AG11" s="22">
        <f t="shared" ref="AG11:AQ11" si="57">+AG10*0.15</f>
        <v>107.71357425000002</v>
      </c>
      <c r="AH11" s="22">
        <f t="shared" si="57"/>
        <v>111.76848147750003</v>
      </c>
      <c r="AI11" s="22">
        <f t="shared" si="57"/>
        <v>115.96186592182501</v>
      </c>
      <c r="AJ11" s="22">
        <f t="shared" si="57"/>
        <v>120.29821849947979</v>
      </c>
      <c r="AK11" s="22">
        <f t="shared" si="57"/>
        <v>124.78217158646414</v>
      </c>
      <c r="AL11" s="22">
        <f t="shared" si="57"/>
        <v>129.4185033966981</v>
      </c>
      <c r="AM11" s="22">
        <f t="shared" si="57"/>
        <v>134.21214249449181</v>
      </c>
      <c r="AN11" s="22">
        <f t="shared" si="57"/>
        <v>139.16817244513723</v>
      </c>
      <c r="AO11" s="22">
        <f t="shared" si="57"/>
        <v>144.29183660781823</v>
      </c>
      <c r="AP11" s="22">
        <f t="shared" si="57"/>
        <v>149.5885430751662</v>
      </c>
      <c r="AQ11" s="22">
        <f t="shared" si="57"/>
        <v>155.0638697639169</v>
      </c>
    </row>
    <row r="12" spans="2:73" x14ac:dyDescent="0.25">
      <c r="B12" s="2" t="s">
        <v>15</v>
      </c>
      <c r="C12" s="25">
        <f t="shared" ref="C12:R12" si="58">+C10-C11</f>
        <v>128.86100000000002</v>
      </c>
      <c r="D12" s="25">
        <f t="shared" si="58"/>
        <v>132.32099999999994</v>
      </c>
      <c r="E12" s="25">
        <f t="shared" si="58"/>
        <v>120.93499999999999</v>
      </c>
      <c r="F12" s="25">
        <f t="shared" si="58"/>
        <v>-51.899000000000513</v>
      </c>
      <c r="G12" s="25">
        <f t="shared" si="58"/>
        <v>121.47000000000001</v>
      </c>
      <c r="H12" s="25">
        <f t="shared" si="58"/>
        <v>115.66999999999994</v>
      </c>
      <c r="I12" s="25">
        <f t="shared" si="58"/>
        <v>132.54</v>
      </c>
      <c r="J12" s="25">
        <f t="shared" si="58"/>
        <v>26.200000000000333</v>
      </c>
      <c r="K12" s="25">
        <f t="shared" si="58"/>
        <v>137.18000000000004</v>
      </c>
      <c r="L12" s="25">
        <f t="shared" si="58"/>
        <v>129.49999999999997</v>
      </c>
      <c r="M12" s="25">
        <f t="shared" si="58"/>
        <v>119.79999999999997</v>
      </c>
      <c r="N12" s="25">
        <f t="shared" si="58"/>
        <v>124.69999999999995</v>
      </c>
      <c r="O12" s="25">
        <f t="shared" si="58"/>
        <v>131.39999999999992</v>
      </c>
      <c r="P12" s="25">
        <f t="shared" si="58"/>
        <v>134.39999999999998</v>
      </c>
      <c r="Q12" s="25">
        <f t="shared" si="58"/>
        <v>125.99999999999999</v>
      </c>
      <c r="R12" s="25">
        <f t="shared" si="58"/>
        <v>133.90000000000003</v>
      </c>
      <c r="S12" s="26">
        <f>+S10-S11</f>
        <v>136.90000000000003</v>
      </c>
      <c r="T12" s="27">
        <f t="shared" ref="T12:V12" si="59">+T10-T11</f>
        <v>158.01898</v>
      </c>
      <c r="U12" s="27">
        <f t="shared" si="59"/>
        <v>158.13941439999999</v>
      </c>
      <c r="V12" s="27">
        <f t="shared" si="59"/>
        <v>142.22009200000002</v>
      </c>
      <c r="W12" s="25"/>
      <c r="X12" s="25">
        <f t="shared" ref="X12" si="60">+X10-X11</f>
        <v>373.35799999999978</v>
      </c>
      <c r="Y12" s="25">
        <f t="shared" ref="Y12:AF12" si="61">+Y10-Y11</f>
        <v>393.05200000000025</v>
      </c>
      <c r="Z12" s="25">
        <f>+Z10-Z11</f>
        <v>368.50000000000028</v>
      </c>
      <c r="AA12" s="25">
        <f t="shared" si="61"/>
        <v>476.40000000000026</v>
      </c>
      <c r="AB12" s="25">
        <f t="shared" si="61"/>
        <v>496.19999999999976</v>
      </c>
      <c r="AC12" s="25">
        <f t="shared" si="61"/>
        <v>498.70000000000016</v>
      </c>
      <c r="AD12" s="25">
        <f t="shared" si="61"/>
        <v>538.99999999999989</v>
      </c>
      <c r="AE12" s="26">
        <f t="shared" si="61"/>
        <v>525.80000000000018</v>
      </c>
      <c r="AF12" s="27">
        <f t="shared" si="61"/>
        <v>568.11611500000004</v>
      </c>
      <c r="AG12" s="27">
        <f t="shared" ref="AG12" si="62">+AG10-AG11</f>
        <v>610.37692075000018</v>
      </c>
      <c r="AH12" s="27">
        <f t="shared" ref="AH12" si="63">+AH10-AH11</f>
        <v>633.35472837250018</v>
      </c>
      <c r="AI12" s="27">
        <f t="shared" ref="AI12" si="64">+AI10-AI11</f>
        <v>657.11724022367503</v>
      </c>
      <c r="AJ12" s="27">
        <f t="shared" ref="AJ12" si="65">+AJ10-AJ11</f>
        <v>681.68990483038556</v>
      </c>
      <c r="AK12" s="27">
        <f t="shared" ref="AK12" si="66">+AK10-AK11</f>
        <v>707.09897232329683</v>
      </c>
      <c r="AL12" s="27">
        <f t="shared" ref="AL12" si="67">+AL10-AL11</f>
        <v>733.3715192479558</v>
      </c>
      <c r="AM12" s="27">
        <f t="shared" ref="AM12" si="68">+AM10-AM11</f>
        <v>760.53547413545368</v>
      </c>
      <c r="AN12" s="27">
        <f t="shared" ref="AN12" si="69">+AN10-AN11</f>
        <v>788.61964385577778</v>
      </c>
      <c r="AO12" s="27">
        <f t="shared" ref="AO12" si="70">+AO10-AO11</f>
        <v>817.6537407776367</v>
      </c>
      <c r="AP12" s="27">
        <f t="shared" ref="AP12" si="71">+AP10-AP11</f>
        <v>847.66841075927516</v>
      </c>
      <c r="AQ12" s="27">
        <f t="shared" ref="AQ12" si="72">+AQ10-AQ11</f>
        <v>878.69526199552911</v>
      </c>
      <c r="AR12" s="28">
        <f>+AQ12*(1+$AU$15)</f>
        <v>861.12135675561854</v>
      </c>
      <c r="AS12" s="28">
        <f t="shared" ref="AS12:BU12" si="73">+AR12*(1+$AU$15)</f>
        <v>843.89892962050612</v>
      </c>
      <c r="AT12" s="28">
        <f t="shared" si="73"/>
        <v>827.02095102809596</v>
      </c>
      <c r="AU12" s="28">
        <f t="shared" si="73"/>
        <v>810.48053200753407</v>
      </c>
      <c r="AV12" s="28">
        <f t="shared" si="73"/>
        <v>794.27092136738338</v>
      </c>
      <c r="AW12" s="28">
        <f t="shared" si="73"/>
        <v>778.38550294003574</v>
      </c>
      <c r="AX12" s="28">
        <f t="shared" si="73"/>
        <v>762.81779288123505</v>
      </c>
      <c r="AY12" s="28">
        <f t="shared" si="73"/>
        <v>747.56143702361032</v>
      </c>
      <c r="AZ12" s="28">
        <f t="shared" si="73"/>
        <v>732.61020828313815</v>
      </c>
      <c r="BA12" s="28">
        <f t="shared" si="73"/>
        <v>717.95800411747541</v>
      </c>
      <c r="BB12" s="28">
        <f t="shared" si="73"/>
        <v>703.59884403512592</v>
      </c>
      <c r="BC12" s="28">
        <f t="shared" si="73"/>
        <v>689.52686715442337</v>
      </c>
      <c r="BD12" s="28">
        <f t="shared" si="73"/>
        <v>675.73632981133494</v>
      </c>
      <c r="BE12" s="28">
        <f t="shared" si="73"/>
        <v>662.22160321510819</v>
      </c>
      <c r="BF12" s="28">
        <f t="shared" si="73"/>
        <v>648.97717115080604</v>
      </c>
      <c r="BG12" s="28">
        <f t="shared" si="73"/>
        <v>635.9976277277899</v>
      </c>
      <c r="BH12" s="28">
        <f t="shared" si="73"/>
        <v>623.27767517323412</v>
      </c>
      <c r="BI12" s="28">
        <f t="shared" si="73"/>
        <v>610.81212166976945</v>
      </c>
      <c r="BJ12" s="28">
        <f t="shared" si="73"/>
        <v>598.595879236374</v>
      </c>
      <c r="BK12" s="28">
        <f t="shared" si="73"/>
        <v>586.62396165164648</v>
      </c>
      <c r="BL12" s="28">
        <f t="shared" si="73"/>
        <v>574.89148241861358</v>
      </c>
      <c r="BM12" s="28">
        <f t="shared" si="73"/>
        <v>563.39365277024126</v>
      </c>
      <c r="BN12" s="28">
        <f t="shared" si="73"/>
        <v>552.12577971483643</v>
      </c>
      <c r="BO12" s="28">
        <f t="shared" si="73"/>
        <v>541.08326412053964</v>
      </c>
      <c r="BP12" s="28">
        <f t="shared" si="73"/>
        <v>530.26159883812886</v>
      </c>
      <c r="BQ12" s="28">
        <f t="shared" si="73"/>
        <v>519.65636686136622</v>
      </c>
      <c r="BR12" s="28">
        <f t="shared" si="73"/>
        <v>509.2632395241389</v>
      </c>
      <c r="BS12" s="28">
        <f t="shared" si="73"/>
        <v>499.07797473365611</v>
      </c>
      <c r="BT12" s="28">
        <f t="shared" si="73"/>
        <v>489.09641523898296</v>
      </c>
      <c r="BU12" s="28">
        <f t="shared" si="73"/>
        <v>479.31448693420327</v>
      </c>
    </row>
    <row r="13" spans="2:73" x14ac:dyDescent="0.25">
      <c r="B13" t="s">
        <v>17</v>
      </c>
      <c r="C13" s="1">
        <f t="shared" ref="C13:R13" si="74">+C12/C14</f>
        <v>2.0392625415413836</v>
      </c>
      <c r="D13" s="1">
        <f t="shared" si="74"/>
        <v>2.0661919707687253</v>
      </c>
      <c r="E13" s="1">
        <f t="shared" si="74"/>
        <v>1.8919743429286606</v>
      </c>
      <c r="F13" s="1">
        <f t="shared" si="74"/>
        <v>-0.79356269113150624</v>
      </c>
      <c r="G13" s="1">
        <f t="shared" si="74"/>
        <v>1.8926456840137114</v>
      </c>
      <c r="H13" s="1">
        <f t="shared" si="74"/>
        <v>1.7686544342507635</v>
      </c>
      <c r="I13" s="1">
        <f t="shared" si="74"/>
        <v>2.0266055045871556</v>
      </c>
      <c r="J13" s="1">
        <f t="shared" si="74"/>
        <v>0.40061162079511209</v>
      </c>
      <c r="K13" s="1">
        <f t="shared" si="74"/>
        <v>2.0876578907320051</v>
      </c>
      <c r="L13" s="1">
        <f t="shared" si="74"/>
        <v>1.9801223241590209</v>
      </c>
      <c r="M13" s="1">
        <f t="shared" si="74"/>
        <v>1.8318042813455651</v>
      </c>
      <c r="N13" s="1">
        <f t="shared" si="74"/>
        <v>1.9067278287461764</v>
      </c>
      <c r="O13" s="1">
        <f t="shared" si="74"/>
        <v>2.0091743119266039</v>
      </c>
      <c r="P13" s="1">
        <f t="shared" si="74"/>
        <v>2.0550458715596327</v>
      </c>
      <c r="Q13" s="1">
        <f t="shared" si="74"/>
        <v>1.9266055045871555</v>
      </c>
      <c r="R13" s="1">
        <f t="shared" si="74"/>
        <v>2.0474006116207955</v>
      </c>
      <c r="S13" s="7">
        <f>+S12/S14</f>
        <v>2.0932721712538229</v>
      </c>
      <c r="T13" s="19">
        <f t="shared" ref="T13:V13" si="75">+T12/T14</f>
        <v>2.416192354740061</v>
      </c>
      <c r="U13" s="19">
        <f t="shared" si="75"/>
        <v>2.4180338593272168</v>
      </c>
      <c r="V13" s="19">
        <f t="shared" si="75"/>
        <v>2.174619143730887</v>
      </c>
      <c r="W13" s="1"/>
      <c r="X13" s="1">
        <f t="shared" ref="X13" si="76">+X12/X14</f>
        <v>5.941406747294713</v>
      </c>
      <c r="Y13" s="1">
        <f t="shared" ref="Y13:AF13" si="77">+Y12/Y14</f>
        <v>6.3060854497906309</v>
      </c>
      <c r="Z13" s="1">
        <f>+Z12/Z14</f>
        <v>5.9627831715210409</v>
      </c>
      <c r="AA13" s="1">
        <f t="shared" si="77"/>
        <v>6.8154506437768276</v>
      </c>
      <c r="AB13" s="1">
        <f t="shared" si="77"/>
        <v>7.7774294670846364</v>
      </c>
      <c r="AC13" s="1">
        <f t="shared" si="77"/>
        <v>7.6723076923076947</v>
      </c>
      <c r="AD13" s="1">
        <f t="shared" si="77"/>
        <v>8.2290076335877842</v>
      </c>
      <c r="AE13" s="7">
        <f t="shared" si="77"/>
        <v>8.0644171779141125</v>
      </c>
      <c r="AF13" s="7">
        <f t="shared" si="77"/>
        <v>8.6867907492354739</v>
      </c>
      <c r="AG13" s="7">
        <f t="shared" ref="AG13" si="78">+AG12/AG14</f>
        <v>9.3329804396024478</v>
      </c>
      <c r="AH13" s="7">
        <f t="shared" ref="AH13" si="79">+AH12/AH14</f>
        <v>9.6843230637996953</v>
      </c>
      <c r="AI13" s="7">
        <f t="shared" ref="AI13" si="80">+AI12/AI14</f>
        <v>10.047664223603594</v>
      </c>
      <c r="AJ13" s="7">
        <f t="shared" ref="AJ13" si="81">+AJ12/AJ14</f>
        <v>10.423393040219961</v>
      </c>
      <c r="AK13" s="7">
        <f t="shared" ref="AK13" si="82">+AK12/AK14</f>
        <v>10.811910891793529</v>
      </c>
      <c r="AL13" s="7">
        <f t="shared" ref="AL13" si="83">+AL12/AL14</f>
        <v>11.213631792782198</v>
      </c>
      <c r="AM13" s="7">
        <f t="shared" ref="AM13" si="84">+AM12/AM14</f>
        <v>11.628982784945775</v>
      </c>
      <c r="AN13" s="7">
        <f t="shared" ref="AN13" si="85">+AN12/AN14</f>
        <v>12.058404340302411</v>
      </c>
      <c r="AO13" s="7">
        <f t="shared" ref="AO13" si="86">+AO12/AO14</f>
        <v>12.502350776416462</v>
      </c>
      <c r="AP13" s="7">
        <f t="shared" ref="AP13" si="87">+AP12/AP14</f>
        <v>12.961290684392585</v>
      </c>
      <c r="AQ13" s="7">
        <f t="shared" ref="AQ13" si="88">+AQ12/AQ14</f>
        <v>13.435707369962218</v>
      </c>
    </row>
    <row r="14" spans="2:73" x14ac:dyDescent="0.25">
      <c r="B14" t="s">
        <v>16</v>
      </c>
      <c r="C14" s="20">
        <v>63.19</v>
      </c>
      <c r="D14" s="20">
        <v>64.040999999999997</v>
      </c>
      <c r="E14" s="20">
        <v>63.92</v>
      </c>
      <c r="F14" s="20">
        <v>65.400000000000006</v>
      </c>
      <c r="G14" s="20">
        <v>64.180000000000007</v>
      </c>
      <c r="H14" s="20">
        <v>65.400000000000006</v>
      </c>
      <c r="I14" s="20">
        <v>65.400000000000006</v>
      </c>
      <c r="J14" s="20">
        <v>65.400000000000006</v>
      </c>
      <c r="K14" s="20">
        <v>65.709999999999994</v>
      </c>
      <c r="L14" s="20">
        <v>65.400000000000006</v>
      </c>
      <c r="M14" s="20">
        <v>65.400000000000006</v>
      </c>
      <c r="N14" s="20">
        <v>65.400000000000006</v>
      </c>
      <c r="O14" s="20">
        <v>65.400000000000006</v>
      </c>
      <c r="P14" s="20">
        <v>65.400000000000006</v>
      </c>
      <c r="Q14" s="20">
        <v>65.400000000000006</v>
      </c>
      <c r="R14" s="20">
        <v>65.400000000000006</v>
      </c>
      <c r="S14" s="21">
        <v>65.400000000000006</v>
      </c>
      <c r="T14" s="22">
        <f>+S14</f>
        <v>65.400000000000006</v>
      </c>
      <c r="U14" s="22">
        <f t="shared" ref="U14:V14" si="89">+T14</f>
        <v>65.400000000000006</v>
      </c>
      <c r="V14" s="22">
        <f t="shared" si="89"/>
        <v>65.400000000000006</v>
      </c>
      <c r="W14" s="20"/>
      <c r="X14" s="20">
        <v>62.84</v>
      </c>
      <c r="Y14" s="20">
        <v>62.329000000000001</v>
      </c>
      <c r="Z14" s="20">
        <v>61.8</v>
      </c>
      <c r="AA14" s="20">
        <v>69.900000000000006</v>
      </c>
      <c r="AB14" s="20">
        <v>63.8</v>
      </c>
      <c r="AC14" s="20">
        <v>65</v>
      </c>
      <c r="AD14" s="20">
        <v>65.5</v>
      </c>
      <c r="AE14" s="21">
        <v>65.2</v>
      </c>
      <c r="AF14" s="22">
        <f>+AVERAGE(S14:V14)</f>
        <v>65.400000000000006</v>
      </c>
      <c r="AG14" s="22">
        <v>65.400000000000006</v>
      </c>
      <c r="AH14" s="22">
        <v>65.400000000000006</v>
      </c>
      <c r="AI14" s="22">
        <v>65.400000000000006</v>
      </c>
      <c r="AJ14" s="22">
        <v>65.400000000000006</v>
      </c>
      <c r="AK14" s="22">
        <v>65.400000000000006</v>
      </c>
      <c r="AL14" s="22">
        <v>65.400000000000006</v>
      </c>
      <c r="AM14" s="22">
        <v>65.400000000000006</v>
      </c>
      <c r="AN14" s="22">
        <v>65.400000000000006</v>
      </c>
      <c r="AO14" s="22">
        <v>65.400000000000006</v>
      </c>
      <c r="AP14" s="22">
        <v>65.400000000000006</v>
      </c>
      <c r="AQ14" s="22">
        <v>65.400000000000006</v>
      </c>
    </row>
    <row r="15" spans="2:73" x14ac:dyDescent="0.25">
      <c r="T15" s="15"/>
      <c r="U15" s="15"/>
      <c r="V15" s="15"/>
      <c r="AT15" t="s">
        <v>72</v>
      </c>
      <c r="AU15" s="3">
        <v>-0.02</v>
      </c>
    </row>
    <row r="16" spans="2:73" x14ac:dyDescent="0.25">
      <c r="B16" s="2" t="s">
        <v>19</v>
      </c>
      <c r="C16" s="3"/>
      <c r="D16" s="3"/>
      <c r="E16" s="3"/>
      <c r="F16" s="3"/>
      <c r="G16" s="13">
        <f>+G3/C3-1</f>
        <v>-3.0841146602906822E-2</v>
      </c>
      <c r="H16" s="13">
        <f t="shared" ref="H16:R16" si="90">+H3/D3-1</f>
        <v>-5.8385993070862785E-2</v>
      </c>
      <c r="I16" s="13">
        <f t="shared" si="90"/>
        <v>8.2452322759305252E-2</v>
      </c>
      <c r="J16" s="13">
        <f t="shared" si="90"/>
        <v>0.11633976412965397</v>
      </c>
      <c r="K16" s="13">
        <f t="shared" si="90"/>
        <v>7.6507276507276512E-2</v>
      </c>
      <c r="L16" s="13">
        <f t="shared" si="90"/>
        <v>0.1597311597311597</v>
      </c>
      <c r="M16" s="13">
        <f t="shared" si="90"/>
        <v>8.7340271373995471E-2</v>
      </c>
      <c r="N16" s="13">
        <f t="shared" si="90"/>
        <v>8.6202295169468535E-2</v>
      </c>
      <c r="O16" s="13">
        <f t="shared" si="90"/>
        <v>8.7807390240762118E-2</v>
      </c>
      <c r="P16" s="13">
        <f t="shared" si="90"/>
        <v>4.1307028360049403E-2</v>
      </c>
      <c r="Q16" s="13">
        <f t="shared" si="90"/>
        <v>1.3932638720620227E-2</v>
      </c>
      <c r="R16" s="13">
        <f t="shared" si="90"/>
        <v>-2.2235872235872312E-2</v>
      </c>
      <c r="S16" s="14">
        <f>+S3/O3-1</f>
        <v>1.799029470943303E-2</v>
      </c>
      <c r="T16" s="17">
        <f t="shared" ref="T16:V16" si="91">+T3/P3-1</f>
        <v>5.0000000000000044E-2</v>
      </c>
      <c r="U16" s="17">
        <f t="shared" si="91"/>
        <v>6.0000000000000053E-2</v>
      </c>
      <c r="V16" s="17">
        <f t="shared" si="91"/>
        <v>5.0000000000000044E-2</v>
      </c>
      <c r="X16" s="13"/>
      <c r="Y16" s="13">
        <f>+Y3/X3-1</f>
        <v>5.9491210966582386E-3</v>
      </c>
      <c r="Z16" s="13">
        <f>+Z3/Y3-1</f>
        <v>5.9360754101145607E-2</v>
      </c>
      <c r="AA16" s="13">
        <f>+AA3/Z3-1</f>
        <v>0.11966954197545854</v>
      </c>
      <c r="AB16" s="13">
        <f t="shared" ref="AB16:AQ16" si="92">+AB3/AA3-1</f>
        <v>3.4324363425925819E-2</v>
      </c>
      <c r="AC16" s="13">
        <f t="shared" si="92"/>
        <v>2.4338217295520659E-2</v>
      </c>
      <c r="AD16" s="13">
        <f t="shared" si="92"/>
        <v>0.10169665107704895</v>
      </c>
      <c r="AE16" s="14">
        <f t="shared" si="92"/>
        <v>2.9437283093703748E-2</v>
      </c>
      <c r="AF16" s="17">
        <f t="shared" si="92"/>
        <v>4.4378423935946154E-2</v>
      </c>
      <c r="AG16" s="17">
        <f t="shared" si="92"/>
        <v>5.0000000000000044E-2</v>
      </c>
      <c r="AH16" s="17">
        <f t="shared" si="92"/>
        <v>3.0000000000000027E-2</v>
      </c>
      <c r="AI16" s="17">
        <f t="shared" si="92"/>
        <v>3.0000000000000027E-2</v>
      </c>
      <c r="AJ16" s="17">
        <f t="shared" si="92"/>
        <v>3.0000000000000027E-2</v>
      </c>
      <c r="AK16" s="17">
        <f t="shared" si="92"/>
        <v>3.0000000000000027E-2</v>
      </c>
      <c r="AL16" s="17">
        <f t="shared" si="92"/>
        <v>3.0000000000000027E-2</v>
      </c>
      <c r="AM16" s="17">
        <f t="shared" si="92"/>
        <v>3.0000000000000027E-2</v>
      </c>
      <c r="AN16" s="17">
        <f t="shared" si="92"/>
        <v>3.0000000000000027E-2</v>
      </c>
      <c r="AO16" s="17">
        <f t="shared" si="92"/>
        <v>3.0000000000000027E-2</v>
      </c>
      <c r="AP16" s="17">
        <f t="shared" si="92"/>
        <v>3.0000000000000027E-2</v>
      </c>
      <c r="AQ16" s="17">
        <f t="shared" si="92"/>
        <v>3.0000000000000027E-2</v>
      </c>
      <c r="AT16" t="s">
        <v>48</v>
      </c>
      <c r="AU16" s="29">
        <v>0.06</v>
      </c>
    </row>
    <row r="17" spans="2:47" x14ac:dyDescent="0.25">
      <c r="B17" t="s">
        <v>20</v>
      </c>
      <c r="C17" s="3">
        <f t="shared" ref="C17:R17" si="93">+C5/C3</f>
        <v>0.36983585417618142</v>
      </c>
      <c r="D17" s="3">
        <f t="shared" si="93"/>
        <v>0.36789329182493763</v>
      </c>
      <c r="E17" s="3">
        <f t="shared" si="93"/>
        <v>0.36653224541479984</v>
      </c>
      <c r="F17" s="3">
        <f t="shared" si="93"/>
        <v>0.1696720249187765</v>
      </c>
      <c r="G17" s="3">
        <f t="shared" si="93"/>
        <v>0.37463617463617466</v>
      </c>
      <c r="H17" s="3">
        <f t="shared" si="93"/>
        <v>0.36836836836836834</v>
      </c>
      <c r="I17" s="3">
        <f t="shared" si="93"/>
        <v>0.36819918324331447</v>
      </c>
      <c r="J17" s="3">
        <f t="shared" si="93"/>
        <v>0.25620496397117731</v>
      </c>
      <c r="K17" s="3">
        <f t="shared" si="93"/>
        <v>0.37079953650057945</v>
      </c>
      <c r="L17" s="3">
        <f t="shared" si="93"/>
        <v>0.35499383477188651</v>
      </c>
      <c r="M17" s="3">
        <f t="shared" si="93"/>
        <v>0.34928519505694205</v>
      </c>
      <c r="N17" s="3">
        <f t="shared" si="93"/>
        <v>0.35909090909090902</v>
      </c>
      <c r="O17" s="3">
        <f t="shared" si="93"/>
        <v>0.35767546455201793</v>
      </c>
      <c r="P17" s="3">
        <f t="shared" si="93"/>
        <v>0.34991119005328597</v>
      </c>
      <c r="Q17" s="3">
        <f t="shared" si="93"/>
        <v>0.34711435057951967</v>
      </c>
      <c r="R17" s="3">
        <f t="shared" si="93"/>
        <v>0.34627465762030407</v>
      </c>
      <c r="S17" s="8">
        <f>+S5/S3</f>
        <v>0.35193582141611446</v>
      </c>
      <c r="T17" s="18">
        <f t="shared" ref="T17:V17" si="94">+T5/T3</f>
        <v>0.36</v>
      </c>
      <c r="U17" s="18">
        <f t="shared" si="94"/>
        <v>0.36</v>
      </c>
      <c r="V17" s="18">
        <f t="shared" si="94"/>
        <v>0.36</v>
      </c>
      <c r="X17" s="3">
        <f>+X5/X3</f>
        <v>0.35150911745425084</v>
      </c>
      <c r="Y17" s="3">
        <f>+Y5/Y3</f>
        <v>0.35730913015984161</v>
      </c>
      <c r="Z17" s="3">
        <f>+Z5/Z3</f>
        <v>0.3507876726197709</v>
      </c>
      <c r="AA17" s="3">
        <f>+AA5/AA3</f>
        <v>0.34939236111111116</v>
      </c>
      <c r="AB17" s="3">
        <f t="shared" ref="AB17:AQ17" si="95">+AB5/AB3</f>
        <v>0.3645487288876455</v>
      </c>
      <c r="AC17" s="3">
        <f t="shared" si="95"/>
        <v>0.37090772539514566</v>
      </c>
      <c r="AD17" s="3">
        <f t="shared" si="95"/>
        <v>0.35842216162617746</v>
      </c>
      <c r="AE17" s="8">
        <f t="shared" si="95"/>
        <v>0.35031003551863227</v>
      </c>
      <c r="AF17" s="8">
        <f t="shared" si="95"/>
        <v>0.35</v>
      </c>
      <c r="AG17" s="8">
        <f t="shared" si="95"/>
        <v>0.35</v>
      </c>
      <c r="AH17" s="8">
        <f t="shared" si="95"/>
        <v>0.35</v>
      </c>
      <c r="AI17" s="8">
        <f t="shared" si="95"/>
        <v>0.35</v>
      </c>
      <c r="AJ17" s="8">
        <f t="shared" si="95"/>
        <v>0.35000000000000003</v>
      </c>
      <c r="AK17" s="8">
        <f t="shared" si="95"/>
        <v>0.35</v>
      </c>
      <c r="AL17" s="8">
        <f t="shared" si="95"/>
        <v>0.35</v>
      </c>
      <c r="AM17" s="8">
        <f t="shared" si="95"/>
        <v>0.35</v>
      </c>
      <c r="AN17" s="8">
        <f t="shared" si="95"/>
        <v>0.35</v>
      </c>
      <c r="AO17" s="8">
        <f t="shared" si="95"/>
        <v>0.35</v>
      </c>
      <c r="AP17" s="8">
        <f t="shared" si="95"/>
        <v>0.35</v>
      </c>
      <c r="AQ17" s="8">
        <f t="shared" si="95"/>
        <v>0.35</v>
      </c>
      <c r="AT17" t="s">
        <v>49</v>
      </c>
      <c r="AU17" s="24">
        <f>+NPV(AU16,X12:BU12)</f>
        <v>9545.5432297724219</v>
      </c>
    </row>
    <row r="18" spans="2:47" x14ac:dyDescent="0.25">
      <c r="B18" t="s">
        <v>21</v>
      </c>
      <c r="C18" s="3">
        <f t="shared" ref="C18:R18" si="96">+C8/C3</f>
        <v>0.20701313703892757</v>
      </c>
      <c r="D18" s="3">
        <f t="shared" si="96"/>
        <v>0.21472515723863239</v>
      </c>
      <c r="E18" s="3">
        <f t="shared" si="96"/>
        <v>0.20745267925130975</v>
      </c>
      <c r="F18" s="3">
        <f t="shared" si="96"/>
        <v>-5.0497466859129571E-2</v>
      </c>
      <c r="G18" s="3">
        <f t="shared" si="96"/>
        <v>0.19972279972279974</v>
      </c>
      <c r="H18" s="3">
        <f t="shared" si="96"/>
        <v>0.19204919204919199</v>
      </c>
      <c r="I18" s="3">
        <f t="shared" si="96"/>
        <v>0.2077460150177842</v>
      </c>
      <c r="J18" s="3">
        <f t="shared" si="96"/>
        <v>5.8980517747531776E-2</v>
      </c>
      <c r="K18" s="3">
        <f t="shared" si="96"/>
        <v>0.19788850263937174</v>
      </c>
      <c r="L18" s="3">
        <f t="shared" si="96"/>
        <v>0.18421701602959306</v>
      </c>
      <c r="M18" s="3">
        <f t="shared" si="96"/>
        <v>0.1790646959050157</v>
      </c>
      <c r="N18" s="3">
        <f t="shared" si="96"/>
        <v>0.18034398034398028</v>
      </c>
      <c r="O18" s="3">
        <f t="shared" si="96"/>
        <v>0.18546573559001059</v>
      </c>
      <c r="P18" s="3">
        <f t="shared" si="96"/>
        <v>0.18957963291888691</v>
      </c>
      <c r="Q18" s="3">
        <f t="shared" si="96"/>
        <v>0.18532680129047677</v>
      </c>
      <c r="R18" s="3">
        <f t="shared" si="96"/>
        <v>0.18582736524689036</v>
      </c>
      <c r="S18" s="8">
        <f>+S8/S3</f>
        <v>0.18009533775142428</v>
      </c>
      <c r="T18" s="18">
        <f t="shared" ref="T18:V18" si="97">+T8/T3</f>
        <v>0.20698976571090247</v>
      </c>
      <c r="U18" s="18">
        <f t="shared" si="97"/>
        <v>0.20705686078677599</v>
      </c>
      <c r="V18" s="18">
        <f t="shared" si="97"/>
        <v>0.19764650979125162</v>
      </c>
      <c r="X18" s="3">
        <f>+X8/X3</f>
        <v>0.19983091290201874</v>
      </c>
      <c r="Y18" s="3">
        <f>+Y8/Y3</f>
        <v>0.19962040967268924</v>
      </c>
      <c r="Z18" s="3">
        <f>+Z8/Z3</f>
        <v>0.19390110557647927</v>
      </c>
      <c r="AA18" s="3">
        <f>+AA8/AA3</f>
        <v>0.19733796296296305</v>
      </c>
      <c r="AB18" s="3">
        <f t="shared" ref="AB18:AE18" si="98">+AB8/AB3</f>
        <v>0.20694478441794587</v>
      </c>
      <c r="AC18" s="3">
        <f t="shared" si="98"/>
        <v>0.20015020653398427</v>
      </c>
      <c r="AD18" s="3">
        <f t="shared" si="98"/>
        <v>0.18880143777887948</v>
      </c>
      <c r="AE18" s="8">
        <f t="shared" si="98"/>
        <v>0.1865631208235507</v>
      </c>
      <c r="AT18" t="s">
        <v>50</v>
      </c>
      <c r="AU18" s="11">
        <f>+Main!K7</f>
        <v>126.8</v>
      </c>
    </row>
    <row r="19" spans="2:47" x14ac:dyDescent="0.25">
      <c r="B19" t="s">
        <v>24</v>
      </c>
      <c r="C19" s="3">
        <f t="shared" ref="C19:R19" si="99">+C12/C3</f>
        <v>0.17309324879778634</v>
      </c>
      <c r="D19" s="3">
        <f t="shared" si="99"/>
        <v>0.17817146719701177</v>
      </c>
      <c r="E19" s="3">
        <f t="shared" si="99"/>
        <v>0.17244944230390799</v>
      </c>
      <c r="F19" s="3">
        <f t="shared" si="99"/>
        <v>-7.7311072082419885E-2</v>
      </c>
      <c r="G19" s="3">
        <f t="shared" si="99"/>
        <v>0.16835758835758838</v>
      </c>
      <c r="H19" s="3">
        <f t="shared" si="99"/>
        <v>0.16540826540826534</v>
      </c>
      <c r="I19" s="3">
        <f t="shared" si="99"/>
        <v>0.17460150177842179</v>
      </c>
      <c r="J19" s="3">
        <f t="shared" si="99"/>
        <v>3.4961302375233948E-2</v>
      </c>
      <c r="K19" s="3">
        <f t="shared" si="99"/>
        <v>0.1766190292262135</v>
      </c>
      <c r="L19" s="3">
        <f t="shared" si="99"/>
        <v>0.15967940813810108</v>
      </c>
      <c r="M19" s="3">
        <f t="shared" si="99"/>
        <v>0.14514174945480976</v>
      </c>
      <c r="N19" s="3">
        <f t="shared" si="99"/>
        <v>0.15319410319410312</v>
      </c>
      <c r="O19" s="3">
        <f t="shared" si="99"/>
        <v>0.15552136347496737</v>
      </c>
      <c r="P19" s="3">
        <f t="shared" si="99"/>
        <v>0.15914742451154526</v>
      </c>
      <c r="Q19" s="3">
        <f t="shared" si="99"/>
        <v>0.1505556219381049</v>
      </c>
      <c r="R19" s="3">
        <f t="shared" si="99"/>
        <v>0.16823721573061948</v>
      </c>
      <c r="S19" s="8">
        <f>+S12/S3</f>
        <v>0.15916753865829558</v>
      </c>
      <c r="T19" s="18">
        <f t="shared" ref="T19:V19" si="100">+T12/T3</f>
        <v>0.17820517071245312</v>
      </c>
      <c r="U19" s="18">
        <f t="shared" si="100"/>
        <v>0.17826278742078244</v>
      </c>
      <c r="V19" s="18">
        <f t="shared" si="100"/>
        <v>0.17018181513590486</v>
      </c>
      <c r="X19" s="3">
        <f>+X12/X3</f>
        <v>0.16112817949989397</v>
      </c>
      <c r="Y19" s="3">
        <f>+Y12/Y3</f>
        <v>0.16862425105129542</v>
      </c>
      <c r="Z19" s="3">
        <f>+Z12/Z3</f>
        <v>0.14923257603369386</v>
      </c>
      <c r="AA19" s="3">
        <f>+AA12/AA3</f>
        <v>0.17230902777777787</v>
      </c>
      <c r="AB19" s="3">
        <f t="shared" ref="AB19:AE19" si="101">+AB12/AB3</f>
        <v>0.17351470433961597</v>
      </c>
      <c r="AC19" s="3">
        <f t="shared" si="101"/>
        <v>0.17024545113166972</v>
      </c>
      <c r="AD19" s="3">
        <f t="shared" si="101"/>
        <v>0.16701784828953889</v>
      </c>
      <c r="AE19" s="8">
        <f t="shared" si="101"/>
        <v>0.15826861718138588</v>
      </c>
      <c r="AT19" t="s">
        <v>51</v>
      </c>
      <c r="AU19" s="11">
        <f>+AU17+AU18</f>
        <v>9672.3432297724212</v>
      </c>
    </row>
    <row r="20" spans="2:47" x14ac:dyDescent="0.25">
      <c r="B20" t="s">
        <v>22</v>
      </c>
      <c r="C20" s="3">
        <f t="shared" ref="C20:R20" si="102">+C11/C10</f>
        <v>0.17323127658618895</v>
      </c>
      <c r="D20" s="3">
        <f t="shared" si="102"/>
        <v>0.17557523006087195</v>
      </c>
      <c r="E20" s="3">
        <f t="shared" si="102"/>
        <v>0.17416125485697118</v>
      </c>
      <c r="F20" s="3">
        <f t="shared" si="102"/>
        <v>-0.56326997801137724</v>
      </c>
      <c r="G20" s="3">
        <f t="shared" si="102"/>
        <v>0.15803701393221042</v>
      </c>
      <c r="H20" s="3">
        <f t="shared" si="102"/>
        <v>0.13980813564363806</v>
      </c>
      <c r="I20" s="3">
        <f t="shared" si="102"/>
        <v>0.1608205647714322</v>
      </c>
      <c r="J20" s="3">
        <f t="shared" si="102"/>
        <v>0.41648106904231313</v>
      </c>
      <c r="K20" s="3">
        <f t="shared" si="102"/>
        <v>0.10968328141225334</v>
      </c>
      <c r="L20" s="3">
        <f t="shared" si="102"/>
        <v>0.12794612794612797</v>
      </c>
      <c r="M20" s="3">
        <f t="shared" si="102"/>
        <v>0.13874910136592383</v>
      </c>
      <c r="N20" s="3">
        <f t="shared" si="102"/>
        <v>0.15400271370420629</v>
      </c>
      <c r="O20" s="3">
        <f t="shared" si="102"/>
        <v>0.15606936416184977</v>
      </c>
      <c r="P20" s="3">
        <f t="shared" si="102"/>
        <v>0.16157205240174674</v>
      </c>
      <c r="Q20" s="3">
        <f t="shared" si="102"/>
        <v>0.19591576260370136</v>
      </c>
      <c r="R20" s="3">
        <f t="shared" si="102"/>
        <v>9.6491228070175419E-2</v>
      </c>
      <c r="S20" s="8">
        <f>+S11/S10</f>
        <v>0.12017994858611823</v>
      </c>
      <c r="T20" s="18">
        <f t="shared" ref="T20:V20" si="103">+T11/T10</f>
        <v>0.14000000000000001</v>
      </c>
      <c r="U20" s="18">
        <f t="shared" si="103"/>
        <v>0.14000000000000001</v>
      </c>
      <c r="V20" s="18">
        <f t="shared" si="103"/>
        <v>0.14000000000000001</v>
      </c>
      <c r="X20" s="3">
        <f>+X11/X10</f>
        <v>0.20330577806987979</v>
      </c>
      <c r="Y20" s="3">
        <f>+Y11/Y10</f>
        <v>0.16004658667151048</v>
      </c>
      <c r="Z20" s="3">
        <f>+Z11/Z10</f>
        <v>0.11947431302270003</v>
      </c>
      <c r="AA20" s="3">
        <f>+AA11/AA10</f>
        <v>0.13867293436991496</v>
      </c>
      <c r="AB20" s="3">
        <f t="shared" ref="AB20:AQ20" si="104">+AB11/AB10</f>
        <v>0.16744966442953027</v>
      </c>
      <c r="AC20" s="3">
        <f t="shared" si="104"/>
        <v>0.14868555821099347</v>
      </c>
      <c r="AD20" s="3">
        <f t="shared" si="104"/>
        <v>0.12641815235008105</v>
      </c>
      <c r="AE20" s="8">
        <f t="shared" si="104"/>
        <v>0.15316476083105163</v>
      </c>
      <c r="AF20" s="18">
        <f t="shared" si="104"/>
        <v>0.15</v>
      </c>
      <c r="AG20" s="8">
        <f t="shared" si="104"/>
        <v>0.15</v>
      </c>
      <c r="AH20" s="8">
        <f t="shared" si="104"/>
        <v>0.15</v>
      </c>
      <c r="AI20" s="8">
        <f t="shared" si="104"/>
        <v>0.15</v>
      </c>
      <c r="AJ20" s="8">
        <f t="shared" si="104"/>
        <v>0.15</v>
      </c>
      <c r="AK20" s="8">
        <f t="shared" si="104"/>
        <v>0.15</v>
      </c>
      <c r="AL20" s="8">
        <f t="shared" si="104"/>
        <v>0.15</v>
      </c>
      <c r="AM20" s="8">
        <f t="shared" si="104"/>
        <v>0.15</v>
      </c>
      <c r="AN20" s="8">
        <f t="shared" si="104"/>
        <v>0.15</v>
      </c>
      <c r="AO20" s="8">
        <f t="shared" si="104"/>
        <v>0.15</v>
      </c>
      <c r="AP20" s="8">
        <f t="shared" si="104"/>
        <v>0.15</v>
      </c>
      <c r="AQ20" s="8">
        <f t="shared" si="104"/>
        <v>0.15</v>
      </c>
      <c r="AT20" t="s">
        <v>52</v>
      </c>
      <c r="AU20" s="11">
        <f>+AU19/Main!K5</f>
        <v>147.89515641853853</v>
      </c>
    </row>
    <row r="21" spans="2:47" x14ac:dyDescent="0.25">
      <c r="U21" s="3"/>
      <c r="AT21" t="s">
        <v>53</v>
      </c>
      <c r="AU21" s="1">
        <f>+Main!K4</f>
        <v>119.62</v>
      </c>
    </row>
    <row r="22" spans="2:47" x14ac:dyDescent="0.25">
      <c r="G22" s="11"/>
      <c r="R22" s="1"/>
      <c r="AU22" s="3">
        <f>+AU20/AU21-1</f>
        <v>0.23637482376307073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Oyima</dc:creator>
  <cp:lastModifiedBy>Rohan Oyima</cp:lastModifiedBy>
  <cp:lastPrinted>2023-05-11T13:32:28Z</cp:lastPrinted>
  <dcterms:created xsi:type="dcterms:W3CDTF">2023-05-11T07:26:19Z</dcterms:created>
  <dcterms:modified xsi:type="dcterms:W3CDTF">2023-05-11T13:39:18Z</dcterms:modified>
</cp:coreProperties>
</file>