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c472342d338db/Bureau/Equity Research/Stocks analysis/Ideas/Short/"/>
    </mc:Choice>
  </mc:AlternateContent>
  <xr:revisionPtr revIDLastSave="919" documentId="8_{0162331B-4CEB-4963-99CA-A90E281D1EFF}" xr6:coauthVersionLast="47" xr6:coauthVersionMax="47" xr10:uidLastSave="{0E8CCFA6-4E51-4177-BAC0-19919E359879}"/>
  <bookViews>
    <workbookView xWindow="-28920" yWindow="-120" windowWidth="29040" windowHeight="15720" activeTab="1" xr2:uid="{1DE020FB-36B9-44BC-8ED6-228E9251EF80}"/>
  </bookViews>
  <sheets>
    <sheet name="Main" sheetId="1" r:id="rId1"/>
    <sheet name="Model" sheetId="2" r:id="rId2"/>
    <sheet name="Price Per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8" i="2" l="1"/>
  <c r="AF29" i="2"/>
  <c r="AE29" i="2"/>
  <c r="AD29" i="2"/>
  <c r="AC29" i="2"/>
  <c r="AB29" i="2"/>
  <c r="AA29" i="2"/>
  <c r="Z29" i="2"/>
  <c r="Y29" i="2"/>
  <c r="U29" i="2"/>
  <c r="S29" i="2"/>
  <c r="Q29" i="2"/>
  <c r="P29" i="2"/>
  <c r="O29" i="2"/>
  <c r="M29" i="2"/>
  <c r="L29" i="2"/>
  <c r="K29" i="2"/>
  <c r="I29" i="2"/>
  <c r="H29" i="2"/>
  <c r="G29" i="2"/>
  <c r="T3" i="2"/>
  <c r="U3" i="2" s="1"/>
  <c r="V3" i="2" s="1"/>
  <c r="AW25" i="2"/>
  <c r="AW22" i="2"/>
  <c r="T4" i="2"/>
  <c r="T5" i="2"/>
  <c r="AF28" i="2"/>
  <c r="AE28" i="2"/>
  <c r="AD28" i="2"/>
  <c r="AC28" i="2"/>
  <c r="AB28" i="2"/>
  <c r="AA28" i="2"/>
  <c r="Z28" i="2"/>
  <c r="AF27" i="2"/>
  <c r="AE27" i="2"/>
  <c r="AD27" i="2"/>
  <c r="AC27" i="2"/>
  <c r="AB27" i="2"/>
  <c r="AA27" i="2"/>
  <c r="Z27" i="2"/>
  <c r="AF26" i="2"/>
  <c r="AE26" i="2"/>
  <c r="AD26" i="2"/>
  <c r="AC26" i="2"/>
  <c r="AB26" i="2"/>
  <c r="AA26" i="2"/>
  <c r="Z26" i="2"/>
  <c r="Y28" i="2"/>
  <c r="Y27" i="2"/>
  <c r="Y26" i="2"/>
  <c r="S28" i="2"/>
  <c r="Q28" i="2"/>
  <c r="P28" i="2"/>
  <c r="O28" i="2"/>
  <c r="M28" i="2"/>
  <c r="L28" i="2"/>
  <c r="K28" i="2"/>
  <c r="I28" i="2"/>
  <c r="H28" i="2"/>
  <c r="S27" i="2"/>
  <c r="Q27" i="2"/>
  <c r="P27" i="2"/>
  <c r="O27" i="2"/>
  <c r="M27" i="2"/>
  <c r="L27" i="2"/>
  <c r="K27" i="2"/>
  <c r="I27" i="2"/>
  <c r="H27" i="2"/>
  <c r="G27" i="2"/>
  <c r="G28" i="2"/>
  <c r="S26" i="2"/>
  <c r="Q26" i="2"/>
  <c r="P26" i="2"/>
  <c r="O26" i="2"/>
  <c r="M26" i="2"/>
  <c r="L26" i="2"/>
  <c r="K26" i="2"/>
  <c r="I26" i="2"/>
  <c r="H26" i="2"/>
  <c r="G26" i="2"/>
  <c r="AG21" i="2" l="1"/>
  <c r="AG20" i="2"/>
  <c r="AG13" i="2"/>
  <c r="AG10" i="2"/>
  <c r="V11" i="2"/>
  <c r="U11" i="2"/>
  <c r="T11" i="2"/>
  <c r="T6" i="2"/>
  <c r="T28" i="2"/>
  <c r="AG6" i="2" l="1"/>
  <c r="T29" i="2"/>
  <c r="T26" i="2"/>
  <c r="U4" i="2"/>
  <c r="T27" i="2"/>
  <c r="U5" i="2"/>
  <c r="T7" i="2"/>
  <c r="T36" i="2" s="1"/>
  <c r="U7" i="2" l="1"/>
  <c r="U36" i="2" s="1"/>
  <c r="AH6" i="2"/>
  <c r="AG29" i="2"/>
  <c r="V4" i="2"/>
  <c r="U27" i="2"/>
  <c r="V5" i="2"/>
  <c r="U28" i="2"/>
  <c r="U26" i="2"/>
  <c r="T9" i="2"/>
  <c r="U9" i="2" l="1"/>
  <c r="U35" i="2" s="1"/>
  <c r="AI6" i="2"/>
  <c r="AH29" i="2"/>
  <c r="AG3" i="2"/>
  <c r="V7" i="2"/>
  <c r="AG5" i="2"/>
  <c r="AG4" i="2"/>
  <c r="T35" i="2"/>
  <c r="T12" i="2"/>
  <c r="T31" i="2"/>
  <c r="U31" i="2" l="1"/>
  <c r="U12" i="2"/>
  <c r="U14" i="2" s="1"/>
  <c r="U15" i="2" s="1"/>
  <c r="V9" i="2"/>
  <c r="V35" i="2" s="1"/>
  <c r="V36" i="2"/>
  <c r="AJ6" i="2"/>
  <c r="AI29" i="2"/>
  <c r="AG28" i="2"/>
  <c r="AH5" i="2"/>
  <c r="AH3" i="2"/>
  <c r="AG26" i="2"/>
  <c r="V31" i="2"/>
  <c r="V12" i="2"/>
  <c r="V32" i="2" s="1"/>
  <c r="AG27" i="2"/>
  <c r="AH4" i="2"/>
  <c r="V14" i="2"/>
  <c r="V15" i="2" s="1"/>
  <c r="U32" i="2"/>
  <c r="T32" i="2"/>
  <c r="T14" i="2"/>
  <c r="T15" i="2" s="1"/>
  <c r="AK6" i="2" l="1"/>
  <c r="AJ29" i="2"/>
  <c r="AI4" i="2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H27" i="2"/>
  <c r="AI3" i="2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H26" i="2"/>
  <c r="AI5" i="2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H28" i="2"/>
  <c r="U34" i="2"/>
  <c r="V34" i="2"/>
  <c r="AL6" i="2" l="1"/>
  <c r="AK29" i="2"/>
  <c r="AI28" i="2"/>
  <c r="AI26" i="2"/>
  <c r="AI27" i="2"/>
  <c r="V16" i="2"/>
  <c r="V17" i="2"/>
  <c r="V33" i="2"/>
  <c r="T34" i="2"/>
  <c r="AG15" i="2"/>
  <c r="T16" i="2"/>
  <c r="U16" i="2"/>
  <c r="AM6" i="2" l="1"/>
  <c r="AL29" i="2"/>
  <c r="AJ27" i="2"/>
  <c r="AJ26" i="2"/>
  <c r="AJ28" i="2"/>
  <c r="U17" i="2"/>
  <c r="U33" i="2"/>
  <c r="T17" i="2"/>
  <c r="T33" i="2"/>
  <c r="AN6" i="2" l="1"/>
  <c r="AM29" i="2"/>
  <c r="AK28" i="2"/>
  <c r="AK26" i="2"/>
  <c r="AK27" i="2"/>
  <c r="AO6" i="2" l="1"/>
  <c r="AN29" i="2"/>
  <c r="AL27" i="2"/>
  <c r="AL26" i="2"/>
  <c r="AL28" i="2"/>
  <c r="AP6" i="2" l="1"/>
  <c r="AO29" i="2"/>
  <c r="AM28" i="2"/>
  <c r="AM26" i="2"/>
  <c r="AM27" i="2"/>
  <c r="AQ6" i="2" l="1"/>
  <c r="AP29" i="2"/>
  <c r="AN27" i="2"/>
  <c r="AN26" i="2"/>
  <c r="AN28" i="2"/>
  <c r="AR6" i="2" l="1"/>
  <c r="AQ29" i="2"/>
  <c r="AO28" i="2"/>
  <c r="AO7" i="2"/>
  <c r="AO8" i="2" s="1"/>
  <c r="AO26" i="2"/>
  <c r="AO27" i="2"/>
  <c r="AO9" i="2" l="1"/>
  <c r="AO36" i="2"/>
  <c r="AS6" i="2"/>
  <c r="AS29" i="2" s="1"/>
  <c r="AR29" i="2"/>
  <c r="AP27" i="2"/>
  <c r="AP26" i="2"/>
  <c r="AO10" i="2"/>
  <c r="AO31" i="2"/>
  <c r="AP28" i="2"/>
  <c r="AP7" i="2"/>
  <c r="AO11" i="2" l="1"/>
  <c r="AO12" i="2" s="1"/>
  <c r="AO35" i="2"/>
  <c r="AP8" i="2"/>
  <c r="AP25" i="2"/>
  <c r="AQ28" i="2"/>
  <c r="AQ7" i="2"/>
  <c r="AO14" i="2"/>
  <c r="AO32" i="2"/>
  <c r="AQ26" i="2"/>
  <c r="AQ27" i="2"/>
  <c r="AP9" i="2" l="1"/>
  <c r="AP36" i="2"/>
  <c r="AP10" i="2"/>
  <c r="AP31" i="2"/>
  <c r="AS27" i="2"/>
  <c r="AR27" i="2"/>
  <c r="AS26" i="2"/>
  <c r="AR26" i="2"/>
  <c r="AO15" i="2"/>
  <c r="AO34" i="2" s="1"/>
  <c r="AQ8" i="2"/>
  <c r="AQ25" i="2"/>
  <c r="AR28" i="2"/>
  <c r="AR7" i="2"/>
  <c r="AQ9" i="2" l="1"/>
  <c r="AQ36" i="2"/>
  <c r="AP11" i="2"/>
  <c r="AP12" i="2" s="1"/>
  <c r="AP35" i="2"/>
  <c r="AO16" i="2"/>
  <c r="AO17" i="2" s="1"/>
  <c r="AQ10" i="2"/>
  <c r="AQ31" i="2"/>
  <c r="AR8" i="2"/>
  <c r="AR25" i="2"/>
  <c r="AS28" i="2"/>
  <c r="AS7" i="2"/>
  <c r="AP14" i="2"/>
  <c r="AP32" i="2"/>
  <c r="AR9" i="2" l="1"/>
  <c r="AR36" i="2"/>
  <c r="AQ11" i="2"/>
  <c r="AQ12" i="2" s="1"/>
  <c r="AQ35" i="2"/>
  <c r="AO33" i="2"/>
  <c r="AR10" i="2"/>
  <c r="AR31" i="2"/>
  <c r="AP15" i="2"/>
  <c r="AP34" i="2" s="1"/>
  <c r="AS8" i="2"/>
  <c r="AS25" i="2"/>
  <c r="AQ14" i="2"/>
  <c r="AQ32" i="2"/>
  <c r="AS9" i="2" l="1"/>
  <c r="AS10" i="2" s="1"/>
  <c r="AS36" i="2"/>
  <c r="AR11" i="2"/>
  <c r="AR12" i="2" s="1"/>
  <c r="AR35" i="2"/>
  <c r="AQ15" i="2"/>
  <c r="AQ34" i="2" s="1"/>
  <c r="AP16" i="2"/>
  <c r="AR32" i="2"/>
  <c r="AR14" i="2"/>
  <c r="AS31" i="2" l="1"/>
  <c r="AS11" i="2"/>
  <c r="AS12" i="2" s="1"/>
  <c r="AS35" i="2"/>
  <c r="AQ16" i="2"/>
  <c r="AS14" i="2"/>
  <c r="AS32" i="2"/>
  <c r="AQ17" i="2"/>
  <c r="AQ33" i="2"/>
  <c r="AR15" i="2"/>
  <c r="AR34" i="2" s="1"/>
  <c r="AP17" i="2"/>
  <c r="AP33" i="2"/>
  <c r="F15" i="2"/>
  <c r="F10" i="2"/>
  <c r="F6" i="2"/>
  <c r="F5" i="2"/>
  <c r="F3" i="2"/>
  <c r="F4" i="2"/>
  <c r="J15" i="2"/>
  <c r="J10" i="2"/>
  <c r="J6" i="2"/>
  <c r="J5" i="2"/>
  <c r="J4" i="2"/>
  <c r="J3" i="2"/>
  <c r="N15" i="2"/>
  <c r="N10" i="2"/>
  <c r="N6" i="2"/>
  <c r="N29" i="2" s="1"/>
  <c r="N5" i="2"/>
  <c r="N28" i="2" s="1"/>
  <c r="N4" i="2"/>
  <c r="N27" i="2" s="1"/>
  <c r="N3" i="2"/>
  <c r="N26" i="2" s="1"/>
  <c r="R15" i="2"/>
  <c r="R10" i="2"/>
  <c r="R6" i="2"/>
  <c r="R5" i="2"/>
  <c r="R4" i="2"/>
  <c r="R3" i="2"/>
  <c r="Y18" i="2"/>
  <c r="X18" i="2"/>
  <c r="Z18" i="2"/>
  <c r="Z22" i="2"/>
  <c r="Y22" i="2"/>
  <c r="X22" i="2"/>
  <c r="X8" i="2"/>
  <c r="Y8" i="2"/>
  <c r="Z8" i="2"/>
  <c r="AF22" i="2"/>
  <c r="AE22" i="2"/>
  <c r="AD22" i="2"/>
  <c r="V29" i="2" l="1"/>
  <c r="R29" i="2"/>
  <c r="J29" i="2"/>
  <c r="AR16" i="2"/>
  <c r="AR17" i="2" s="1"/>
  <c r="R28" i="2"/>
  <c r="V28" i="2"/>
  <c r="J26" i="2"/>
  <c r="R26" i="2"/>
  <c r="V26" i="2"/>
  <c r="AR33" i="2"/>
  <c r="J27" i="2"/>
  <c r="J28" i="2"/>
  <c r="R27" i="2"/>
  <c r="V27" i="2"/>
  <c r="AS15" i="2"/>
  <c r="AS34" i="2" s="1"/>
  <c r="AS16" i="2" l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CC16" i="2" s="1"/>
  <c r="CD16" i="2" s="1"/>
  <c r="CE16" i="2" s="1"/>
  <c r="CF16" i="2" s="1"/>
  <c r="CG16" i="2" s="1"/>
  <c r="AS17" i="2"/>
  <c r="AS33" i="2"/>
  <c r="AD8" i="2" l="1"/>
  <c r="AE8" i="2"/>
  <c r="AF8" i="2"/>
  <c r="AB22" i="2"/>
  <c r="AA22" i="2"/>
  <c r="AC22" i="2"/>
  <c r="AF11" i="2"/>
  <c r="AE11" i="2"/>
  <c r="AD11" i="2"/>
  <c r="AB11" i="2"/>
  <c r="AA11" i="2"/>
  <c r="Z11" i="2"/>
  <c r="Y11" i="2"/>
  <c r="X11" i="2"/>
  <c r="AC11" i="2"/>
  <c r="AA8" i="2"/>
  <c r="AA36" i="2" s="1"/>
  <c r="AB8" i="2"/>
  <c r="AC8" i="2"/>
  <c r="AN7" i="2"/>
  <c r="AN8" i="2" s="1"/>
  <c r="AN36" i="2" s="1"/>
  <c r="AM7" i="2"/>
  <c r="AM8" i="2" s="1"/>
  <c r="AL7" i="2"/>
  <c r="AL8" i="2" s="1"/>
  <c r="AL36" i="2" s="1"/>
  <c r="AK7" i="2"/>
  <c r="AK8" i="2" s="1"/>
  <c r="AK36" i="2" s="1"/>
  <c r="AJ7" i="2"/>
  <c r="AJ8" i="2" s="1"/>
  <c r="AJ36" i="2" s="1"/>
  <c r="AI7" i="2"/>
  <c r="AI8" i="2" s="1"/>
  <c r="AI36" i="2" s="1"/>
  <c r="AH7" i="2"/>
  <c r="AF7" i="2"/>
  <c r="AE7" i="2"/>
  <c r="AD7" i="2"/>
  <c r="AB7" i="2"/>
  <c r="AA7" i="2"/>
  <c r="Z7" i="2"/>
  <c r="Z36" i="2" s="1"/>
  <c r="Y7" i="2"/>
  <c r="Y36" i="2" s="1"/>
  <c r="X7" i="2"/>
  <c r="AC7" i="2"/>
  <c r="C8" i="2"/>
  <c r="S22" i="2"/>
  <c r="AG22" i="2" s="1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D8" i="2"/>
  <c r="H8" i="2"/>
  <c r="E8" i="2"/>
  <c r="I8" i="2"/>
  <c r="I18" i="2"/>
  <c r="G8" i="2"/>
  <c r="K8" i="2"/>
  <c r="K36" i="2" s="1"/>
  <c r="K18" i="2"/>
  <c r="L8" i="2"/>
  <c r="L36" i="2" s="1"/>
  <c r="P8" i="2"/>
  <c r="P36" i="2" s="1"/>
  <c r="M8" i="2"/>
  <c r="M36" i="2" s="1"/>
  <c r="Q8" i="2"/>
  <c r="Q36" i="2" s="1"/>
  <c r="R7" i="2"/>
  <c r="V25" i="2" s="1"/>
  <c r="Q7" i="2"/>
  <c r="U25" i="2" s="1"/>
  <c r="P7" i="2"/>
  <c r="T25" i="2" s="1"/>
  <c r="O7" i="2"/>
  <c r="M7" i="2"/>
  <c r="L7" i="2"/>
  <c r="K7" i="2"/>
  <c r="J7" i="2"/>
  <c r="I7" i="2"/>
  <c r="H7" i="2"/>
  <c r="G7" i="2"/>
  <c r="E7" i="2"/>
  <c r="D7" i="2"/>
  <c r="C7" i="2"/>
  <c r="S7" i="2"/>
  <c r="AG7" i="2" s="1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S11" i="2"/>
  <c r="AG11" i="2" s="1"/>
  <c r="O8" i="2"/>
  <c r="S8" i="2"/>
  <c r="Z2" i="2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I36" i="2" l="1"/>
  <c r="E36" i="2"/>
  <c r="H36" i="2"/>
  <c r="AM9" i="2"/>
  <c r="AM10" i="2" s="1"/>
  <c r="AM36" i="2"/>
  <c r="AF36" i="2"/>
  <c r="D36" i="2"/>
  <c r="AG8" i="2"/>
  <c r="AG36" i="2" s="1"/>
  <c r="S36" i="2"/>
  <c r="AC36" i="2"/>
  <c r="AE36" i="2"/>
  <c r="G36" i="2"/>
  <c r="C36" i="2"/>
  <c r="O36" i="2"/>
  <c r="X9" i="2"/>
  <c r="X31" i="2" s="1"/>
  <c r="X36" i="2"/>
  <c r="AB36" i="2"/>
  <c r="AD36" i="2"/>
  <c r="AG25" i="2"/>
  <c r="AM11" i="2"/>
  <c r="AM35" i="2"/>
  <c r="AH8" i="2"/>
  <c r="AH36" i="2" s="1"/>
  <c r="AH25" i="2"/>
  <c r="AM25" i="2"/>
  <c r="R8" i="2"/>
  <c r="AH9" i="2"/>
  <c r="AH10" i="2" s="1"/>
  <c r="AI9" i="2"/>
  <c r="AI10" i="2" s="1"/>
  <c r="AI25" i="2"/>
  <c r="AJ9" i="2"/>
  <c r="AJ10" i="2" s="1"/>
  <c r="AJ25" i="2"/>
  <c r="AK9" i="2"/>
  <c r="AK10" i="2" s="1"/>
  <c r="AK25" i="2"/>
  <c r="AL9" i="2"/>
  <c r="AL10" i="2" s="1"/>
  <c r="AL25" i="2"/>
  <c r="AF25" i="2"/>
  <c r="AM12" i="2"/>
  <c r="AM31" i="2"/>
  <c r="N8" i="2"/>
  <c r="AN9" i="2"/>
  <c r="AO25" i="2"/>
  <c r="AN25" i="2"/>
  <c r="F8" i="2"/>
  <c r="Y9" i="2"/>
  <c r="Y25" i="2"/>
  <c r="AC9" i="2"/>
  <c r="AC35" i="2" s="1"/>
  <c r="AC25" i="2"/>
  <c r="J8" i="2"/>
  <c r="S25" i="2"/>
  <c r="Z9" i="2"/>
  <c r="Z25" i="2"/>
  <c r="AA25" i="2"/>
  <c r="AB9" i="2"/>
  <c r="AB35" i="2" s="1"/>
  <c r="AB25" i="2"/>
  <c r="AD9" i="2"/>
  <c r="AD35" i="2" s="1"/>
  <c r="AD25" i="2"/>
  <c r="AE25" i="2"/>
  <c r="AE9" i="2"/>
  <c r="AE35" i="2" s="1"/>
  <c r="AF9" i="2"/>
  <c r="AF35" i="2" s="1"/>
  <c r="AA9" i="2"/>
  <c r="AA35" i="2" s="1"/>
  <c r="P9" i="2"/>
  <c r="Q9" i="2"/>
  <c r="Q25" i="2"/>
  <c r="I9" i="2"/>
  <c r="O25" i="2"/>
  <c r="P25" i="2"/>
  <c r="C9" i="2"/>
  <c r="D9" i="2"/>
  <c r="H25" i="2"/>
  <c r="H9" i="2"/>
  <c r="E9" i="2"/>
  <c r="I25" i="2"/>
  <c r="M25" i="2"/>
  <c r="G9" i="2"/>
  <c r="G25" i="2"/>
  <c r="K9" i="2"/>
  <c r="K25" i="2"/>
  <c r="L25" i="2"/>
  <c r="L9" i="2"/>
  <c r="M9" i="2"/>
  <c r="M35" i="2" s="1"/>
  <c r="O9" i="2"/>
  <c r="O35" i="2" s="1"/>
  <c r="S9" i="2"/>
  <c r="X12" i="2" l="1"/>
  <c r="R9" i="2"/>
  <c r="R35" i="2" s="1"/>
  <c r="R36" i="2"/>
  <c r="X35" i="2"/>
  <c r="J9" i="2"/>
  <c r="J35" i="2" s="1"/>
  <c r="J36" i="2"/>
  <c r="AK11" i="2"/>
  <c r="AK35" i="2"/>
  <c r="AH11" i="2"/>
  <c r="AH12" i="2" s="1"/>
  <c r="AH35" i="2"/>
  <c r="AL11" i="2"/>
  <c r="AL12" i="2" s="1"/>
  <c r="AL35" i="2"/>
  <c r="AI11" i="2"/>
  <c r="AI12" i="2" s="1"/>
  <c r="AI35" i="2"/>
  <c r="AJ11" i="2"/>
  <c r="AJ12" i="2" s="1"/>
  <c r="AJ35" i="2"/>
  <c r="Y31" i="2"/>
  <c r="Y35" i="2"/>
  <c r="Z31" i="2"/>
  <c r="Z35" i="2"/>
  <c r="AN31" i="2"/>
  <c r="AN10" i="2"/>
  <c r="C31" i="2"/>
  <c r="C35" i="2"/>
  <c r="G31" i="2"/>
  <c r="G35" i="2"/>
  <c r="AI31" i="2"/>
  <c r="D31" i="2"/>
  <c r="D35" i="2"/>
  <c r="AM14" i="2"/>
  <c r="AM15" i="2" s="1"/>
  <c r="AM32" i="2"/>
  <c r="I31" i="2"/>
  <c r="I35" i="2"/>
  <c r="AL31" i="2"/>
  <c r="L31" i="2"/>
  <c r="L35" i="2"/>
  <c r="Q31" i="2"/>
  <c r="Q35" i="2"/>
  <c r="AK12" i="2"/>
  <c r="AK31" i="2"/>
  <c r="P31" i="2"/>
  <c r="P35" i="2"/>
  <c r="K31" i="2"/>
  <c r="K35" i="2"/>
  <c r="AJ31" i="2"/>
  <c r="AH31" i="2"/>
  <c r="H31" i="2"/>
  <c r="H35" i="2"/>
  <c r="S31" i="2"/>
  <c r="S35" i="2"/>
  <c r="AG9" i="2"/>
  <c r="E31" i="2"/>
  <c r="E35" i="2"/>
  <c r="J31" i="2"/>
  <c r="J12" i="2"/>
  <c r="J32" i="2" s="1"/>
  <c r="AD12" i="2"/>
  <c r="AD31" i="2"/>
  <c r="AC12" i="2"/>
  <c r="AC31" i="2"/>
  <c r="AB12" i="2"/>
  <c r="AB31" i="2"/>
  <c r="AA12" i="2"/>
  <c r="AA31" i="2"/>
  <c r="AF12" i="2"/>
  <c r="AF31" i="2"/>
  <c r="AE12" i="2"/>
  <c r="AE31" i="2"/>
  <c r="Z12" i="2"/>
  <c r="Y12" i="2"/>
  <c r="X14" i="2"/>
  <c r="X32" i="2"/>
  <c r="I12" i="2"/>
  <c r="I32" i="2" s="1"/>
  <c r="P12" i="2"/>
  <c r="P32" i="2" s="1"/>
  <c r="Q12" i="2"/>
  <c r="Q14" i="2" s="1"/>
  <c r="O31" i="2"/>
  <c r="M12" i="2"/>
  <c r="M32" i="2" s="1"/>
  <c r="M31" i="2"/>
  <c r="R31" i="2"/>
  <c r="O12" i="2"/>
  <c r="C12" i="2"/>
  <c r="C32" i="2" s="1"/>
  <c r="D12" i="2"/>
  <c r="D32" i="2" s="1"/>
  <c r="H12" i="2"/>
  <c r="H32" i="2" s="1"/>
  <c r="E12" i="2"/>
  <c r="E32" i="2" s="1"/>
  <c r="G12" i="2"/>
  <c r="G32" i="2" s="1"/>
  <c r="K12" i="2"/>
  <c r="K32" i="2" s="1"/>
  <c r="L12" i="2"/>
  <c r="L32" i="2" s="1"/>
  <c r="S12" i="2"/>
  <c r="R12" i="2" l="1"/>
  <c r="R32" i="2" s="1"/>
  <c r="AN11" i="2"/>
  <c r="AN12" i="2" s="1"/>
  <c r="AN35" i="2"/>
  <c r="AG31" i="2"/>
  <c r="AG35" i="2"/>
  <c r="S32" i="2"/>
  <c r="AG12" i="2"/>
  <c r="AG32" i="2" s="1"/>
  <c r="AL14" i="2"/>
  <c r="AL15" i="2" s="1"/>
  <c r="AL32" i="2"/>
  <c r="AI14" i="2"/>
  <c r="AI15" i="2" s="1"/>
  <c r="AI32" i="2"/>
  <c r="AM16" i="2"/>
  <c r="AM34" i="2"/>
  <c r="AN14" i="2"/>
  <c r="AN15" i="2" s="1"/>
  <c r="AN32" i="2"/>
  <c r="AK14" i="2"/>
  <c r="AK15" i="2" s="1"/>
  <c r="AK32" i="2"/>
  <c r="AJ14" i="2"/>
  <c r="AJ15" i="2" s="1"/>
  <c r="AJ32" i="2"/>
  <c r="AH14" i="2"/>
  <c r="AH15" i="2" s="1"/>
  <c r="AH32" i="2"/>
  <c r="Y14" i="2"/>
  <c r="Y32" i="2"/>
  <c r="AC14" i="2"/>
  <c r="AC32" i="2"/>
  <c r="AA14" i="2"/>
  <c r="AA32" i="2"/>
  <c r="AB14" i="2"/>
  <c r="AB32" i="2"/>
  <c r="J14" i="2"/>
  <c r="J16" i="2" s="1"/>
  <c r="J17" i="2" s="1"/>
  <c r="AD14" i="2"/>
  <c r="AD32" i="2"/>
  <c r="Z14" i="2"/>
  <c r="Z32" i="2"/>
  <c r="AE14" i="2"/>
  <c r="AE32" i="2"/>
  <c r="AF14" i="2"/>
  <c r="AF32" i="2"/>
  <c r="I14" i="2"/>
  <c r="I16" i="2" s="1"/>
  <c r="X16" i="2"/>
  <c r="X34" i="2"/>
  <c r="R14" i="2"/>
  <c r="R16" i="2" s="1"/>
  <c r="Q32" i="2"/>
  <c r="P14" i="2"/>
  <c r="P16" i="2" s="1"/>
  <c r="H14" i="2"/>
  <c r="H16" i="2" s="1"/>
  <c r="M14" i="2"/>
  <c r="M16" i="2" s="1"/>
  <c r="O32" i="2"/>
  <c r="O14" i="2"/>
  <c r="O34" i="2" s="1"/>
  <c r="E14" i="2"/>
  <c r="E16" i="2" s="1"/>
  <c r="Q16" i="2"/>
  <c r="Q34" i="2"/>
  <c r="C14" i="2"/>
  <c r="C16" i="2" s="1"/>
  <c r="D14" i="2"/>
  <c r="D16" i="2" s="1"/>
  <c r="G14" i="2"/>
  <c r="K14" i="2"/>
  <c r="K16" i="2" s="1"/>
  <c r="G16" i="2"/>
  <c r="G34" i="2"/>
  <c r="K34" i="2"/>
  <c r="L14" i="2"/>
  <c r="S14" i="2"/>
  <c r="J33" i="2" l="1"/>
  <c r="AM33" i="2"/>
  <c r="AM17" i="2"/>
  <c r="AH16" i="2"/>
  <c r="AH34" i="2"/>
  <c r="AJ16" i="2"/>
  <c r="AJ34" i="2"/>
  <c r="S34" i="2"/>
  <c r="AG14" i="2"/>
  <c r="AG34" i="2" s="1"/>
  <c r="AL16" i="2"/>
  <c r="AL34" i="2"/>
  <c r="AN16" i="2"/>
  <c r="AN34" i="2"/>
  <c r="AI16" i="2"/>
  <c r="AI34" i="2"/>
  <c r="AK16" i="2"/>
  <c r="AK34" i="2"/>
  <c r="AF16" i="2"/>
  <c r="AF34" i="2"/>
  <c r="Y16" i="2"/>
  <c r="Y34" i="2"/>
  <c r="AE16" i="2"/>
  <c r="AE34" i="2"/>
  <c r="Z16" i="2"/>
  <c r="Z34" i="2"/>
  <c r="AD16" i="2"/>
  <c r="AD34" i="2"/>
  <c r="I34" i="2"/>
  <c r="AB16" i="2"/>
  <c r="AB34" i="2"/>
  <c r="E34" i="2"/>
  <c r="H34" i="2"/>
  <c r="J34" i="2"/>
  <c r="AA16" i="2"/>
  <c r="AA34" i="2"/>
  <c r="X33" i="2"/>
  <c r="X17" i="2"/>
  <c r="AC16" i="2"/>
  <c r="AC34" i="2"/>
  <c r="P34" i="2"/>
  <c r="R34" i="2"/>
  <c r="O16" i="2"/>
  <c r="O33" i="2" s="1"/>
  <c r="M17" i="2"/>
  <c r="M33" i="2"/>
  <c r="M34" i="2"/>
  <c r="O17" i="2"/>
  <c r="Q33" i="2"/>
  <c r="Q17" i="2"/>
  <c r="R17" i="2"/>
  <c r="R33" i="2"/>
  <c r="D34" i="2"/>
  <c r="C34" i="2"/>
  <c r="C17" i="2"/>
  <c r="C33" i="2"/>
  <c r="D17" i="2"/>
  <c r="D33" i="2"/>
  <c r="H17" i="2"/>
  <c r="H33" i="2"/>
  <c r="E17" i="2"/>
  <c r="E33" i="2"/>
  <c r="I17" i="2"/>
  <c r="I33" i="2"/>
  <c r="G17" i="2"/>
  <c r="G33" i="2"/>
  <c r="K17" i="2"/>
  <c r="K33" i="2"/>
  <c r="L16" i="2"/>
  <c r="L17" i="2" s="1"/>
  <c r="L34" i="2"/>
  <c r="P17" i="2"/>
  <c r="P33" i="2"/>
  <c r="S16" i="2"/>
  <c r="AI33" i="2" l="1"/>
  <c r="AI17" i="2"/>
  <c r="AK33" i="2"/>
  <c r="AK17" i="2"/>
  <c r="AL33" i="2"/>
  <c r="AL17" i="2"/>
  <c r="AJ33" i="2"/>
  <c r="AJ17" i="2"/>
  <c r="AH33" i="2"/>
  <c r="AH17" i="2"/>
  <c r="AN33" i="2"/>
  <c r="AN17" i="2"/>
  <c r="S17" i="2"/>
  <c r="AG16" i="2"/>
  <c r="AD17" i="2"/>
  <c r="AD33" i="2"/>
  <c r="Z33" i="2"/>
  <c r="Z17" i="2"/>
  <c r="AC17" i="2"/>
  <c r="AC33" i="2"/>
  <c r="AE17" i="2"/>
  <c r="AE33" i="2"/>
  <c r="Y33" i="2"/>
  <c r="Y17" i="2"/>
  <c r="AB17" i="2"/>
  <c r="AB33" i="2"/>
  <c r="AA17" i="2"/>
  <c r="AA33" i="2"/>
  <c r="AF17" i="2"/>
  <c r="AF33" i="2"/>
  <c r="L33" i="2"/>
  <c r="S33" i="2"/>
  <c r="AW21" i="2" l="1"/>
  <c r="AW23" i="2" s="1"/>
  <c r="AW24" i="2" s="1"/>
  <c r="AW26" i="2" s="1"/>
  <c r="AG17" i="2"/>
  <c r="AG33" i="2"/>
  <c r="M7" i="1"/>
  <c r="M10" i="1" s="1"/>
  <c r="N7" i="2"/>
  <c r="N25" i="2" l="1"/>
  <c r="N36" i="2"/>
  <c r="R25" i="2"/>
  <c r="N9" i="2"/>
  <c r="N12" i="2"/>
  <c r="N14" i="2" s="1"/>
  <c r="N32" i="2" l="1"/>
  <c r="N31" i="2"/>
  <c r="N35" i="2"/>
  <c r="N34" i="2"/>
  <c r="N16" i="2"/>
  <c r="N17" i="2" l="1"/>
  <c r="N33" i="2"/>
  <c r="F7" i="2"/>
  <c r="J25" i="2" l="1"/>
  <c r="F36" i="2"/>
  <c r="F9" i="2"/>
  <c r="F12" i="2" l="1"/>
  <c r="F14" i="2" s="1"/>
  <c r="F35" i="2"/>
  <c r="F32" i="2"/>
  <c r="F31" i="2"/>
  <c r="F16" i="2" l="1"/>
  <c r="F34" i="2"/>
  <c r="F17" i="2" l="1"/>
  <c r="F33" i="2"/>
</calcChain>
</file>

<file path=xl/sharedStrings.xml><?xml version="1.0" encoding="utf-8"?>
<sst xmlns="http://schemas.openxmlformats.org/spreadsheetml/2006/main" count="124" uniqueCount="104">
  <si>
    <t>Price</t>
  </si>
  <si>
    <t>shares</t>
  </si>
  <si>
    <t>MC</t>
  </si>
  <si>
    <t>Cash</t>
  </si>
  <si>
    <t>Debt</t>
  </si>
  <si>
    <t>EV</t>
  </si>
  <si>
    <t>Q123</t>
  </si>
  <si>
    <t>COGS</t>
  </si>
  <si>
    <t>Revenue</t>
  </si>
  <si>
    <t>Gross profit</t>
  </si>
  <si>
    <t>SG&amp;A</t>
  </si>
  <si>
    <t>Operating Expense</t>
  </si>
  <si>
    <t xml:space="preserve">Oerating Income </t>
  </si>
  <si>
    <t>Interest Income</t>
  </si>
  <si>
    <t>Pretax Income</t>
  </si>
  <si>
    <t>Taxes</t>
  </si>
  <si>
    <t>Net Income</t>
  </si>
  <si>
    <t>EPS</t>
  </si>
  <si>
    <t>Shares</t>
  </si>
  <si>
    <t>Revenue YoY</t>
  </si>
  <si>
    <t>Gross Margin</t>
  </si>
  <si>
    <t>Operating Margin</t>
  </si>
  <si>
    <t xml:space="preserve">Net Margin </t>
  </si>
  <si>
    <t>Tax rate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</si>
  <si>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</si>
  <si>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</si>
  <si>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</si>
  <si>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</si>
  <si>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</si>
  <si>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</si>
  <si>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</si>
  <si>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</si>
  <si>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</si>
  <si>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</si>
  <si>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</si>
  <si>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</si>
  <si>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</si>
  <si>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</si>
  <si>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</si>
  <si>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</si>
  <si>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Q223</t>
  </si>
  <si>
    <t>Q323</t>
  </si>
  <si>
    <t>Q423</t>
  </si>
  <si>
    <t>Capex</t>
  </si>
  <si>
    <t>CCFO</t>
  </si>
  <si>
    <t>FCF</t>
  </si>
  <si>
    <t>LEN</t>
  </si>
  <si>
    <t xml:space="preserve">Lennar Corp </t>
  </si>
  <si>
    <t>Homebuilding</t>
  </si>
  <si>
    <t>Financial services</t>
  </si>
  <si>
    <t>Multifamily</t>
  </si>
  <si>
    <t>Others</t>
  </si>
  <si>
    <t>FEB</t>
  </si>
  <si>
    <t>MAY</t>
  </si>
  <si>
    <t>AUG</t>
  </si>
  <si>
    <t>NOV</t>
  </si>
  <si>
    <t>expect flat result for 2023 / Exageration ?</t>
  </si>
  <si>
    <t>house purchaser less attractive to customer</t>
  </si>
  <si>
    <t>recession could exacerb housing shortage</t>
  </si>
  <si>
    <t xml:space="preserve">SG&amp;A margin </t>
  </si>
  <si>
    <t>Homebuilding YoY</t>
  </si>
  <si>
    <t>Financial Services YoY</t>
  </si>
  <si>
    <t>Multifamily YoY</t>
  </si>
  <si>
    <t>SG&amp;A expected at 7.2-7.4% / plausible</t>
  </si>
  <si>
    <t>multifamily and others loss of 20m</t>
  </si>
  <si>
    <t>Earnings call Guidance Q2</t>
  </si>
  <si>
    <t>expect 21-21.5% gross margin for / I expect a 19% margin</t>
  </si>
  <si>
    <t xml:space="preserve">expect 10m$ earnings  </t>
  </si>
  <si>
    <t>Financial services earnings at 75-75m$ for Q2</t>
  </si>
  <si>
    <t>Infos</t>
  </si>
  <si>
    <t>Main revenue West of US (Arizona, California, Colorado, Idaho, Nevada, Oregon, Utah and Washington)</t>
  </si>
  <si>
    <t xml:space="preserve">Maturity </t>
  </si>
  <si>
    <t>Discount rate</t>
  </si>
  <si>
    <t>NPV</t>
  </si>
  <si>
    <t>Net cash</t>
  </si>
  <si>
    <t>Total Value</t>
  </si>
  <si>
    <t>Current Price</t>
  </si>
  <si>
    <t>https://www.federalreserve.gov/data/documents/sloos-202304-charts.pdf</t>
  </si>
  <si>
    <t xml:space="preserve">CEO </t>
  </si>
  <si>
    <t>CFO</t>
  </si>
  <si>
    <t>Chairman</t>
  </si>
  <si>
    <t>COO</t>
  </si>
  <si>
    <t>Stuart Miler</t>
  </si>
  <si>
    <t xml:space="preserve">Rick Beckwitt / Jon Jaffe </t>
  </si>
  <si>
    <t>Diane Bessette</t>
  </si>
  <si>
    <t>Fred Rothman</t>
  </si>
  <si>
    <t>Ticker :</t>
  </si>
  <si>
    <t>Name :</t>
  </si>
  <si>
    <t>Others YoY</t>
  </si>
  <si>
    <t>Target price</t>
  </si>
  <si>
    <t>Trading at all time high despite macro headwinds</t>
  </si>
  <si>
    <t>Banks loans to consumer is decreasing</t>
  </si>
  <si>
    <t>Housing starts and permits plumiting</t>
  </si>
  <si>
    <t>Lennar has high exposure to home prices (80% of Mktcap is inventory )</t>
  </si>
  <si>
    <t>COGS margin</t>
  </si>
  <si>
    <t>Short Interst at 2.6%</t>
  </si>
  <si>
    <t>https://eyeonhousing.org/housing-statistics/</t>
  </si>
  <si>
    <t>Links</t>
  </si>
  <si>
    <t>Len Price</t>
  </si>
  <si>
    <t>consumer sentiment and housing affordability/starts are catalysts</t>
  </si>
  <si>
    <t>Divergence between house starts and price</t>
  </si>
  <si>
    <t xml:space="preserve">housing starts are sold 12-18 months later == this could explain LEN 2022 performance </t>
  </si>
  <si>
    <t>Housing Starts</t>
  </si>
  <si>
    <t xml:space="preserve">Len = cyclical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</si>
</sst>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0.0%"/>
    <numFmt numFmtId="165" formatCode="#,##0.0"/>
    <numFmt numFmtId="166" formatCode="#,##0.00;\-#,##0.00;#,##0.00;&quot;--&quot;"/>
    <numFmt numFmtId="169" formatCode="[$-409]d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3" fontId="1" fillId="0" borderId="1" xfId="0" applyNumberFormat="1" applyFont="1" applyBorder="1"/>
    <xf numFmtId="9" fontId="0" fillId="0" borderId="1" xfId="0" applyNumberFormat="1" applyBorder="1"/>
    <xf numFmtId="4" fontId="0" fillId="0" borderId="0" xfId="0" applyNumberFormat="1"/>
    <xf numFmtId="3" fontId="0" fillId="0" borderId="1" xfId="0" applyNumberFormat="1" applyBorder="1"/>
    <xf numFmtId="16" fontId="0" fillId="0" borderId="1" xfId="0" applyNumberFormat="1" applyBorder="1"/>
    <xf numFmtId="3" fontId="1" fillId="0" borderId="0" xfId="0" applyNumberFormat="1" applyFont="1"/>
    <xf numFmtId="9" fontId="1" fillId="0" borderId="1" xfId="0" applyNumberFormat="1" applyFont="1" applyBorder="1"/>
    <xf numFmtId="9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9" fontId="1" fillId="0" borderId="0" xfId="0" applyNumberFormat="1" applyFont="1"/>
    <xf numFmtId="16" fontId="0" fillId="0" borderId="0" xfId="0" applyNumberForma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/>
    <xf numFmtId="8" fontId="0" fillId="0" borderId="0" xfId="0" applyNumberFormat="1"/>
    <xf numFmtId="165" fontId="0" fillId="0" borderId="0" xfId="0" applyNumberFormat="1"/>
    <xf numFmtId="0" fontId="4" fillId="0" borderId="0" xfId="0" applyFont="1"/>
    <xf numFmtId="0" fontId="5" fillId="2" borderId="0" xfId="0" applyFont="1" applyFill="1"/>
    <xf numFmtId="0" fontId="2" fillId="0" borderId="0" xfId="0" applyFont="1"/>
    <xf numFmtId="166" fontId="6" fillId="0" borderId="2" xfId="0" applyNumberFormat="1" applyFont="1" applyBorder="1"/>
    <xf numFmtId="169" fontId="0" fillId="0" borderId="0" xfId="0" applyNumberFormat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housing</a:t>
            </a:r>
            <a:r>
              <a:rPr lang="en-US" baseline="0"/>
              <a:t> starts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'Price Perf'!$C$1</c:f>
              <c:strCache>
                <c:ptCount val="1"/>
                <c:pt idx="0">
                  <c:v>Housing Starts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'Price Perf'!$A$2:$A$61</c:f>
              <c:numCache>
                <c:formatCode>[$-409]dd\-mmm\-yy;@</c:formatCode>
                <c:ptCount val="60"/>
                <c:pt idx="0">
                  <c:v>43220</c:v>
                </c:pt>
                <c:pt idx="1">
                  <c:v>43251</c:v>
                </c:pt>
                <c:pt idx="2">
                  <c:v>43281</c:v>
                </c:pt>
                <c:pt idx="3">
                  <c:v>43312</c:v>
                </c:pt>
                <c:pt idx="4">
                  <c:v>43343</c:v>
                </c:pt>
                <c:pt idx="5">
                  <c:v>43373</c:v>
                </c:pt>
                <c:pt idx="6">
                  <c:v>43404</c:v>
                </c:pt>
                <c:pt idx="7">
                  <c:v>43434</c:v>
                </c:pt>
                <c:pt idx="8">
                  <c:v>43465</c:v>
                </c:pt>
                <c:pt idx="9">
                  <c:v>43496</c:v>
                </c:pt>
                <c:pt idx="10">
                  <c:v>43524</c:v>
                </c:pt>
                <c:pt idx="11">
                  <c:v>43555</c:v>
                </c:pt>
                <c:pt idx="12">
                  <c:v>43585</c:v>
                </c:pt>
                <c:pt idx="13">
                  <c:v>43616</c:v>
                </c:pt>
                <c:pt idx="14">
                  <c:v>43646</c:v>
                </c:pt>
                <c:pt idx="15">
                  <c:v>43677</c:v>
                </c:pt>
                <c:pt idx="16">
                  <c:v>43708</c:v>
                </c:pt>
                <c:pt idx="17">
                  <c:v>43738</c:v>
                </c:pt>
                <c:pt idx="18">
                  <c:v>43769</c:v>
                </c:pt>
                <c:pt idx="19">
                  <c:v>43799</c:v>
                </c:pt>
                <c:pt idx="20">
                  <c:v>43830</c:v>
                </c:pt>
                <c:pt idx="21">
                  <c:v>43861</c:v>
                </c:pt>
                <c:pt idx="22">
                  <c:v>43890</c:v>
                </c:pt>
                <c:pt idx="23">
                  <c:v>43921</c:v>
                </c:pt>
                <c:pt idx="24">
                  <c:v>43951</c:v>
                </c:pt>
                <c:pt idx="25">
                  <c:v>43982</c:v>
                </c:pt>
                <c:pt idx="26">
                  <c:v>44012</c:v>
                </c:pt>
                <c:pt idx="27">
                  <c:v>44043</c:v>
                </c:pt>
                <c:pt idx="28">
                  <c:v>44074</c:v>
                </c:pt>
                <c:pt idx="29">
                  <c:v>44104</c:v>
                </c:pt>
                <c:pt idx="30">
                  <c:v>44135</c:v>
                </c:pt>
                <c:pt idx="31">
                  <c:v>44165</c:v>
                </c:pt>
                <c:pt idx="32">
                  <c:v>44196</c:v>
                </c:pt>
                <c:pt idx="33">
                  <c:v>44227</c:v>
                </c:pt>
                <c:pt idx="34">
                  <c:v>44255</c:v>
                </c:pt>
                <c:pt idx="35">
                  <c:v>44286</c:v>
                </c:pt>
                <c:pt idx="36">
                  <c:v>44316</c:v>
                </c:pt>
                <c:pt idx="37">
                  <c:v>44347</c:v>
                </c:pt>
                <c:pt idx="38">
                  <c:v>44377</c:v>
                </c:pt>
                <c:pt idx="39">
                  <c:v>44408</c:v>
                </c:pt>
                <c:pt idx="40">
                  <c:v>44439</c:v>
                </c:pt>
                <c:pt idx="41">
                  <c:v>44469</c:v>
                </c:pt>
                <c:pt idx="42">
                  <c:v>44500</c:v>
                </c:pt>
                <c:pt idx="43">
                  <c:v>44530</c:v>
                </c:pt>
                <c:pt idx="44">
                  <c:v>44561</c:v>
                </c:pt>
                <c:pt idx="45">
                  <c:v>44592</c:v>
                </c:pt>
                <c:pt idx="46">
                  <c:v>44620</c:v>
                </c:pt>
                <c:pt idx="47">
                  <c:v>44651</c:v>
                </c:pt>
                <c:pt idx="48">
                  <c:v>44681</c:v>
                </c:pt>
                <c:pt idx="49">
                  <c:v>44712</c:v>
                </c:pt>
                <c:pt idx="50">
                  <c:v>44742</c:v>
                </c:pt>
                <c:pt idx="51">
                  <c:v>44773</c:v>
                </c:pt>
                <c:pt idx="52">
                  <c:v>44804</c:v>
                </c:pt>
                <c:pt idx="53">
                  <c:v>44834</c:v>
                </c:pt>
                <c:pt idx="54">
                  <c:v>44865</c:v>
                </c:pt>
                <c:pt idx="55">
                  <c:v>44895</c:v>
                </c:pt>
                <c:pt idx="56">
                  <c:v>44926</c:v>
                </c:pt>
                <c:pt idx="57">
                  <c:v>44957</c:v>
                </c:pt>
                <c:pt idx="58">
                  <c:v>44985</c:v>
                </c:pt>
                <c:pt idx="59">
                  <c:v>45016</c:v>
                </c:pt>
              </c:numCache>
            </c:numRef>
          </c:cat>
          <c:val>
            <c:numRef>
              <c:f>'Price Perf'!$C$2:$C$61</c:f>
              <c:numCache>
                <c:formatCode>General</c:formatCode>
                <c:ptCount val="60"/>
                <c:pt idx="0">
                  <c:v>1286000</c:v>
                </c:pt>
                <c:pt idx="1">
                  <c:v>1358000</c:v>
                </c:pt>
                <c:pt idx="2">
                  <c:v>1199000</c:v>
                </c:pt>
                <c:pt idx="3">
                  <c:v>1199000</c:v>
                </c:pt>
                <c:pt idx="4">
                  <c:v>1289000</c:v>
                </c:pt>
                <c:pt idx="5">
                  <c:v>1247000</c:v>
                </c:pt>
                <c:pt idx="6">
                  <c:v>1220000</c:v>
                </c:pt>
                <c:pt idx="7">
                  <c:v>1177000</c:v>
                </c:pt>
                <c:pt idx="8">
                  <c:v>1089000</c:v>
                </c:pt>
                <c:pt idx="9">
                  <c:v>1232000</c:v>
                </c:pt>
                <c:pt idx="10">
                  <c:v>1129000</c:v>
                </c:pt>
                <c:pt idx="11">
                  <c:v>1200000</c:v>
                </c:pt>
                <c:pt idx="12">
                  <c:v>1280000</c:v>
                </c:pt>
                <c:pt idx="13">
                  <c:v>1308000</c:v>
                </c:pt>
                <c:pt idx="14">
                  <c:v>1235000</c:v>
                </c:pt>
                <c:pt idx="15">
                  <c:v>1232000</c:v>
                </c:pt>
                <c:pt idx="16">
                  <c:v>1370000</c:v>
                </c:pt>
                <c:pt idx="17">
                  <c:v>1297000</c:v>
                </c:pt>
                <c:pt idx="18">
                  <c:v>1328000</c:v>
                </c:pt>
                <c:pt idx="19">
                  <c:v>1343000</c:v>
                </c:pt>
                <c:pt idx="20">
                  <c:v>1538000</c:v>
                </c:pt>
                <c:pt idx="21">
                  <c:v>1569000</c:v>
                </c:pt>
                <c:pt idx="22">
                  <c:v>1571000</c:v>
                </c:pt>
                <c:pt idx="23">
                  <c:v>1270000</c:v>
                </c:pt>
                <c:pt idx="24">
                  <c:v>938000</c:v>
                </c:pt>
                <c:pt idx="25">
                  <c:v>1055000</c:v>
                </c:pt>
                <c:pt idx="26">
                  <c:v>1269000</c:v>
                </c:pt>
                <c:pt idx="27">
                  <c:v>1510000</c:v>
                </c:pt>
                <c:pt idx="28">
                  <c:v>1376000</c:v>
                </c:pt>
                <c:pt idx="29">
                  <c:v>1461000</c:v>
                </c:pt>
                <c:pt idx="30">
                  <c:v>1530000</c:v>
                </c:pt>
                <c:pt idx="31">
                  <c:v>1541000</c:v>
                </c:pt>
                <c:pt idx="32">
                  <c:v>1651000</c:v>
                </c:pt>
                <c:pt idx="33">
                  <c:v>1602000</c:v>
                </c:pt>
                <c:pt idx="34">
                  <c:v>1430000</c:v>
                </c:pt>
                <c:pt idx="35">
                  <c:v>1711000</c:v>
                </c:pt>
                <c:pt idx="36">
                  <c:v>1505000</c:v>
                </c:pt>
                <c:pt idx="37">
                  <c:v>1605000</c:v>
                </c:pt>
                <c:pt idx="38">
                  <c:v>1664000</c:v>
                </c:pt>
                <c:pt idx="39">
                  <c:v>1573000</c:v>
                </c:pt>
                <c:pt idx="40">
                  <c:v>1576000</c:v>
                </c:pt>
                <c:pt idx="41">
                  <c:v>1559000</c:v>
                </c:pt>
                <c:pt idx="42">
                  <c:v>1563000</c:v>
                </c:pt>
                <c:pt idx="43">
                  <c:v>1706000</c:v>
                </c:pt>
                <c:pt idx="44">
                  <c:v>1768000</c:v>
                </c:pt>
                <c:pt idx="45">
                  <c:v>1666000</c:v>
                </c:pt>
                <c:pt idx="46">
                  <c:v>1777000</c:v>
                </c:pt>
                <c:pt idx="47">
                  <c:v>1716000</c:v>
                </c:pt>
                <c:pt idx="48">
                  <c:v>1805000</c:v>
                </c:pt>
                <c:pt idx="49">
                  <c:v>1562000</c:v>
                </c:pt>
                <c:pt idx="50">
                  <c:v>1575000</c:v>
                </c:pt>
                <c:pt idx="51">
                  <c:v>1377000</c:v>
                </c:pt>
                <c:pt idx="52">
                  <c:v>1508000</c:v>
                </c:pt>
                <c:pt idx="53">
                  <c:v>1465000</c:v>
                </c:pt>
                <c:pt idx="54">
                  <c:v>1426000</c:v>
                </c:pt>
                <c:pt idx="55">
                  <c:v>1419000</c:v>
                </c:pt>
                <c:pt idx="56">
                  <c:v>1348000</c:v>
                </c:pt>
                <c:pt idx="57">
                  <c:v>1334000</c:v>
                </c:pt>
                <c:pt idx="58">
                  <c:v>1432000</c:v>
                </c:pt>
                <c:pt idx="59">
                  <c:v>1420000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3-4A66-817C-D527631CF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919791"/>
        <c:axId val="309898191"/>
      </c:lineChart>
      <c:lineChart>
        <c:grouping val="standard"/>
        <c:varyColors val="0"/>
        <c:ser>
          <c:idx val="0"/>
          <c:order val="0"/>
          <c:tx>
            <c:strRef>
              <c:f>'Price Perf'!$B$1</c:f>
              <c:strCache>
                <c:ptCount val="1"/>
                <c:pt idx="0">
                  <c:v>Len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'Price Perf'!$A$2:$A$61</c:f>
              <c:numCache>
                <c:formatCode>[$-409]dd\-mmm\-yy;@</c:formatCode>
                <c:ptCount val="60"/>
                <c:pt idx="0">
                  <c:v>43220</c:v>
                </c:pt>
                <c:pt idx="1">
                  <c:v>43251</c:v>
                </c:pt>
                <c:pt idx="2">
                  <c:v>43281</c:v>
                </c:pt>
                <c:pt idx="3">
                  <c:v>43312</c:v>
                </c:pt>
                <c:pt idx="4">
                  <c:v>43343</c:v>
                </c:pt>
                <c:pt idx="5">
                  <c:v>43373</c:v>
                </c:pt>
                <c:pt idx="6">
                  <c:v>43404</c:v>
                </c:pt>
                <c:pt idx="7">
                  <c:v>43434</c:v>
                </c:pt>
                <c:pt idx="8">
                  <c:v>43465</c:v>
                </c:pt>
                <c:pt idx="9">
                  <c:v>43496</c:v>
                </c:pt>
                <c:pt idx="10">
                  <c:v>43524</c:v>
                </c:pt>
                <c:pt idx="11">
                  <c:v>43555</c:v>
                </c:pt>
                <c:pt idx="12">
                  <c:v>43585</c:v>
                </c:pt>
                <c:pt idx="13">
                  <c:v>43616</c:v>
                </c:pt>
                <c:pt idx="14">
                  <c:v>43646</c:v>
                </c:pt>
                <c:pt idx="15">
                  <c:v>43677</c:v>
                </c:pt>
                <c:pt idx="16">
                  <c:v>43708</c:v>
                </c:pt>
                <c:pt idx="17">
                  <c:v>43738</c:v>
                </c:pt>
                <c:pt idx="18">
                  <c:v>43769</c:v>
                </c:pt>
                <c:pt idx="19">
                  <c:v>43799</c:v>
                </c:pt>
                <c:pt idx="20">
                  <c:v>43830</c:v>
                </c:pt>
                <c:pt idx="21">
                  <c:v>43861</c:v>
                </c:pt>
                <c:pt idx="22">
                  <c:v>43890</c:v>
                </c:pt>
                <c:pt idx="23">
                  <c:v>43921</c:v>
                </c:pt>
                <c:pt idx="24">
                  <c:v>43951</c:v>
                </c:pt>
                <c:pt idx="25">
                  <c:v>43982</c:v>
                </c:pt>
                <c:pt idx="26">
                  <c:v>44012</c:v>
                </c:pt>
                <c:pt idx="27">
                  <c:v>44043</c:v>
                </c:pt>
                <c:pt idx="28">
                  <c:v>44074</c:v>
                </c:pt>
                <c:pt idx="29">
                  <c:v>44104</c:v>
                </c:pt>
                <c:pt idx="30">
                  <c:v>44135</c:v>
                </c:pt>
                <c:pt idx="31">
                  <c:v>44165</c:v>
                </c:pt>
                <c:pt idx="32">
                  <c:v>44196</c:v>
                </c:pt>
                <c:pt idx="33">
                  <c:v>44227</c:v>
                </c:pt>
                <c:pt idx="34">
                  <c:v>44255</c:v>
                </c:pt>
                <c:pt idx="35">
                  <c:v>44286</c:v>
                </c:pt>
                <c:pt idx="36">
                  <c:v>44316</c:v>
                </c:pt>
                <c:pt idx="37">
                  <c:v>44347</c:v>
                </c:pt>
                <c:pt idx="38">
                  <c:v>44377</c:v>
                </c:pt>
                <c:pt idx="39">
                  <c:v>44408</c:v>
                </c:pt>
                <c:pt idx="40">
                  <c:v>44439</c:v>
                </c:pt>
                <c:pt idx="41">
                  <c:v>44469</c:v>
                </c:pt>
                <c:pt idx="42">
                  <c:v>44500</c:v>
                </c:pt>
                <c:pt idx="43">
                  <c:v>44530</c:v>
                </c:pt>
                <c:pt idx="44">
                  <c:v>44561</c:v>
                </c:pt>
                <c:pt idx="45">
                  <c:v>44592</c:v>
                </c:pt>
                <c:pt idx="46">
                  <c:v>44620</c:v>
                </c:pt>
                <c:pt idx="47">
                  <c:v>44651</c:v>
                </c:pt>
                <c:pt idx="48">
                  <c:v>44681</c:v>
                </c:pt>
                <c:pt idx="49">
                  <c:v>44712</c:v>
                </c:pt>
                <c:pt idx="50">
                  <c:v>44742</c:v>
                </c:pt>
                <c:pt idx="51">
                  <c:v>44773</c:v>
                </c:pt>
                <c:pt idx="52">
                  <c:v>44804</c:v>
                </c:pt>
                <c:pt idx="53">
                  <c:v>44834</c:v>
                </c:pt>
                <c:pt idx="54">
                  <c:v>44865</c:v>
                </c:pt>
                <c:pt idx="55">
                  <c:v>44895</c:v>
                </c:pt>
                <c:pt idx="56">
                  <c:v>44926</c:v>
                </c:pt>
                <c:pt idx="57">
                  <c:v>44957</c:v>
                </c:pt>
                <c:pt idx="58">
                  <c:v>44985</c:v>
                </c:pt>
                <c:pt idx="59">
                  <c:v>45016</c:v>
                </c:pt>
              </c:numCache>
            </c:numRef>
          </c:cat>
          <c:val>
            <c:numRef>
              <c:f>'Price Perf'!$B$2:$B$61</c:f>
              <c:numCache>
                <c:formatCode>#,##0.00;\-#,##0.00;#,##0.00;"--"</c:formatCode>
                <c:ptCount val="60"/>
                <c:pt idx="0">
                  <c:v>51.74</c:v>
                </c:pt>
                <c:pt idx="1">
                  <c:v>52.5</c:v>
                </c:pt>
                <c:pt idx="2">
                  <c:v>52.27</c:v>
                </c:pt>
                <c:pt idx="3">
                  <c:v>51.67</c:v>
                </c:pt>
                <c:pt idx="4">
                  <c:v>46.69</c:v>
                </c:pt>
                <c:pt idx="5">
                  <c:v>42.98</c:v>
                </c:pt>
                <c:pt idx="6">
                  <c:v>42.73</c:v>
                </c:pt>
                <c:pt idx="7">
                  <c:v>39.15</c:v>
                </c:pt>
                <c:pt idx="8">
                  <c:v>47.42</c:v>
                </c:pt>
                <c:pt idx="9">
                  <c:v>47.98</c:v>
                </c:pt>
                <c:pt idx="10">
                  <c:v>49.09</c:v>
                </c:pt>
                <c:pt idx="11">
                  <c:v>52.03</c:v>
                </c:pt>
                <c:pt idx="12">
                  <c:v>49.66</c:v>
                </c:pt>
                <c:pt idx="13">
                  <c:v>48.46</c:v>
                </c:pt>
                <c:pt idx="14">
                  <c:v>47.57</c:v>
                </c:pt>
                <c:pt idx="15">
                  <c:v>51</c:v>
                </c:pt>
                <c:pt idx="16">
                  <c:v>55.85</c:v>
                </c:pt>
                <c:pt idx="17">
                  <c:v>59.6</c:v>
                </c:pt>
                <c:pt idx="18">
                  <c:v>59.65</c:v>
                </c:pt>
                <c:pt idx="19">
                  <c:v>55.79</c:v>
                </c:pt>
                <c:pt idx="20">
                  <c:v>66.36</c:v>
                </c:pt>
                <c:pt idx="21">
                  <c:v>60.34</c:v>
                </c:pt>
                <c:pt idx="22">
                  <c:v>38.200000000000003</c:v>
                </c:pt>
                <c:pt idx="23">
                  <c:v>50.07</c:v>
                </c:pt>
                <c:pt idx="24">
                  <c:v>60.46</c:v>
                </c:pt>
                <c:pt idx="25">
                  <c:v>61.62</c:v>
                </c:pt>
                <c:pt idx="26">
                  <c:v>72.349999999999994</c:v>
                </c:pt>
                <c:pt idx="27">
                  <c:v>74.819999999999993</c:v>
                </c:pt>
                <c:pt idx="28">
                  <c:v>81.680000000000007</c:v>
                </c:pt>
                <c:pt idx="29">
                  <c:v>70.23</c:v>
                </c:pt>
                <c:pt idx="30">
                  <c:v>75.86</c:v>
                </c:pt>
                <c:pt idx="31">
                  <c:v>76.23</c:v>
                </c:pt>
                <c:pt idx="32">
                  <c:v>83.15</c:v>
                </c:pt>
                <c:pt idx="33">
                  <c:v>82.97</c:v>
                </c:pt>
                <c:pt idx="34">
                  <c:v>101.23</c:v>
                </c:pt>
                <c:pt idx="35">
                  <c:v>103.6</c:v>
                </c:pt>
                <c:pt idx="36">
                  <c:v>99.01</c:v>
                </c:pt>
                <c:pt idx="37">
                  <c:v>99.35</c:v>
                </c:pt>
                <c:pt idx="38">
                  <c:v>105.15</c:v>
                </c:pt>
                <c:pt idx="39">
                  <c:v>107.31</c:v>
                </c:pt>
                <c:pt idx="40">
                  <c:v>93.68</c:v>
                </c:pt>
                <c:pt idx="41">
                  <c:v>99.93</c:v>
                </c:pt>
                <c:pt idx="42">
                  <c:v>105.05</c:v>
                </c:pt>
                <c:pt idx="43">
                  <c:v>116.16</c:v>
                </c:pt>
                <c:pt idx="44">
                  <c:v>96.11</c:v>
                </c:pt>
                <c:pt idx="45">
                  <c:v>89.88</c:v>
                </c:pt>
                <c:pt idx="46">
                  <c:v>81.17</c:v>
                </c:pt>
                <c:pt idx="47">
                  <c:v>76.489999999999995</c:v>
                </c:pt>
                <c:pt idx="48">
                  <c:v>80.25</c:v>
                </c:pt>
                <c:pt idx="49">
                  <c:v>70.569999999999993</c:v>
                </c:pt>
                <c:pt idx="50">
                  <c:v>85</c:v>
                </c:pt>
                <c:pt idx="51">
                  <c:v>77.45</c:v>
                </c:pt>
                <c:pt idx="52">
                  <c:v>74.55</c:v>
                </c:pt>
                <c:pt idx="53">
                  <c:v>80.7</c:v>
                </c:pt>
                <c:pt idx="54">
                  <c:v>87.83</c:v>
                </c:pt>
                <c:pt idx="55">
                  <c:v>90.5</c:v>
                </c:pt>
                <c:pt idx="56">
                  <c:v>102.4</c:v>
                </c:pt>
                <c:pt idx="57">
                  <c:v>96.74</c:v>
                </c:pt>
                <c:pt idx="58">
                  <c:v>105.11</c:v>
                </c:pt>
                <c:pt idx="59">
                  <c:v>112.81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3-4A66-817C-D527631CF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3365663"/>
        <c:axId val="859379711"/>
      </c:lineChart>
      <c:dateAx>
        <c:axId val="309919791"/>
        <c:scaling>
          <c:orientation val="minMax"/>
        </c:scaling>
        <c:delete val="0"/>
        <c:axPos val="b"/>
        <c:numFmt formatCode="[$-4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98191"/>
        <c:crosses val="autoZero"/>
        <c:auto val="1"/>
        <c:lblOffset val="100"/>
        <c:baseTimeUnit val="months"/>
      </c:dateAx>
      <c:valAx>
        <c:axId val="30989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19791"/>
        <c:crosses val="autoZero"/>
        <c:crossBetween val="between"/>
      </c:valAx>
      <c:valAx>
        <c:axId val="859379711"/>
        <c:scaling>
          <c:orientation val="minMax"/>
        </c:scaling>
        <c:delete val="0"/>
        <c:axPos val="r"/>
        <c:numFmt formatCode="#,##0.00;\-#,##0.00;#,##0.00;&quot;--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65663"/>
        <c:crosses val="max"/>
        <c:crossBetween val="between"/>
      </c:valAx>
      <c:dateAx>
        <c:axId val="863365663"/>
        <c:scaling>
          <c:orientation val="minMax"/>
        </c:scaling>
        <c:delete val="1"/>
        <c:axPos val="b"/>
        <c:numFmt formatCode="[$-409]dd\-mmm\-yy;@" sourceLinked="1"/>
        <c:majorTickMark val="out"/>
        <c:minorTickMark val="none"/>
        <c:tickLblPos val="nextTo"/>
        <c:crossAx val="859379711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1</xdr:row>
      <xdr:rowOff>176212</xdr:rowOff>
    </xdr:from>
    <xdr:to>
      <xdr:col>13</xdr:col>
      <xdr:colOff>66675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97C7AA-6DD4-1445-3CFD-AA6087A6F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C1E580-CDA8-44E4-9E09-89C823F27243}">
  <we:reference id="wa200000565" version="1.0.0.62" store="en-US" storeType="OMEX"/>
  <we:alternateReferences>
    <we:reference id="wa200000565" version="1.0.0.62" store="en-US" storeType="OMEX"/>
  </we:alternateReferences>
  <we:properties>
    <we:property name="userSettings_R12-1749658" value="&quot;{\&quot;dex2RequestClickThrough\&quot;:true,\&quot;isKeepRICUpperCase\&quot;:false,\&quot;functionSeparator\&quot;:\&quot;;\&quot;,\&quot;instrumentsHeaderSetting\&quot;:{\&quot;isInclude\&quot;:true,\&quot;headerPosition\&quot;:\&quot;Row\&quot;},\&quot;fieldsHeaderSetting\&quot;:{\&quot;isInclude\&quot;:true,\&quot;headerPosition\&quot;:\&quot;Column\&quot;},\&quot;dateHeaderSetting\&quot;:{\&quot;isInclude\&quot;:false,\&quot;headerPosition\&quot;:\&quot;Column\&quot;},\&quot;commonUserFundamentalsType\&quot;:\&quot;PLATFORM_DEFAULT\&quot;,\&quot;pauseMode\&quot;:false,\&quot;eikonWebmode\&quot;:\&quot;Eikon4\&quot;}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154C-CB9A-4AC6-A486-EFCC2D33A25C}">
  <dimension ref="C5:N22"/>
  <sheetViews>
    <sheetView workbookViewId="0">
      <selection activeCell="D10" sqref="D10"/>
    </sheetView>
  </sheetViews>
  <sheetFormatPr defaultRowHeight="15" x14ac:dyDescent="0.25"/>
  <cols>
    <col min="3" max="4" width="69.140625" bestFit="1" customWidth="1"/>
    <col min="7" max="7" width="9.42578125" bestFit="1" customWidth="1"/>
    <col min="8" max="8" width="15.5703125" bestFit="1" customWidth="1"/>
    <col min="12" max="12" width="12.42578125" customWidth="1"/>
    <col min="13" max="13" width="22.140625" customWidth="1"/>
  </cols>
  <sheetData>
    <row r="5" spans="3:14" ht="18.75" x14ac:dyDescent="0.3">
      <c r="D5" s="22"/>
      <c r="G5" s="23" t="s">
        <v>87</v>
      </c>
      <c r="H5" s="23" t="s">
        <v>47</v>
      </c>
      <c r="L5" t="s">
        <v>0</v>
      </c>
      <c r="M5">
        <v>113.23</v>
      </c>
    </row>
    <row r="6" spans="3:14" ht="18.75" x14ac:dyDescent="0.3">
      <c r="G6" s="23" t="s">
        <v>86</v>
      </c>
      <c r="H6" s="23" t="s">
        <v>46</v>
      </c>
      <c r="L6" t="s">
        <v>1</v>
      </c>
      <c r="M6" s="1">
        <v>289.39999999999998</v>
      </c>
      <c r="N6" t="s">
        <v>6</v>
      </c>
    </row>
    <row r="7" spans="3:14" x14ac:dyDescent="0.25">
      <c r="L7" t="s">
        <v>2</v>
      </c>
      <c r="M7" s="1">
        <f>+M6*M5</f>
        <v>32768.761999999995</v>
      </c>
      <c r="N7" t="s">
        <v>6</v>
      </c>
    </row>
    <row r="8" spans="3:14" x14ac:dyDescent="0.25">
      <c r="L8" t="s">
        <v>3</v>
      </c>
      <c r="M8" s="1">
        <v>24172</v>
      </c>
      <c r="N8" t="s">
        <v>6</v>
      </c>
    </row>
    <row r="9" spans="3:14" x14ac:dyDescent="0.25">
      <c r="C9" s="13" t="s">
        <v>65</v>
      </c>
      <c r="D9" s="13" t="s">
        <v>69</v>
      </c>
      <c r="L9" t="s">
        <v>4</v>
      </c>
      <c r="M9" s="1">
        <v>65964</v>
      </c>
      <c r="N9" t="s">
        <v>6</v>
      </c>
    </row>
    <row r="10" spans="3:14" x14ac:dyDescent="0.25">
      <c r="C10" t="s">
        <v>56</v>
      </c>
      <c r="D10" t="s">
        <v>103</v>
      </c>
      <c r="L10" t="s">
        <v>5</v>
      </c>
      <c r="M10" s="1">
        <f>+M7+M9-M8</f>
        <v>74560.761999999988</v>
      </c>
    </row>
    <row r="11" spans="3:14" ht="30" x14ac:dyDescent="0.25">
      <c r="C11" t="s">
        <v>57</v>
      </c>
      <c r="D11" s="14" t="s">
        <v>70</v>
      </c>
    </row>
    <row r="12" spans="3:14" x14ac:dyDescent="0.25">
      <c r="C12" t="s">
        <v>58</v>
      </c>
      <c r="D12" t="s">
        <v>99</v>
      </c>
    </row>
    <row r="13" spans="3:14" x14ac:dyDescent="0.25">
      <c r="C13" t="s">
        <v>66</v>
      </c>
      <c r="D13" s="24" t="s">
        <v>90</v>
      </c>
    </row>
    <row r="14" spans="3:14" x14ac:dyDescent="0.25">
      <c r="C14" t="s">
        <v>63</v>
      </c>
      <c r="D14" t="s">
        <v>91</v>
      </c>
    </row>
    <row r="15" spans="3:14" x14ac:dyDescent="0.25">
      <c r="C15" t="s">
        <v>67</v>
      </c>
      <c r="D15" t="s">
        <v>92</v>
      </c>
      <c r="L15" t="s">
        <v>80</v>
      </c>
      <c r="M15" t="s">
        <v>82</v>
      </c>
    </row>
    <row r="16" spans="3:14" x14ac:dyDescent="0.25">
      <c r="C16" t="s">
        <v>68</v>
      </c>
      <c r="D16" t="s">
        <v>93</v>
      </c>
      <c r="L16" t="s">
        <v>78</v>
      </c>
      <c r="M16" t="s">
        <v>83</v>
      </c>
    </row>
    <row r="17" spans="3:13" x14ac:dyDescent="0.25">
      <c r="C17" t="s">
        <v>64</v>
      </c>
      <c r="D17" s="24" t="s">
        <v>95</v>
      </c>
      <c r="L17" t="s">
        <v>79</v>
      </c>
      <c r="M17" t="s">
        <v>84</v>
      </c>
    </row>
    <row r="18" spans="3:13" x14ac:dyDescent="0.25">
      <c r="D18" t="s">
        <v>100</v>
      </c>
      <c r="L18" t="s">
        <v>81</v>
      </c>
      <c r="M18" t="s">
        <v>85</v>
      </c>
    </row>
    <row r="19" spans="3:13" x14ac:dyDescent="0.25">
      <c r="D19" t="s">
        <v>101</v>
      </c>
    </row>
    <row r="20" spans="3:13" x14ac:dyDescent="0.25">
      <c r="C20" s="13" t="s">
        <v>97</v>
      </c>
    </row>
    <row r="21" spans="3:13" x14ac:dyDescent="0.25">
      <c r="C21" t="s">
        <v>77</v>
      </c>
    </row>
    <row r="22" spans="3:13" x14ac:dyDescent="0.25">
      <c r="C22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F132-8982-43A1-9B8B-97DB61984108}">
  <dimension ref="A1:CG46"/>
  <sheetViews>
    <sheetView tabSelected="1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AI21" sqref="AI21"/>
    </sheetView>
  </sheetViews>
  <sheetFormatPr defaultRowHeight="15" x14ac:dyDescent="0.25"/>
  <cols>
    <col min="2" max="2" width="22.28515625" bestFit="1" customWidth="1"/>
    <col min="11" max="11" width="10.140625" bestFit="1" customWidth="1"/>
    <col min="19" max="19" width="9.140625" style="4"/>
    <col min="32" max="32" width="9.140625" style="4"/>
    <col min="48" max="48" width="12.7109375" bestFit="1" customWidth="1"/>
    <col min="49" max="49" width="12.7109375" customWidth="1"/>
  </cols>
  <sheetData>
    <row r="1" spans="1:85" x14ac:dyDescent="0.25">
      <c r="C1" s="16" t="s">
        <v>52</v>
      </c>
      <c r="D1" t="s">
        <v>53</v>
      </c>
      <c r="E1" t="s">
        <v>54</v>
      </c>
      <c r="F1" t="s">
        <v>55</v>
      </c>
      <c r="G1" s="16" t="s">
        <v>52</v>
      </c>
      <c r="H1" t="s">
        <v>53</v>
      </c>
      <c r="I1" t="s">
        <v>54</v>
      </c>
      <c r="J1" t="s">
        <v>55</v>
      </c>
      <c r="K1" s="16" t="s">
        <v>52</v>
      </c>
      <c r="L1" t="s">
        <v>53</v>
      </c>
      <c r="M1" t="s">
        <v>54</v>
      </c>
      <c r="N1" t="s">
        <v>55</v>
      </c>
      <c r="O1" s="16" t="s">
        <v>52</v>
      </c>
      <c r="P1" t="s">
        <v>53</v>
      </c>
      <c r="Q1" t="s">
        <v>54</v>
      </c>
      <c r="R1" t="s">
        <v>55</v>
      </c>
      <c r="S1" s="9" t="s">
        <v>52</v>
      </c>
      <c r="T1" t="s">
        <v>53</v>
      </c>
      <c r="U1" t="s">
        <v>54</v>
      </c>
      <c r="V1" t="s">
        <v>55</v>
      </c>
    </row>
    <row r="2" spans="1:85" x14ac:dyDescent="0.25">
      <c r="C2" s="17" t="s">
        <v>24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3" t="s">
        <v>6</v>
      </c>
      <c r="T2" s="2" t="s">
        <v>40</v>
      </c>
      <c r="U2" s="2" t="s">
        <v>41</v>
      </c>
      <c r="V2" s="2" t="s">
        <v>42</v>
      </c>
      <c r="X2" s="2">
        <v>2014</v>
      </c>
      <c r="Y2" s="2">
        <v>2015</v>
      </c>
      <c r="Z2" s="2">
        <f>+Y2+1</f>
        <v>2016</v>
      </c>
      <c r="AA2" s="2">
        <f t="shared" ref="AA2:AM2" si="0">+Z2+1</f>
        <v>2017</v>
      </c>
      <c r="AB2" s="2">
        <f t="shared" si="0"/>
        <v>2018</v>
      </c>
      <c r="AC2" s="2">
        <f t="shared" si="0"/>
        <v>2019</v>
      </c>
      <c r="AD2" s="2">
        <f t="shared" si="0"/>
        <v>2020</v>
      </c>
      <c r="AE2" s="2">
        <f t="shared" si="0"/>
        <v>2021</v>
      </c>
      <c r="AF2" s="3">
        <f t="shared" si="0"/>
        <v>2022</v>
      </c>
      <c r="AG2" s="2">
        <f t="shared" si="0"/>
        <v>2023</v>
      </c>
      <c r="AH2" s="2">
        <f t="shared" si="0"/>
        <v>2024</v>
      </c>
      <c r="AI2" s="2">
        <f t="shared" si="0"/>
        <v>2025</v>
      </c>
      <c r="AJ2" s="2">
        <f t="shared" si="0"/>
        <v>2026</v>
      </c>
      <c r="AK2" s="2">
        <f t="shared" si="0"/>
        <v>2027</v>
      </c>
      <c r="AL2" s="2">
        <f t="shared" si="0"/>
        <v>2028</v>
      </c>
      <c r="AM2" s="2">
        <f t="shared" si="0"/>
        <v>2029</v>
      </c>
      <c r="AN2" s="2">
        <f>+AM2+1</f>
        <v>2030</v>
      </c>
      <c r="AO2" s="2">
        <f t="shared" ref="AO2:AS2" si="1">+AN2+1</f>
        <v>2031</v>
      </c>
      <c r="AP2" s="2">
        <f t="shared" si="1"/>
        <v>2032</v>
      </c>
      <c r="AQ2" s="2">
        <f t="shared" si="1"/>
        <v>2033</v>
      </c>
      <c r="AR2" s="2">
        <f t="shared" si="1"/>
        <v>2034</v>
      </c>
      <c r="AS2" s="2">
        <f t="shared" si="1"/>
        <v>2035</v>
      </c>
    </row>
    <row r="3" spans="1:85" x14ac:dyDescent="0.25">
      <c r="B3" t="s">
        <v>48</v>
      </c>
      <c r="C3" s="18">
        <v>3623.721</v>
      </c>
      <c r="D3" s="18">
        <v>5195.5990000000002</v>
      </c>
      <c r="E3" s="18">
        <v>5438.9979999999996</v>
      </c>
      <c r="F3" s="18">
        <f t="shared" ref="F3" si="2">AC3-SUM(C3:E3)</f>
        <v>6534.898000000001</v>
      </c>
      <c r="G3" s="18">
        <v>4172.116</v>
      </c>
      <c r="H3" s="18">
        <v>4949.3999999999996</v>
      </c>
      <c r="I3" s="18">
        <v>5505.12</v>
      </c>
      <c r="J3" s="18">
        <f>AD3-SUM(G3:I3)</f>
        <v>6354.5</v>
      </c>
      <c r="K3" s="1">
        <v>4943.0559999999996</v>
      </c>
      <c r="L3" s="1">
        <v>6028</v>
      </c>
      <c r="M3" s="1">
        <v>6558.509</v>
      </c>
      <c r="N3" s="1">
        <f>AE3-SUM(K3:M3)</f>
        <v>8015.676999999996</v>
      </c>
      <c r="O3" s="1">
        <v>5752.2049999999999</v>
      </c>
      <c r="P3" s="1">
        <v>7977.982</v>
      </c>
      <c r="Q3" s="1">
        <v>8479.49</v>
      </c>
      <c r="R3" s="1">
        <f>+AF3-SUM(O3:Q3)</f>
        <v>9741.6579999999994</v>
      </c>
      <c r="S3" s="8">
        <v>6156</v>
      </c>
      <c r="T3" s="1">
        <f>+S3*0.99</f>
        <v>6094.44</v>
      </c>
      <c r="U3" s="1">
        <f t="shared" ref="U3:V3" si="3">+T3*0.99</f>
        <v>6033.4955999999993</v>
      </c>
      <c r="V3" s="1">
        <f t="shared" si="3"/>
        <v>5973.1606439999996</v>
      </c>
      <c r="W3" s="1"/>
      <c r="X3" s="1">
        <v>7025.13</v>
      </c>
      <c r="Y3" s="1">
        <v>8466.9449999999997</v>
      </c>
      <c r="Z3" s="1">
        <v>9741.3369999999995</v>
      </c>
      <c r="AA3" s="1">
        <v>11188.876</v>
      </c>
      <c r="AB3" s="1">
        <v>19077.597000000002</v>
      </c>
      <c r="AC3" s="1">
        <v>20793.216</v>
      </c>
      <c r="AD3" s="1">
        <v>20981.135999999999</v>
      </c>
      <c r="AE3" s="1">
        <v>25545.241999999998</v>
      </c>
      <c r="AF3" s="8">
        <v>31951.334999999999</v>
      </c>
      <c r="AG3" s="1">
        <f>+SUM(S3:V3)</f>
        <v>24257.096243999997</v>
      </c>
      <c r="AH3" s="1">
        <f>+AG3*0.95</f>
        <v>23044.241431799997</v>
      </c>
      <c r="AI3" s="1">
        <f>+AH3*1.03</f>
        <v>23735.568674753998</v>
      </c>
      <c r="AJ3" s="1">
        <f>+AI3*1.06</f>
        <v>25159.702795239238</v>
      </c>
      <c r="AK3" s="1">
        <f>+AJ3*1.07</f>
        <v>26920.881990905986</v>
      </c>
      <c r="AL3" s="1">
        <f t="shared" ref="AL3:AS3" si="4">+AK3*1.07</f>
        <v>28805.343730269407</v>
      </c>
      <c r="AM3" s="1">
        <f t="shared" si="4"/>
        <v>30821.717791388266</v>
      </c>
      <c r="AN3" s="1">
        <f t="shared" si="4"/>
        <v>32979.238036785449</v>
      </c>
      <c r="AO3" s="1">
        <f t="shared" si="4"/>
        <v>35287.784699360433</v>
      </c>
      <c r="AP3" s="1">
        <f t="shared" si="4"/>
        <v>37757.929628315665</v>
      </c>
      <c r="AQ3" s="1">
        <f t="shared" si="4"/>
        <v>40400.984702297763</v>
      </c>
      <c r="AR3" s="1">
        <f t="shared" si="4"/>
        <v>43229.053631458606</v>
      </c>
      <c r="AS3" s="1">
        <f t="shared" si="4"/>
        <v>46255.087385660714</v>
      </c>
    </row>
    <row r="4" spans="1:85" x14ac:dyDescent="0.25">
      <c r="B4" t="s">
        <v>49</v>
      </c>
      <c r="C4" s="18">
        <v>143.31100000000001</v>
      </c>
      <c r="D4" s="18">
        <v>204.21600000000001</v>
      </c>
      <c r="E4" s="18">
        <v>224.50200000000001</v>
      </c>
      <c r="F4" s="18">
        <f>AC4-SUM(C4:E4)</f>
        <v>252.78099999999995</v>
      </c>
      <c r="G4" s="18">
        <v>198.661</v>
      </c>
      <c r="H4" s="18">
        <v>196.26300000000001</v>
      </c>
      <c r="I4" s="18">
        <v>237.06800000000001</v>
      </c>
      <c r="J4" s="18">
        <f t="shared" ref="J4:J6" si="5">AD4-SUM(G4:I4)</f>
        <v>258.31900000000007</v>
      </c>
      <c r="K4" s="18">
        <v>244.06899999999999</v>
      </c>
      <c r="L4" s="1">
        <v>218.7</v>
      </c>
      <c r="M4" s="1">
        <v>206.97300000000001</v>
      </c>
      <c r="N4" s="1">
        <f t="shared" ref="N4:N6" si="6">AE4-SUM(K4:M4)</f>
        <v>229.00300000000004</v>
      </c>
      <c r="O4" s="1">
        <v>176.70099999999999</v>
      </c>
      <c r="P4" s="1">
        <v>200.166</v>
      </c>
      <c r="Q4" s="1">
        <v>202.078</v>
      </c>
      <c r="R4" s="1">
        <f t="shared" ref="R4:R10" si="7">+AF4-SUM(O4:Q4)</f>
        <v>230.73500000000001</v>
      </c>
      <c r="S4" s="8">
        <v>182.98099999999999</v>
      </c>
      <c r="T4" s="1">
        <f t="shared" ref="T4:V4" si="8">+S4*0.99</f>
        <v>181.15118999999999</v>
      </c>
      <c r="U4" s="1">
        <f t="shared" si="8"/>
        <v>179.33967809999999</v>
      </c>
      <c r="V4" s="1">
        <f t="shared" si="8"/>
        <v>177.54628131899997</v>
      </c>
      <c r="W4" s="1"/>
      <c r="X4" s="1">
        <v>454.38099999999997</v>
      </c>
      <c r="Y4" s="1">
        <v>620.52700000000004</v>
      </c>
      <c r="Z4" s="1">
        <v>687.255</v>
      </c>
      <c r="AA4" s="1">
        <v>891.95699999999999</v>
      </c>
      <c r="AB4" s="1">
        <v>954.63099999999997</v>
      </c>
      <c r="AC4" s="1">
        <v>824.81</v>
      </c>
      <c r="AD4" s="1">
        <v>890.31100000000004</v>
      </c>
      <c r="AE4" s="1">
        <v>898.745</v>
      </c>
      <c r="AF4" s="8">
        <v>809.68</v>
      </c>
      <c r="AG4" s="1">
        <f t="shared" ref="AG4:AG22" si="9">+SUM(S4:V4)</f>
        <v>721.01814941899988</v>
      </c>
      <c r="AH4" s="1">
        <f t="shared" ref="AH4:AH6" si="10">+AG4*0.98</f>
        <v>706.59778643061986</v>
      </c>
      <c r="AI4" s="1">
        <f>+AH4*1.03</f>
        <v>727.79572002353848</v>
      </c>
      <c r="AJ4" s="1">
        <f>+AI4*1.09</f>
        <v>793.297334825657</v>
      </c>
      <c r="AK4" s="1">
        <f t="shared" ref="AK4:AS4" si="11">+AJ4*1.09</f>
        <v>864.69409495996615</v>
      </c>
      <c r="AL4" s="1">
        <f t="shared" si="11"/>
        <v>942.51656350636313</v>
      </c>
      <c r="AM4" s="1">
        <f t="shared" si="11"/>
        <v>1027.343054221936</v>
      </c>
      <c r="AN4" s="1">
        <f t="shared" si="11"/>
        <v>1119.8039291019104</v>
      </c>
      <c r="AO4" s="1">
        <f t="shared" si="11"/>
        <v>1220.5862827210824</v>
      </c>
      <c r="AP4" s="1">
        <f t="shared" si="11"/>
        <v>1330.43904816598</v>
      </c>
      <c r="AQ4" s="1">
        <f t="shared" si="11"/>
        <v>1450.1785625009184</v>
      </c>
      <c r="AR4" s="1">
        <f t="shared" si="11"/>
        <v>1580.6946331260012</v>
      </c>
      <c r="AS4" s="1">
        <f t="shared" si="11"/>
        <v>1722.9571501073415</v>
      </c>
    </row>
    <row r="5" spans="1:85" x14ac:dyDescent="0.25">
      <c r="B5" t="s">
        <v>50</v>
      </c>
      <c r="C5" s="18">
        <v>97.39</v>
      </c>
      <c r="D5" s="18">
        <v>147.41200000000001</v>
      </c>
      <c r="E5" s="18">
        <v>183.958</v>
      </c>
      <c r="F5" s="18">
        <f t="shared" ref="F5:F6" si="12">AC5-SUM(C5:E5)</f>
        <v>175.94000000000005</v>
      </c>
      <c r="G5" s="18">
        <v>132.61699999999999</v>
      </c>
      <c r="H5" s="18">
        <v>123.117</v>
      </c>
      <c r="I5" s="18">
        <v>115.17</v>
      </c>
      <c r="J5" s="18">
        <f t="shared" si="5"/>
        <v>205.42399999999998</v>
      </c>
      <c r="K5" s="1">
        <v>131.44300000000001</v>
      </c>
      <c r="L5" s="1">
        <v>177.47</v>
      </c>
      <c r="M5" s="1">
        <v>167.92099999999999</v>
      </c>
      <c r="N5" s="1">
        <f t="shared" si="6"/>
        <v>188.39799999999997</v>
      </c>
      <c r="O5" s="1">
        <v>267.35899999999998</v>
      </c>
      <c r="P5" s="1">
        <v>176.02099999999999</v>
      </c>
      <c r="Q5" s="1">
        <v>243.05600000000001</v>
      </c>
      <c r="R5" s="1">
        <f t="shared" si="7"/>
        <v>179.16699999999992</v>
      </c>
      <c r="S5" s="8">
        <v>143.52000000000001</v>
      </c>
      <c r="T5" s="1">
        <f t="shared" ref="T5:V5" si="13">+S5*1.04</f>
        <v>149.26080000000002</v>
      </c>
      <c r="U5" s="1">
        <f t="shared" si="13"/>
        <v>155.23123200000003</v>
      </c>
      <c r="V5" s="1">
        <f t="shared" si="13"/>
        <v>161.44048128000003</v>
      </c>
      <c r="W5" s="1"/>
      <c r="X5" s="1">
        <v>69.78</v>
      </c>
      <c r="Y5" s="1">
        <v>164.613</v>
      </c>
      <c r="Z5" s="1">
        <v>287.44099999999997</v>
      </c>
      <c r="AA5" s="1">
        <v>394.77100000000002</v>
      </c>
      <c r="AB5" s="1">
        <v>421.13200000000001</v>
      </c>
      <c r="AC5" s="1">
        <v>604.70000000000005</v>
      </c>
      <c r="AD5" s="1">
        <v>576.32799999999997</v>
      </c>
      <c r="AE5" s="1">
        <v>665.23199999999997</v>
      </c>
      <c r="AF5" s="8">
        <v>865.60299999999995</v>
      </c>
      <c r="AG5" s="1">
        <f t="shared" si="9"/>
        <v>609.45251328000006</v>
      </c>
      <c r="AH5" s="1">
        <f t="shared" si="10"/>
        <v>597.26346301440003</v>
      </c>
      <c r="AI5" s="1">
        <f>+AH5*1.03</f>
        <v>615.18136690483209</v>
      </c>
      <c r="AJ5" s="1">
        <f>+AI5*1.1</f>
        <v>676.69950359531538</v>
      </c>
      <c r="AK5" s="1">
        <f t="shared" ref="AK5:AS5" si="14">+AJ5*1.1</f>
        <v>744.36945395484702</v>
      </c>
      <c r="AL5" s="1">
        <f t="shared" si="14"/>
        <v>818.80639935033173</v>
      </c>
      <c r="AM5" s="1">
        <f t="shared" si="14"/>
        <v>900.68703928536502</v>
      </c>
      <c r="AN5" s="1">
        <f t="shared" si="14"/>
        <v>990.75574321390161</v>
      </c>
      <c r="AO5" s="1">
        <f t="shared" si="14"/>
        <v>1089.8313175352919</v>
      </c>
      <c r="AP5" s="1">
        <f t="shared" si="14"/>
        <v>1198.8144492888212</v>
      </c>
      <c r="AQ5" s="1">
        <f t="shared" si="14"/>
        <v>1318.6958942177034</v>
      </c>
      <c r="AR5" s="1">
        <f t="shared" si="14"/>
        <v>1450.565483639474</v>
      </c>
      <c r="AS5" s="1">
        <f t="shared" si="14"/>
        <v>1595.6220320034215</v>
      </c>
    </row>
    <row r="6" spans="1:85" x14ac:dyDescent="0.25">
      <c r="B6" t="s">
        <v>51</v>
      </c>
      <c r="C6" s="18">
        <v>3.65</v>
      </c>
      <c r="D6" s="18">
        <v>15.663</v>
      </c>
      <c r="E6" s="18">
        <v>9.6</v>
      </c>
      <c r="F6" s="18">
        <f t="shared" si="12"/>
        <v>7.9220000000000041</v>
      </c>
      <c r="G6" s="18">
        <v>1.9</v>
      </c>
      <c r="H6" s="18">
        <v>18.509</v>
      </c>
      <c r="I6" s="18">
        <v>12.896000000000001</v>
      </c>
      <c r="J6" s="18">
        <f t="shared" si="5"/>
        <v>7.7740000000000009</v>
      </c>
      <c r="K6" s="1">
        <v>6.9</v>
      </c>
      <c r="L6" s="1">
        <v>5.98</v>
      </c>
      <c r="M6" s="1">
        <v>8</v>
      </c>
      <c r="N6" s="1">
        <f t="shared" si="6"/>
        <v>0.57699999999999818</v>
      </c>
      <c r="O6" s="1">
        <v>7.2510000000000003</v>
      </c>
      <c r="P6" s="1">
        <v>4.5</v>
      </c>
      <c r="Q6" s="1">
        <v>9.8010000000000002</v>
      </c>
      <c r="R6" s="1">
        <f t="shared" si="7"/>
        <v>22.840000000000003</v>
      </c>
      <c r="S6" s="8">
        <v>7.62</v>
      </c>
      <c r="T6" s="1">
        <f>+S6*0.3</f>
        <v>2.286</v>
      </c>
      <c r="U6" s="1">
        <v>2.286</v>
      </c>
      <c r="V6" s="1">
        <v>2.286</v>
      </c>
      <c r="W6" s="1"/>
      <c r="X6" s="1">
        <v>230.52099999999999</v>
      </c>
      <c r="Y6" s="1">
        <v>221.923</v>
      </c>
      <c r="Z6" s="1">
        <v>233.96600000000001</v>
      </c>
      <c r="AA6" s="1">
        <v>170.761</v>
      </c>
      <c r="AB6" s="1">
        <v>118.271</v>
      </c>
      <c r="AC6" s="1">
        <v>36.835000000000001</v>
      </c>
      <c r="AD6" s="1">
        <v>41.079000000000001</v>
      </c>
      <c r="AE6" s="1">
        <v>21.457000000000001</v>
      </c>
      <c r="AF6" s="8">
        <v>44.392000000000003</v>
      </c>
      <c r="AG6" s="1">
        <f t="shared" si="9"/>
        <v>14.478</v>
      </c>
      <c r="AH6" s="1">
        <f t="shared" si="10"/>
        <v>14.18844</v>
      </c>
      <c r="AI6" s="1">
        <f>+AH6*1.03</f>
        <v>14.614093200000001</v>
      </c>
      <c r="AJ6" s="1">
        <f>+AI6*1.12</f>
        <v>16.367784384000004</v>
      </c>
      <c r="AK6" s="1">
        <f t="shared" ref="AK6:AS6" si="15">+AJ6*1.12</f>
        <v>18.331918510080005</v>
      </c>
      <c r="AL6" s="1">
        <f t="shared" si="15"/>
        <v>20.531748731289607</v>
      </c>
      <c r="AM6" s="1">
        <f t="shared" si="15"/>
        <v>22.995558579044364</v>
      </c>
      <c r="AN6" s="1">
        <f t="shared" si="15"/>
        <v>25.755025608529689</v>
      </c>
      <c r="AO6" s="1">
        <f t="shared" si="15"/>
        <v>28.845628681553254</v>
      </c>
      <c r="AP6" s="1">
        <f t="shared" si="15"/>
        <v>32.307104123339649</v>
      </c>
      <c r="AQ6" s="1">
        <f t="shared" si="15"/>
        <v>36.183956618140407</v>
      </c>
      <c r="AR6" s="1">
        <f t="shared" si="15"/>
        <v>40.526031412317259</v>
      </c>
      <c r="AS6" s="1">
        <f t="shared" si="15"/>
        <v>45.389155181795331</v>
      </c>
    </row>
    <row r="7" spans="1:85" x14ac:dyDescent="0.25">
      <c r="B7" t="s">
        <v>8</v>
      </c>
      <c r="C7" s="1">
        <f t="shared" ref="C7:R7" si="16">+SUM(C3:C6)</f>
        <v>3868.0720000000001</v>
      </c>
      <c r="D7" s="1">
        <f t="shared" si="16"/>
        <v>5562.89</v>
      </c>
      <c r="E7" s="1">
        <f t="shared" si="16"/>
        <v>5857.058</v>
      </c>
      <c r="F7" s="1">
        <f t="shared" si="16"/>
        <v>6971.5410000000002</v>
      </c>
      <c r="G7" s="1">
        <f t="shared" si="16"/>
        <v>4505.2939999999999</v>
      </c>
      <c r="H7" s="1">
        <f t="shared" si="16"/>
        <v>5287.2889999999998</v>
      </c>
      <c r="I7" s="1">
        <f t="shared" si="16"/>
        <v>5870.2539999999999</v>
      </c>
      <c r="J7" s="1">
        <f t="shared" si="16"/>
        <v>6826.0170000000007</v>
      </c>
      <c r="K7" s="1">
        <f t="shared" si="16"/>
        <v>5325.4679999999998</v>
      </c>
      <c r="L7" s="1">
        <f t="shared" si="16"/>
        <v>6430.15</v>
      </c>
      <c r="M7" s="1">
        <f t="shared" si="16"/>
        <v>6941.4030000000002</v>
      </c>
      <c r="N7" s="1">
        <f t="shared" si="16"/>
        <v>8433.6549999999952</v>
      </c>
      <c r="O7" s="1">
        <f t="shared" si="16"/>
        <v>6203.5160000000005</v>
      </c>
      <c r="P7" s="1">
        <f t="shared" si="16"/>
        <v>8358.6689999999999</v>
      </c>
      <c r="Q7" s="1">
        <f t="shared" si="16"/>
        <v>8934.4249999999993</v>
      </c>
      <c r="R7" s="1">
        <f t="shared" si="16"/>
        <v>10174.4</v>
      </c>
      <c r="S7" s="8">
        <f>+SUM(S3:S6)</f>
        <v>6490.1210000000001</v>
      </c>
      <c r="T7" s="1">
        <f t="shared" ref="T7:V7" si="17">+SUM(T3:T6)</f>
        <v>6427.1379899999993</v>
      </c>
      <c r="U7" s="1">
        <f t="shared" si="17"/>
        <v>6370.3525100999996</v>
      </c>
      <c r="V7" s="1">
        <f t="shared" si="17"/>
        <v>6314.4334065989997</v>
      </c>
      <c r="W7" s="1"/>
      <c r="X7" s="1">
        <f t="shared" ref="X7:AB7" si="18">+X6+X5+X4+X3</f>
        <v>7779.8119999999999</v>
      </c>
      <c r="Y7" s="1">
        <f t="shared" si="18"/>
        <v>9474.0079999999998</v>
      </c>
      <c r="Z7" s="1">
        <f t="shared" si="18"/>
        <v>10949.999</v>
      </c>
      <c r="AA7" s="1">
        <f t="shared" si="18"/>
        <v>12646.365</v>
      </c>
      <c r="AB7" s="1">
        <f t="shared" si="18"/>
        <v>20571.631000000001</v>
      </c>
      <c r="AC7" s="1">
        <f>+AC6+AC5+AC4+AC3</f>
        <v>22259.561000000002</v>
      </c>
      <c r="AD7" s="1">
        <f t="shared" ref="AD7:AN7" si="19">+AD6+AD5+AD4+AD3</f>
        <v>22488.853999999999</v>
      </c>
      <c r="AE7" s="1">
        <f t="shared" si="19"/>
        <v>27130.675999999999</v>
      </c>
      <c r="AF7" s="8">
        <f t="shared" si="19"/>
        <v>33671.01</v>
      </c>
      <c r="AG7" s="1">
        <f t="shared" si="9"/>
        <v>25602.044906699</v>
      </c>
      <c r="AH7" s="1">
        <f t="shared" si="19"/>
        <v>24362.291121245016</v>
      </c>
      <c r="AI7" s="1">
        <f t="shared" si="19"/>
        <v>25093.159854882368</v>
      </c>
      <c r="AJ7" s="1">
        <f t="shared" si="19"/>
        <v>26646.067418044211</v>
      </c>
      <c r="AK7" s="1">
        <f t="shared" si="19"/>
        <v>28548.277458330878</v>
      </c>
      <c r="AL7" s="1">
        <f t="shared" si="19"/>
        <v>30587.198441857392</v>
      </c>
      <c r="AM7" s="1">
        <f t="shared" si="19"/>
        <v>32772.74344347461</v>
      </c>
      <c r="AN7" s="1">
        <f t="shared" si="19"/>
        <v>35115.552734709789</v>
      </c>
      <c r="AO7" s="1">
        <f t="shared" ref="AO7" si="20">+AO6+AO5+AO4+AO3</f>
        <v>37627.047928298358</v>
      </c>
      <c r="AP7" s="1">
        <f t="shared" ref="AP7" si="21">+AP6+AP5+AP4+AP3</f>
        <v>40319.490229893803</v>
      </c>
      <c r="AQ7" s="1">
        <f t="shared" ref="AQ7" si="22">+AQ6+AQ5+AQ4+AQ3</f>
        <v>43206.043115634522</v>
      </c>
      <c r="AR7" s="1">
        <f t="shared" ref="AR7" si="23">+AR6+AR5+AR4+AR3</f>
        <v>46300.839779636401</v>
      </c>
      <c r="AS7" s="1">
        <f t="shared" ref="AS7" si="24">+AS6+AS5+AS4+AS3</f>
        <v>49619.055722953271</v>
      </c>
    </row>
    <row r="8" spans="1:85" x14ac:dyDescent="0.25">
      <c r="B8" t="s">
        <v>7</v>
      </c>
      <c r="C8" s="18">
        <f>3232.83+124.339+101.178+1.62</f>
        <v>3459.9669999999996</v>
      </c>
      <c r="D8" s="18">
        <f>4587.25+147.99+148.716+3.194</f>
        <v>4887.1500000000005</v>
      </c>
      <c r="E8" s="18">
        <f>4781.932+149.804+181.616+2.73</f>
        <v>5116.0819999999994</v>
      </c>
      <c r="F8" s="18">
        <f>AC8-SUM(C8:E8)</f>
        <v>5994.0670000000027</v>
      </c>
      <c r="G8" s="18">
        <f>3697.8+151.344+137.348+2.57</f>
        <v>3989.0620000000004</v>
      </c>
      <c r="H8" s="18">
        <f>4314.331+110.35+123.47-1.072</f>
        <v>4547.0790000000006</v>
      </c>
      <c r="I8" s="18">
        <f>4673.15+101.989+118.786+2</f>
        <v>4895.9249999999993</v>
      </c>
      <c r="J8" s="18">
        <f>AD8-SUM(G8:I8)</f>
        <v>5582.6799999999948</v>
      </c>
      <c r="K8" s="1">
        <f>4118.286+97.862+131.049+4.252</f>
        <v>4351.4490000000005</v>
      </c>
      <c r="L8" s="1">
        <f>4909.5+96+175+8.2</f>
        <v>5188.7</v>
      </c>
      <c r="M8" s="1">
        <f>5225.5+94.9+174.4+9</f>
        <v>5503.7999999999993</v>
      </c>
      <c r="N8" s="1">
        <f>AE8-SUM(K8:M8)</f>
        <v>6550.0880000000034</v>
      </c>
      <c r="O8" s="1">
        <f>4641.8+85.9+263.7+5.4</f>
        <v>4996.7999999999993</v>
      </c>
      <c r="P8" s="1">
        <f>6105.15+96.231+175.152+8.236</f>
        <v>6384.7689999999993</v>
      </c>
      <c r="Q8" s="1">
        <f>6494.7+138.7+215.4+10</f>
        <v>6858.7999999999993</v>
      </c>
      <c r="R8" s="1">
        <f t="shared" si="7"/>
        <v>8228.4980000000032</v>
      </c>
      <c r="S8" s="8">
        <f>5274.71+104.244+148.956+6.476</f>
        <v>5534.3859999999995</v>
      </c>
      <c r="T8" s="1">
        <v>5415.8412941176475</v>
      </c>
      <c r="U8" s="1">
        <v>5415.8412941176475</v>
      </c>
      <c r="V8" s="1">
        <v>5415.8412941176475</v>
      </c>
      <c r="W8" s="1"/>
      <c r="X8" s="1">
        <f>5962.02+374.243+249.114+95.227</f>
        <v>6680.6040000000003</v>
      </c>
      <c r="Y8" s="1">
        <f>7264.839+492.73+222.875+191.302</f>
        <v>8171.7459999999992</v>
      </c>
      <c r="Z8" s="1">
        <f>8399.88+523.638+229.769+301.786</f>
        <v>9455.0730000000003</v>
      </c>
      <c r="AA8" s="1">
        <f>9743.148+696.65+407.078+174.605</f>
        <v>11021.480999999998</v>
      </c>
      <c r="AB8" s="1">
        <f>16936.8+754.915+429.759+115.969</f>
        <v>18237.443000000003</v>
      </c>
      <c r="AC8" s="1">
        <f>18245.7+600.168+599.604+11.794</f>
        <v>19457.266000000003</v>
      </c>
      <c r="AD8" s="1">
        <f>17961.644+470.777+575.581+6.744</f>
        <v>19014.745999999996</v>
      </c>
      <c r="AE8" s="1">
        <f>20502.541+407.731+652.81+30.955</f>
        <v>21594.037000000004</v>
      </c>
      <c r="AF8" s="8">
        <f>25161.3+426.378+848.931+32.258</f>
        <v>26468.867000000002</v>
      </c>
      <c r="AG8" s="1">
        <f t="shared" si="9"/>
        <v>21781.909882352942</v>
      </c>
      <c r="AH8" s="1">
        <f>+AH7*0.85</f>
        <v>20707.947453058263</v>
      </c>
      <c r="AI8" s="1">
        <f t="shared" ref="AI8:AN8" si="25">+AI7*0.85</f>
        <v>21329.185876650012</v>
      </c>
      <c r="AJ8" s="1">
        <f t="shared" si="25"/>
        <v>22649.15730533758</v>
      </c>
      <c r="AK8" s="1">
        <f t="shared" si="25"/>
        <v>24266.035839581247</v>
      </c>
      <c r="AL8" s="1">
        <f t="shared" si="25"/>
        <v>25999.118675578782</v>
      </c>
      <c r="AM8" s="1">
        <f t="shared" si="25"/>
        <v>27856.831926953419</v>
      </c>
      <c r="AN8" s="1">
        <f t="shared" si="25"/>
        <v>29848.219824503318</v>
      </c>
      <c r="AO8" s="1">
        <f t="shared" ref="AO8" si="26">+AO7*0.85</f>
        <v>31982.990739053603</v>
      </c>
      <c r="AP8" s="1">
        <f t="shared" ref="AP8" si="27">+AP7*0.85</f>
        <v>34271.566695409732</v>
      </c>
      <c r="AQ8" s="1">
        <f t="shared" ref="AQ8" si="28">+AQ7*0.85</f>
        <v>36725.136648289343</v>
      </c>
      <c r="AR8" s="1">
        <f t="shared" ref="AR8" si="29">+AR7*0.85</f>
        <v>39355.713812690941</v>
      </c>
      <c r="AS8" s="1">
        <f t="shared" ref="AS8" si="30">+AS7*0.85</f>
        <v>42176.197364510277</v>
      </c>
    </row>
    <row r="9" spans="1:85" x14ac:dyDescent="0.25">
      <c r="B9" t="s">
        <v>9</v>
      </c>
      <c r="C9" s="1">
        <f t="shared" ref="C9:R9" si="31">+C7-C8</f>
        <v>408.10500000000047</v>
      </c>
      <c r="D9" s="1">
        <f t="shared" si="31"/>
        <v>675.73999999999978</v>
      </c>
      <c r="E9" s="1">
        <f t="shared" si="31"/>
        <v>740.97600000000057</v>
      </c>
      <c r="F9" s="1">
        <f t="shared" si="31"/>
        <v>977.47399999999743</v>
      </c>
      <c r="G9" s="1">
        <f t="shared" si="31"/>
        <v>516.23199999999952</v>
      </c>
      <c r="H9" s="1">
        <f t="shared" si="31"/>
        <v>740.20999999999913</v>
      </c>
      <c r="I9" s="1">
        <f t="shared" si="31"/>
        <v>974.32900000000063</v>
      </c>
      <c r="J9" s="1">
        <f t="shared" si="31"/>
        <v>1243.3370000000059</v>
      </c>
      <c r="K9" s="1">
        <f t="shared" si="31"/>
        <v>974.01899999999932</v>
      </c>
      <c r="L9" s="1">
        <f t="shared" si="31"/>
        <v>1241.4499999999998</v>
      </c>
      <c r="M9" s="1">
        <f t="shared" si="31"/>
        <v>1437.603000000001</v>
      </c>
      <c r="N9" s="1">
        <f t="shared" si="31"/>
        <v>1883.5669999999918</v>
      </c>
      <c r="O9" s="1">
        <f t="shared" si="31"/>
        <v>1206.7160000000013</v>
      </c>
      <c r="P9" s="1">
        <f t="shared" si="31"/>
        <v>1973.9000000000005</v>
      </c>
      <c r="Q9" s="1">
        <f t="shared" si="31"/>
        <v>2075.625</v>
      </c>
      <c r="R9" s="1">
        <f t="shared" si="31"/>
        <v>1945.9019999999964</v>
      </c>
      <c r="S9" s="8">
        <f>+S7-S8</f>
        <v>955.73500000000058</v>
      </c>
      <c r="T9" s="1">
        <f t="shared" ref="T9:V9" si="32">+T7-T8</f>
        <v>1011.2966958823517</v>
      </c>
      <c r="U9" s="1">
        <f t="shared" si="32"/>
        <v>954.51121598235204</v>
      </c>
      <c r="V9" s="1">
        <f t="shared" si="32"/>
        <v>898.59211248135216</v>
      </c>
      <c r="W9" s="1"/>
      <c r="X9" s="1">
        <f t="shared" ref="X9:AB9" si="33">+X7-X8</f>
        <v>1099.2079999999996</v>
      </c>
      <c r="Y9" s="1">
        <f t="shared" si="33"/>
        <v>1302.2620000000006</v>
      </c>
      <c r="Z9" s="1">
        <f t="shared" si="33"/>
        <v>1494.9259999999995</v>
      </c>
      <c r="AA9" s="1">
        <f t="shared" si="33"/>
        <v>1624.8840000000018</v>
      </c>
      <c r="AB9" s="1">
        <f t="shared" si="33"/>
        <v>2334.1879999999983</v>
      </c>
      <c r="AC9" s="1">
        <f>+AC7-AC8</f>
        <v>2802.2949999999983</v>
      </c>
      <c r="AD9" s="1">
        <f t="shared" ref="AD9:AN9" si="34">+AD7-AD8</f>
        <v>3474.1080000000038</v>
      </c>
      <c r="AE9" s="1">
        <f t="shared" si="34"/>
        <v>5536.6389999999956</v>
      </c>
      <c r="AF9" s="8">
        <f t="shared" si="34"/>
        <v>7202.143</v>
      </c>
      <c r="AG9" s="1">
        <f t="shared" si="9"/>
        <v>3820.1350243460565</v>
      </c>
      <c r="AH9" s="1">
        <f t="shared" si="34"/>
        <v>3654.3436681867533</v>
      </c>
      <c r="AI9" s="1">
        <f t="shared" si="34"/>
        <v>3763.9739782323559</v>
      </c>
      <c r="AJ9" s="1">
        <f t="shared" si="34"/>
        <v>3996.9101127066315</v>
      </c>
      <c r="AK9" s="1">
        <f t="shared" si="34"/>
        <v>4282.241618749631</v>
      </c>
      <c r="AL9" s="1">
        <f t="shared" si="34"/>
        <v>4588.0797662786099</v>
      </c>
      <c r="AM9" s="1">
        <f t="shared" si="34"/>
        <v>4915.9115165211915</v>
      </c>
      <c r="AN9" s="1">
        <f t="shared" si="34"/>
        <v>5267.3329102064708</v>
      </c>
      <c r="AO9" s="1">
        <f t="shared" ref="AO9" si="35">+AO7-AO8</f>
        <v>5644.0571892447551</v>
      </c>
      <c r="AP9" s="1">
        <f t="shared" ref="AP9" si="36">+AP7-AP8</f>
        <v>6047.9235344840708</v>
      </c>
      <c r="AQ9" s="1">
        <f t="shared" ref="AQ9" si="37">+AQ7-AQ8</f>
        <v>6480.9064673451794</v>
      </c>
      <c r="AR9" s="1">
        <f t="shared" ref="AR9" si="38">+AR7-AR8</f>
        <v>6945.1259669454594</v>
      </c>
      <c r="AS9" s="1">
        <f t="shared" ref="AS9" si="39">+AS7-AS8</f>
        <v>7442.8583584429944</v>
      </c>
    </row>
    <row r="10" spans="1:85" x14ac:dyDescent="0.25">
      <c r="B10" t="s">
        <v>10</v>
      </c>
      <c r="C10" s="1">
        <v>79.343000000000004</v>
      </c>
      <c r="D10" s="1">
        <v>76.113</v>
      </c>
      <c r="E10" s="1">
        <v>92.614999999999995</v>
      </c>
      <c r="F10" s="18">
        <f>AC10-SUM(C10:E10)</f>
        <v>93.04299999999995</v>
      </c>
      <c r="G10" s="1">
        <v>82.634</v>
      </c>
      <c r="H10" s="1">
        <v>83.450999999999993</v>
      </c>
      <c r="I10" s="1">
        <v>92.661000000000001</v>
      </c>
      <c r="J10" s="18">
        <f>AD10-SUM(G10:I10)</f>
        <v>74.700000000000045</v>
      </c>
      <c r="K10" s="1">
        <v>110.53100000000001</v>
      </c>
      <c r="L10" s="1">
        <v>90.7</v>
      </c>
      <c r="M10" s="1">
        <v>94.89</v>
      </c>
      <c r="N10" s="1">
        <f>AE10-SUM(K10:M10)</f>
        <v>102.25999999999999</v>
      </c>
      <c r="O10" s="1">
        <v>113.6</v>
      </c>
      <c r="P10" s="1">
        <v>105.20699999999999</v>
      </c>
      <c r="Q10" s="1">
        <v>115.557</v>
      </c>
      <c r="R10" s="1">
        <f t="shared" si="7"/>
        <v>80.134000000000015</v>
      </c>
      <c r="S10" s="8">
        <v>126.1</v>
      </c>
      <c r="T10" s="1">
        <v>94.914058823529388</v>
      </c>
      <c r="U10" s="1">
        <v>94.914058823529388</v>
      </c>
      <c r="V10" s="1">
        <v>94.914058823529388</v>
      </c>
      <c r="W10" s="1"/>
      <c r="X10" s="1">
        <v>177.161</v>
      </c>
      <c r="Y10" s="1">
        <v>216.244</v>
      </c>
      <c r="Z10" s="1">
        <v>232.56200000000001</v>
      </c>
      <c r="AA10" s="1">
        <v>285.88900000000001</v>
      </c>
      <c r="AB10" s="1">
        <v>343.93400000000003</v>
      </c>
      <c r="AC10" s="1">
        <v>341.11399999999998</v>
      </c>
      <c r="AD10" s="1">
        <v>333.44600000000003</v>
      </c>
      <c r="AE10" s="1">
        <v>398.38099999999997</v>
      </c>
      <c r="AF10" s="8">
        <v>414.49799999999999</v>
      </c>
      <c r="AG10" s="1">
        <f t="shared" si="9"/>
        <v>410.84217647058819</v>
      </c>
      <c r="AH10" s="1">
        <f>+AH9*0.09</f>
        <v>328.89093013680781</v>
      </c>
      <c r="AI10" s="1">
        <f t="shared" ref="AI10:AN10" si="40">+AI9*0.09</f>
        <v>338.75765804091202</v>
      </c>
      <c r="AJ10" s="1">
        <f t="shared" si="40"/>
        <v>359.7219101435968</v>
      </c>
      <c r="AK10" s="1">
        <f t="shared" si="40"/>
        <v>385.40174568746676</v>
      </c>
      <c r="AL10" s="1">
        <f t="shared" si="40"/>
        <v>412.92717896507486</v>
      </c>
      <c r="AM10" s="1">
        <f t="shared" si="40"/>
        <v>442.43203648690724</v>
      </c>
      <c r="AN10" s="1">
        <f t="shared" si="40"/>
        <v>474.05996191858236</v>
      </c>
      <c r="AO10" s="1">
        <f t="shared" ref="AO10" si="41">+AO9*0.09</f>
        <v>507.96514703202797</v>
      </c>
      <c r="AP10" s="1">
        <f t="shared" ref="AP10" si="42">+AP9*0.09</f>
        <v>544.31311810356635</v>
      </c>
      <c r="AQ10" s="1">
        <f t="shared" ref="AQ10" si="43">+AQ9*0.09</f>
        <v>583.28158206106616</v>
      </c>
      <c r="AR10" s="1">
        <f t="shared" ref="AR10" si="44">+AR9*0.09</f>
        <v>625.06133702509135</v>
      </c>
      <c r="AS10" s="1">
        <f t="shared" ref="AS10" si="45">+AS9*0.09</f>
        <v>669.85725225986948</v>
      </c>
    </row>
    <row r="11" spans="1:85" x14ac:dyDescent="0.25">
      <c r="B11" t="s">
        <v>11</v>
      </c>
      <c r="C11" s="1">
        <f t="shared" ref="C11:R11" si="46">+C10</f>
        <v>79.343000000000004</v>
      </c>
      <c r="D11" s="1">
        <f t="shared" si="46"/>
        <v>76.113</v>
      </c>
      <c r="E11" s="1">
        <f t="shared" si="46"/>
        <v>92.614999999999995</v>
      </c>
      <c r="F11" s="1">
        <f t="shared" si="46"/>
        <v>93.04299999999995</v>
      </c>
      <c r="G11" s="1">
        <f t="shared" si="46"/>
        <v>82.634</v>
      </c>
      <c r="H11" s="1">
        <f t="shared" si="46"/>
        <v>83.450999999999993</v>
      </c>
      <c r="I11" s="1">
        <f t="shared" si="46"/>
        <v>92.661000000000001</v>
      </c>
      <c r="J11" s="1">
        <f t="shared" si="46"/>
        <v>74.700000000000045</v>
      </c>
      <c r="K11" s="1">
        <f t="shared" si="46"/>
        <v>110.53100000000001</v>
      </c>
      <c r="L11" s="1">
        <f t="shared" si="46"/>
        <v>90.7</v>
      </c>
      <c r="M11" s="1">
        <f t="shared" si="46"/>
        <v>94.89</v>
      </c>
      <c r="N11" s="1">
        <f t="shared" si="46"/>
        <v>102.25999999999999</v>
      </c>
      <c r="O11" s="1">
        <f t="shared" si="46"/>
        <v>113.6</v>
      </c>
      <c r="P11" s="1">
        <f t="shared" si="46"/>
        <v>105.20699999999999</v>
      </c>
      <c r="Q11" s="1">
        <f t="shared" si="46"/>
        <v>115.557</v>
      </c>
      <c r="R11" s="1">
        <f t="shared" si="46"/>
        <v>80.134000000000015</v>
      </c>
      <c r="S11" s="8">
        <f>+S10</f>
        <v>126.1</v>
      </c>
      <c r="T11" s="1">
        <f t="shared" ref="T11:V11" si="47">+T10</f>
        <v>94.914058823529388</v>
      </c>
      <c r="U11" s="1">
        <f t="shared" si="47"/>
        <v>94.914058823529388</v>
      </c>
      <c r="V11" s="1">
        <f t="shared" si="47"/>
        <v>94.914058823529388</v>
      </c>
      <c r="W11" s="1"/>
      <c r="X11" s="1">
        <f t="shared" ref="X11:AB11" si="48">+X10</f>
        <v>177.161</v>
      </c>
      <c r="Y11" s="1">
        <f t="shared" si="48"/>
        <v>216.244</v>
      </c>
      <c r="Z11" s="1">
        <f t="shared" si="48"/>
        <v>232.56200000000001</v>
      </c>
      <c r="AA11" s="1">
        <f t="shared" si="48"/>
        <v>285.88900000000001</v>
      </c>
      <c r="AB11" s="1">
        <f t="shared" si="48"/>
        <v>343.93400000000003</v>
      </c>
      <c r="AC11" s="1">
        <f>+AC10</f>
        <v>341.11399999999998</v>
      </c>
      <c r="AD11" s="1">
        <f t="shared" ref="AD11:AN11" si="49">+AD10</f>
        <v>333.44600000000003</v>
      </c>
      <c r="AE11" s="1">
        <f t="shared" si="49"/>
        <v>398.38099999999997</v>
      </c>
      <c r="AF11" s="8">
        <f t="shared" si="49"/>
        <v>414.49799999999999</v>
      </c>
      <c r="AG11" s="1">
        <f t="shared" si="9"/>
        <v>410.84217647058819</v>
      </c>
      <c r="AH11" s="1">
        <f t="shared" si="49"/>
        <v>328.89093013680781</v>
      </c>
      <c r="AI11" s="1">
        <f t="shared" si="49"/>
        <v>338.75765804091202</v>
      </c>
      <c r="AJ11" s="1">
        <f t="shared" si="49"/>
        <v>359.7219101435968</v>
      </c>
      <c r="AK11" s="1">
        <f t="shared" si="49"/>
        <v>385.40174568746676</v>
      </c>
      <c r="AL11" s="1">
        <f t="shared" si="49"/>
        <v>412.92717896507486</v>
      </c>
      <c r="AM11" s="1">
        <f t="shared" si="49"/>
        <v>442.43203648690724</v>
      </c>
      <c r="AN11" s="1">
        <f t="shared" si="49"/>
        <v>474.05996191858236</v>
      </c>
      <c r="AO11" s="1">
        <f t="shared" ref="AO11" si="50">+AO10</f>
        <v>507.96514703202797</v>
      </c>
      <c r="AP11" s="1">
        <f t="shared" ref="AP11" si="51">+AP10</f>
        <v>544.31311810356635</v>
      </c>
      <c r="AQ11" s="1">
        <f t="shared" ref="AQ11" si="52">+AQ10</f>
        <v>583.28158206106616</v>
      </c>
      <c r="AR11" s="1">
        <f t="shared" ref="AR11" si="53">+AR10</f>
        <v>625.06133702509135</v>
      </c>
      <c r="AS11" s="1">
        <f t="shared" ref="AS11" si="54">+AS10</f>
        <v>669.85725225986948</v>
      </c>
    </row>
    <row r="12" spans="1:85" x14ac:dyDescent="0.25">
      <c r="B12" t="s">
        <v>12</v>
      </c>
      <c r="C12" s="1">
        <f t="shared" ref="C12:R12" si="55">+C9-C11</f>
        <v>328.76200000000046</v>
      </c>
      <c r="D12" s="1">
        <f t="shared" si="55"/>
        <v>599.62699999999973</v>
      </c>
      <c r="E12" s="1">
        <f t="shared" si="55"/>
        <v>648.36100000000056</v>
      </c>
      <c r="F12" s="1">
        <f t="shared" si="55"/>
        <v>884.43099999999754</v>
      </c>
      <c r="G12" s="1">
        <f t="shared" si="55"/>
        <v>433.5979999999995</v>
      </c>
      <c r="H12" s="1">
        <f t="shared" si="55"/>
        <v>656.75899999999911</v>
      </c>
      <c r="I12" s="1">
        <f t="shared" si="55"/>
        <v>881.66800000000057</v>
      </c>
      <c r="J12" s="1">
        <f t="shared" si="55"/>
        <v>1168.6370000000059</v>
      </c>
      <c r="K12" s="1">
        <f t="shared" si="55"/>
        <v>863.48799999999937</v>
      </c>
      <c r="L12" s="1">
        <f t="shared" si="55"/>
        <v>1150.7499999999998</v>
      </c>
      <c r="M12" s="1">
        <f t="shared" si="55"/>
        <v>1342.7130000000009</v>
      </c>
      <c r="N12" s="1">
        <f t="shared" si="55"/>
        <v>1781.3069999999918</v>
      </c>
      <c r="O12" s="1">
        <f t="shared" si="55"/>
        <v>1093.1160000000013</v>
      </c>
      <c r="P12" s="1">
        <f t="shared" si="55"/>
        <v>1868.6930000000007</v>
      </c>
      <c r="Q12" s="1">
        <f t="shared" si="55"/>
        <v>1960.068</v>
      </c>
      <c r="R12" s="1">
        <f t="shared" si="55"/>
        <v>1865.7679999999964</v>
      </c>
      <c r="S12" s="8">
        <f>+S9-S11</f>
        <v>829.63500000000056</v>
      </c>
      <c r="T12" s="1">
        <f t="shared" ref="T12:V12" si="56">+T9-T11</f>
        <v>916.38263705882241</v>
      </c>
      <c r="U12" s="1">
        <f t="shared" si="56"/>
        <v>859.59715715882271</v>
      </c>
      <c r="V12" s="1">
        <f t="shared" si="56"/>
        <v>803.67805365782283</v>
      </c>
      <c r="W12" s="1"/>
      <c r="X12" s="1">
        <f t="shared" ref="X12:AB12" si="57">+X9-X11</f>
        <v>922.04699999999957</v>
      </c>
      <c r="Y12" s="1">
        <f t="shared" si="57"/>
        <v>1086.0180000000007</v>
      </c>
      <c r="Z12" s="1">
        <f t="shared" si="57"/>
        <v>1262.3639999999996</v>
      </c>
      <c r="AA12" s="1">
        <f t="shared" si="57"/>
        <v>1338.9950000000017</v>
      </c>
      <c r="AB12" s="1">
        <f t="shared" si="57"/>
        <v>1990.2539999999983</v>
      </c>
      <c r="AC12" s="1">
        <f>+AC9-AC11</f>
        <v>2461.1809999999982</v>
      </c>
      <c r="AD12" s="1">
        <f t="shared" ref="AD12:AN12" si="58">+AD9-AD11</f>
        <v>3140.6620000000039</v>
      </c>
      <c r="AE12" s="1">
        <f t="shared" si="58"/>
        <v>5138.2579999999953</v>
      </c>
      <c r="AF12" s="8">
        <f t="shared" si="58"/>
        <v>6787.6450000000004</v>
      </c>
      <c r="AG12" s="1">
        <f t="shared" si="9"/>
        <v>3409.2928478754684</v>
      </c>
      <c r="AH12" s="1">
        <f t="shared" si="58"/>
        <v>3325.4527380499458</v>
      </c>
      <c r="AI12" s="1">
        <f t="shared" si="58"/>
        <v>3425.2163201914436</v>
      </c>
      <c r="AJ12" s="1">
        <f t="shared" si="58"/>
        <v>3637.1882025630348</v>
      </c>
      <c r="AK12" s="1">
        <f t="shared" si="58"/>
        <v>3896.8398730621643</v>
      </c>
      <c r="AL12" s="1">
        <f t="shared" si="58"/>
        <v>4175.1525873135352</v>
      </c>
      <c r="AM12" s="1">
        <f t="shared" si="58"/>
        <v>4473.4794800342843</v>
      </c>
      <c r="AN12" s="1">
        <f t="shared" si="58"/>
        <v>4793.2729482878885</v>
      </c>
      <c r="AO12" s="1">
        <f t="shared" ref="AO12" si="59">+AO9-AO11</f>
        <v>5136.0920422127274</v>
      </c>
      <c r="AP12" s="1">
        <f t="shared" ref="AP12" si="60">+AP9-AP11</f>
        <v>5503.6104163805048</v>
      </c>
      <c r="AQ12" s="1">
        <f t="shared" ref="AQ12" si="61">+AQ9-AQ11</f>
        <v>5897.6248852841136</v>
      </c>
      <c r="AR12" s="1">
        <f t="shared" ref="AR12" si="62">+AR9-AR11</f>
        <v>6320.0646299203681</v>
      </c>
      <c r="AS12" s="1">
        <f t="shared" ref="AS12" si="63">+AS9-AS11</f>
        <v>6773.0011061831246</v>
      </c>
    </row>
    <row r="13" spans="1:85" x14ac:dyDescent="0.25">
      <c r="B13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8">
        <v>0</v>
      </c>
      <c r="T13" s="1">
        <v>0</v>
      </c>
      <c r="U13" s="1">
        <v>0</v>
      </c>
      <c r="V13" s="1">
        <v>0</v>
      </c>
      <c r="W13" s="1"/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8">
        <v>0</v>
      </c>
      <c r="AG13" s="1">
        <f t="shared" si="9"/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  <row r="14" spans="1:85" x14ac:dyDescent="0.25">
      <c r="B14" t="s">
        <v>14</v>
      </c>
      <c r="C14" s="1">
        <f t="shared" ref="C14:S14" si="64">+C12+C13</f>
        <v>328.76200000000046</v>
      </c>
      <c r="D14" s="1">
        <f t="shared" si="64"/>
        <v>599.62699999999973</v>
      </c>
      <c r="E14" s="1">
        <f t="shared" si="64"/>
        <v>648.36100000000056</v>
      </c>
      <c r="F14" s="1">
        <f t="shared" si="64"/>
        <v>884.43099999999754</v>
      </c>
      <c r="G14" s="1">
        <f t="shared" si="64"/>
        <v>433.5979999999995</v>
      </c>
      <c r="H14" s="1">
        <f t="shared" si="64"/>
        <v>656.75899999999911</v>
      </c>
      <c r="I14" s="1">
        <f t="shared" si="64"/>
        <v>881.66800000000057</v>
      </c>
      <c r="J14" s="1">
        <f t="shared" si="64"/>
        <v>1168.6370000000059</v>
      </c>
      <c r="K14" s="1">
        <f t="shared" si="64"/>
        <v>863.48799999999937</v>
      </c>
      <c r="L14" s="1">
        <f t="shared" si="64"/>
        <v>1150.7499999999998</v>
      </c>
      <c r="M14" s="1">
        <f t="shared" si="64"/>
        <v>1342.7130000000009</v>
      </c>
      <c r="N14" s="1">
        <f t="shared" si="64"/>
        <v>1781.3069999999918</v>
      </c>
      <c r="O14" s="1">
        <f t="shared" si="64"/>
        <v>1093.1160000000013</v>
      </c>
      <c r="P14" s="1">
        <f t="shared" si="64"/>
        <v>1868.6930000000007</v>
      </c>
      <c r="Q14" s="1">
        <f t="shared" si="64"/>
        <v>1960.068</v>
      </c>
      <c r="R14" s="1">
        <f t="shared" si="64"/>
        <v>1865.7679999999964</v>
      </c>
      <c r="S14" s="8">
        <f t="shared" si="64"/>
        <v>829.63500000000056</v>
      </c>
      <c r="T14" s="1">
        <f t="shared" ref="T14:V14" si="65">+T12+T13</f>
        <v>916.38263705882241</v>
      </c>
      <c r="U14" s="1">
        <f t="shared" si="65"/>
        <v>859.59715715882271</v>
      </c>
      <c r="V14" s="1">
        <f t="shared" si="65"/>
        <v>803.67805365782283</v>
      </c>
      <c r="W14" s="1"/>
      <c r="X14" s="1">
        <f t="shared" ref="X14:AB14" si="66">+X12+X13</f>
        <v>922.04699999999957</v>
      </c>
      <c r="Y14" s="1">
        <f t="shared" si="66"/>
        <v>1086.0180000000007</v>
      </c>
      <c r="Z14" s="1">
        <f t="shared" si="66"/>
        <v>1262.3639999999996</v>
      </c>
      <c r="AA14" s="1">
        <f t="shared" si="66"/>
        <v>1338.9950000000017</v>
      </c>
      <c r="AB14" s="1">
        <f t="shared" si="66"/>
        <v>1990.2539999999983</v>
      </c>
      <c r="AC14" s="1">
        <f>+AC12+AC13</f>
        <v>2461.1809999999982</v>
      </c>
      <c r="AD14" s="1">
        <f t="shared" ref="AD14:AN14" si="67">+AD12+AD13</f>
        <v>3140.6620000000039</v>
      </c>
      <c r="AE14" s="1">
        <f t="shared" si="67"/>
        <v>5138.2579999999953</v>
      </c>
      <c r="AF14" s="8">
        <f t="shared" si="67"/>
        <v>6787.6450000000004</v>
      </c>
      <c r="AG14" s="1">
        <f t="shared" si="9"/>
        <v>3409.2928478754684</v>
      </c>
      <c r="AH14" s="1">
        <f t="shared" si="67"/>
        <v>3325.4527380499458</v>
      </c>
      <c r="AI14" s="1">
        <f t="shared" si="67"/>
        <v>3425.2163201914436</v>
      </c>
      <c r="AJ14" s="1">
        <f t="shared" si="67"/>
        <v>3637.1882025630348</v>
      </c>
      <c r="AK14" s="1">
        <f t="shared" si="67"/>
        <v>3896.8398730621643</v>
      </c>
      <c r="AL14" s="1">
        <f t="shared" si="67"/>
        <v>4175.1525873135352</v>
      </c>
      <c r="AM14" s="1">
        <f t="shared" si="67"/>
        <v>4473.4794800342843</v>
      </c>
      <c r="AN14" s="1">
        <f t="shared" si="67"/>
        <v>4793.2729482878885</v>
      </c>
      <c r="AO14" s="1">
        <f t="shared" ref="AO14" si="68">+AO12+AO13</f>
        <v>5136.0920422127274</v>
      </c>
      <c r="AP14" s="1">
        <f t="shared" ref="AP14" si="69">+AP12+AP13</f>
        <v>5503.6104163805048</v>
      </c>
      <c r="AQ14" s="1">
        <f t="shared" ref="AQ14" si="70">+AQ12+AQ13</f>
        <v>5897.6248852841136</v>
      </c>
      <c r="AR14" s="1">
        <f t="shared" ref="AR14" si="71">+AR12+AR13</f>
        <v>6320.0646299203681</v>
      </c>
      <c r="AS14" s="1">
        <f t="shared" ref="AS14" si="72">+AS12+AS13</f>
        <v>6773.0011061831246</v>
      </c>
    </row>
    <row r="15" spans="1:85" x14ac:dyDescent="0.25">
      <c r="B15" t="s">
        <v>15</v>
      </c>
      <c r="C15" s="1">
        <v>79.7</v>
      </c>
      <c r="D15" s="1">
        <v>140.53</v>
      </c>
      <c r="E15" s="1">
        <v>154.44</v>
      </c>
      <c r="F15" s="18">
        <f>AC15-SUM(C15:E15)</f>
        <v>217.50299999999999</v>
      </c>
      <c r="G15" s="1">
        <v>32.329000000000001</v>
      </c>
      <c r="H15" s="1">
        <v>160.47900000000001</v>
      </c>
      <c r="I15" s="1">
        <v>189.69</v>
      </c>
      <c r="J15" s="18">
        <f>AD15-SUM(G15:I15)</f>
        <v>273.73699999999997</v>
      </c>
      <c r="K15" s="1">
        <v>310.10500000000002</v>
      </c>
      <c r="L15" s="1">
        <v>260.113</v>
      </c>
      <c r="M15" s="1">
        <v>405.13600000000002</v>
      </c>
      <c r="N15" s="1">
        <f>AE15-SUM(K15:M15)</f>
        <v>387.15499999999997</v>
      </c>
      <c r="O15" s="1">
        <v>167.42</v>
      </c>
      <c r="P15" s="1">
        <v>432.27600000000001</v>
      </c>
      <c r="Q15" s="1">
        <v>351.58</v>
      </c>
      <c r="R15" s="1">
        <f t="shared" ref="R15" si="73">+AF15-SUM(O15:Q15)</f>
        <v>414.78399999999988</v>
      </c>
      <c r="S15" s="8">
        <v>185.14500000000001</v>
      </c>
      <c r="T15" s="1">
        <f>+T14*0.25</f>
        <v>229.0956592647056</v>
      </c>
      <c r="U15" s="1">
        <f t="shared" ref="U15:V15" si="74">+U14*0.25</f>
        <v>214.89928928970568</v>
      </c>
      <c r="V15" s="1">
        <f t="shared" si="74"/>
        <v>200.91951341445571</v>
      </c>
      <c r="W15" s="1"/>
      <c r="X15" s="1">
        <v>341.09100000000001</v>
      </c>
      <c r="Y15" s="1">
        <v>390.416</v>
      </c>
      <c r="Z15" s="1">
        <v>417.37799999999999</v>
      </c>
      <c r="AA15" s="1">
        <v>417.85700000000003</v>
      </c>
      <c r="AB15" s="1">
        <v>545.17100000000005</v>
      </c>
      <c r="AC15" s="1">
        <v>592.173</v>
      </c>
      <c r="AD15" s="1">
        <v>656.23500000000001</v>
      </c>
      <c r="AE15" s="1">
        <v>1362.509</v>
      </c>
      <c r="AF15" s="8">
        <v>1366.06</v>
      </c>
      <c r="AG15" s="1">
        <f t="shared" si="9"/>
        <v>830.05946196886703</v>
      </c>
      <c r="AH15" s="1">
        <f>+AH14*0.28</f>
        <v>931.12676665398487</v>
      </c>
      <c r="AI15" s="1">
        <f t="shared" ref="AI15:AN15" si="75">+AI14*0.28</f>
        <v>959.06056965360426</v>
      </c>
      <c r="AJ15" s="1">
        <f t="shared" si="75"/>
        <v>1018.4126967176499</v>
      </c>
      <c r="AK15" s="1">
        <f t="shared" si="75"/>
        <v>1091.1151644574061</v>
      </c>
      <c r="AL15" s="1">
        <f t="shared" si="75"/>
        <v>1169.0427244477899</v>
      </c>
      <c r="AM15" s="1">
        <f t="shared" si="75"/>
        <v>1252.5742544095997</v>
      </c>
      <c r="AN15" s="1">
        <f t="shared" si="75"/>
        <v>1342.116425520609</v>
      </c>
      <c r="AO15" s="1">
        <f t="shared" ref="AO15" si="76">+AO14*0.28</f>
        <v>1438.1057718195639</v>
      </c>
      <c r="AP15" s="1">
        <f t="shared" ref="AP15" si="77">+AP14*0.28</f>
        <v>1541.0109165865415</v>
      </c>
      <c r="AQ15" s="1">
        <f t="shared" ref="AQ15" si="78">+AQ14*0.28</f>
        <v>1651.3349678795519</v>
      </c>
      <c r="AR15" s="1">
        <f t="shared" ref="AR15" si="79">+AR14*0.28</f>
        <v>1769.6180963777033</v>
      </c>
      <c r="AS15" s="1">
        <f t="shared" ref="AS15" si="80">+AS14*0.28</f>
        <v>1896.4403097312752</v>
      </c>
    </row>
    <row r="16" spans="1:85" s="2" customFormat="1" x14ac:dyDescent="0.25">
      <c r="A16"/>
      <c r="B16" s="2" t="s">
        <v>16</v>
      </c>
      <c r="C16" s="10">
        <f t="shared" ref="C16:R16" si="81">+C14-C15</f>
        <v>249.06200000000047</v>
      </c>
      <c r="D16" s="10">
        <f t="shared" si="81"/>
        <v>459.09699999999975</v>
      </c>
      <c r="E16" s="10">
        <f t="shared" si="81"/>
        <v>493.92100000000056</v>
      </c>
      <c r="F16" s="10">
        <f t="shared" si="81"/>
        <v>666.92799999999761</v>
      </c>
      <c r="G16" s="10">
        <f t="shared" si="81"/>
        <v>401.26899999999949</v>
      </c>
      <c r="H16" s="10">
        <f t="shared" si="81"/>
        <v>496.27999999999906</v>
      </c>
      <c r="I16" s="10">
        <f t="shared" si="81"/>
        <v>691.97800000000052</v>
      </c>
      <c r="J16" s="10">
        <f t="shared" si="81"/>
        <v>894.90000000000589</v>
      </c>
      <c r="K16" s="10">
        <f t="shared" si="81"/>
        <v>553.38299999999936</v>
      </c>
      <c r="L16" s="10">
        <f t="shared" si="81"/>
        <v>890.63699999999972</v>
      </c>
      <c r="M16" s="10">
        <f t="shared" si="81"/>
        <v>937.57700000000091</v>
      </c>
      <c r="N16" s="10">
        <f t="shared" si="81"/>
        <v>1394.1519999999919</v>
      </c>
      <c r="O16" s="10">
        <f>+O14-O15</f>
        <v>925.69600000000139</v>
      </c>
      <c r="P16" s="10">
        <f t="shared" si="81"/>
        <v>1436.4170000000006</v>
      </c>
      <c r="Q16" s="10">
        <f t="shared" si="81"/>
        <v>1608.4880000000001</v>
      </c>
      <c r="R16" s="10">
        <f t="shared" si="81"/>
        <v>1450.9839999999965</v>
      </c>
      <c r="S16" s="5">
        <f>+S14-S15</f>
        <v>644.49000000000058</v>
      </c>
      <c r="T16" s="10">
        <f t="shared" ref="T16:V16" si="82">+T14-T15</f>
        <v>687.28697779411686</v>
      </c>
      <c r="U16" s="10">
        <f t="shared" si="82"/>
        <v>644.69786786911709</v>
      </c>
      <c r="V16" s="10">
        <f t="shared" si="82"/>
        <v>602.75854024336718</v>
      </c>
      <c r="W16" s="10"/>
      <c r="X16" s="10">
        <f t="shared" ref="X16:AN16" si="83">+X14-X15</f>
        <v>580.95599999999956</v>
      </c>
      <c r="Y16" s="10">
        <f t="shared" si="83"/>
        <v>695.60200000000077</v>
      </c>
      <c r="Z16" s="10">
        <f t="shared" si="83"/>
        <v>844.98599999999965</v>
      </c>
      <c r="AA16" s="10">
        <f t="shared" si="83"/>
        <v>921.13800000000174</v>
      </c>
      <c r="AB16" s="10">
        <f t="shared" si="83"/>
        <v>1445.0829999999983</v>
      </c>
      <c r="AC16" s="10">
        <f t="shared" si="83"/>
        <v>1869.0079999999982</v>
      </c>
      <c r="AD16" s="10">
        <f t="shared" si="83"/>
        <v>2484.4270000000038</v>
      </c>
      <c r="AE16" s="10">
        <f t="shared" si="83"/>
        <v>3775.7489999999952</v>
      </c>
      <c r="AF16" s="5">
        <f t="shared" si="83"/>
        <v>5421.5850000000009</v>
      </c>
      <c r="AG16" s="1">
        <f t="shared" si="9"/>
        <v>2579.2333859066021</v>
      </c>
      <c r="AH16" s="10">
        <f t="shared" si="83"/>
        <v>2394.325971395961</v>
      </c>
      <c r="AI16" s="10">
        <f t="shared" si="83"/>
        <v>2466.1557505378396</v>
      </c>
      <c r="AJ16" s="10">
        <f t="shared" si="83"/>
        <v>2618.7755058453849</v>
      </c>
      <c r="AK16" s="10">
        <f t="shared" si="83"/>
        <v>2805.7247086047582</v>
      </c>
      <c r="AL16" s="10">
        <f t="shared" si="83"/>
        <v>3006.1098628657455</v>
      </c>
      <c r="AM16" s="10">
        <f t="shared" si="83"/>
        <v>3220.9052256246846</v>
      </c>
      <c r="AN16" s="10">
        <f t="shared" si="83"/>
        <v>3451.1565227672795</v>
      </c>
      <c r="AO16" s="10">
        <f t="shared" ref="AO16" si="84">+AO14-AO15</f>
        <v>3697.9862703931635</v>
      </c>
      <c r="AP16" s="10">
        <f t="shared" ref="AP16" si="85">+AP14-AP15</f>
        <v>3962.5994997939633</v>
      </c>
      <c r="AQ16" s="10">
        <f t="shared" ref="AQ16" si="86">+AQ14-AQ15</f>
        <v>4246.2899174045615</v>
      </c>
      <c r="AR16" s="10">
        <f t="shared" ref="AR16" si="87">+AR14-AR15</f>
        <v>4550.4465335426648</v>
      </c>
      <c r="AS16" s="10">
        <f t="shared" ref="AS16" si="88">+AS14-AS15</f>
        <v>4876.5607964518495</v>
      </c>
      <c r="AT16" s="10">
        <f>+AS16*(1+$AW$19)</f>
        <v>4876.5607964518495</v>
      </c>
      <c r="AU16" s="10">
        <f>+AT16*(1+$AW$19)</f>
        <v>4876.5607964518495</v>
      </c>
      <c r="AV16" s="10">
        <f>+AU16*(1+$AW$19)</f>
        <v>4876.5607964518495</v>
      </c>
      <c r="AW16" s="10">
        <f>+AV16*(1+$AW$19)</f>
        <v>4876.5607964518495</v>
      </c>
      <c r="AX16" s="10">
        <f>+AW16*(1+$AW$19)</f>
        <v>4876.5607964518495</v>
      </c>
      <c r="AY16" s="10">
        <f>+AX16*(1+$AW$19)</f>
        <v>4876.5607964518495</v>
      </c>
      <c r="AZ16" s="10">
        <f>+AY16*(1+$AW$19)</f>
        <v>4876.5607964518495</v>
      </c>
      <c r="BA16" s="10">
        <f>+AZ16*(1+$AW$19)</f>
        <v>4876.5607964518495</v>
      </c>
      <c r="BB16" s="10">
        <f>+BA16*(1+$AW$19)</f>
        <v>4876.5607964518495</v>
      </c>
      <c r="BC16" s="10">
        <f>+BB16*(1+$AW$19)</f>
        <v>4876.5607964518495</v>
      </c>
      <c r="BD16" s="10">
        <f>+BC16*(1+$AW$19)</f>
        <v>4876.5607964518495</v>
      </c>
      <c r="BE16" s="10">
        <f>+BD16*(1+$AW$19)</f>
        <v>4876.5607964518495</v>
      </c>
      <c r="BF16" s="10">
        <f>+BE16*(1+$AW$19)</f>
        <v>4876.5607964518495</v>
      </c>
      <c r="BG16" s="10">
        <f>+BF16*(1+$AW$19)</f>
        <v>4876.5607964518495</v>
      </c>
      <c r="BH16" s="10">
        <f>+BG16*(1+$AW$19)</f>
        <v>4876.5607964518495</v>
      </c>
      <c r="BI16" s="10">
        <f>+BH16*(1+$AW$19)</f>
        <v>4876.5607964518495</v>
      </c>
      <c r="BJ16" s="10">
        <f>+BI16*(1+$AW$19)</f>
        <v>4876.5607964518495</v>
      </c>
      <c r="BK16" s="10">
        <f>+BJ16*(1+$AW$19)</f>
        <v>4876.5607964518495</v>
      </c>
      <c r="BL16" s="10">
        <f>+BK16*(1+$AW$19)</f>
        <v>4876.5607964518495</v>
      </c>
      <c r="BM16" s="10">
        <f>+BL16*(1+$AW$19)</f>
        <v>4876.5607964518495</v>
      </c>
      <c r="BN16" s="10">
        <f>+BM16*(1+$AW$19)</f>
        <v>4876.5607964518495</v>
      </c>
      <c r="BO16" s="10">
        <f>+BN16*(1+$AW$19)</f>
        <v>4876.5607964518495</v>
      </c>
      <c r="BP16" s="10">
        <f>+BO16*(1+$AW$19)</f>
        <v>4876.5607964518495</v>
      </c>
      <c r="BQ16" s="10">
        <f>+BP16*(1+$AW$19)</f>
        <v>4876.5607964518495</v>
      </c>
      <c r="BR16" s="10">
        <f>+BQ16*(1+$AW$19)</f>
        <v>4876.5607964518495</v>
      </c>
      <c r="BS16" s="10">
        <f>+BR16*(1+$AW$19)</f>
        <v>4876.5607964518495</v>
      </c>
      <c r="BT16" s="10">
        <f>+BS16*(1+$AW$19)</f>
        <v>4876.5607964518495</v>
      </c>
      <c r="BU16" s="10">
        <f>+BT16*(1+$AW$19)</f>
        <v>4876.5607964518495</v>
      </c>
      <c r="BV16" s="10">
        <f>+BU16*(1+$AW$19)</f>
        <v>4876.5607964518495</v>
      </c>
      <c r="BW16" s="10">
        <f>+BV16*(1+$AW$19)</f>
        <v>4876.5607964518495</v>
      </c>
      <c r="BX16" s="10">
        <f>+BW16*(1+$AW$19)</f>
        <v>4876.5607964518495</v>
      </c>
      <c r="BY16" s="10">
        <f>+BX16*(1+$AW$19)</f>
        <v>4876.5607964518495</v>
      </c>
      <c r="BZ16" s="10">
        <f>+BY16*(1+$AW$19)</f>
        <v>4876.5607964518495</v>
      </c>
      <c r="CA16" s="10">
        <f>+BZ16*(1+$AW$19)</f>
        <v>4876.5607964518495</v>
      </c>
      <c r="CB16" s="10">
        <f>+CA16*(1+$AW$19)</f>
        <v>4876.5607964518495</v>
      </c>
      <c r="CC16" s="10">
        <f>+CB16*(1+$AW$19)</f>
        <v>4876.5607964518495</v>
      </c>
      <c r="CD16" s="10">
        <f>+CC16*(1+$AW$19)</f>
        <v>4876.5607964518495</v>
      </c>
      <c r="CE16" s="10">
        <f>+CD16*(1+$AW$19)</f>
        <v>4876.5607964518495</v>
      </c>
      <c r="CF16" s="10">
        <f>+CE16*(1+$AW$19)</f>
        <v>4876.5607964518495</v>
      </c>
      <c r="CG16" s="10">
        <f>+CF16*(1+$AW$19)</f>
        <v>4876.5607964518495</v>
      </c>
    </row>
    <row r="17" spans="1:49" x14ac:dyDescent="0.25">
      <c r="B17" t="s">
        <v>17</v>
      </c>
      <c r="C17" s="7">
        <f t="shared" ref="C17:R17" si="89">+C16/C18</f>
        <v>0.7957252396166149</v>
      </c>
      <c r="D17" s="7">
        <f t="shared" si="89"/>
        <v>1.4667635782747597</v>
      </c>
      <c r="E17" s="7">
        <f t="shared" si="89"/>
        <v>1.5780223642172542</v>
      </c>
      <c r="F17" s="7">
        <f t="shared" si="89"/>
        <v>2.130760383386574</v>
      </c>
      <c r="G17" s="7">
        <f t="shared" si="89"/>
        <v>1.2820095846645352</v>
      </c>
      <c r="H17" s="7">
        <f t="shared" si="89"/>
        <v>1.585559105431307</v>
      </c>
      <c r="I17" s="7">
        <f t="shared" si="89"/>
        <v>2.2126656754120915</v>
      </c>
      <c r="J17" s="7">
        <f t="shared" si="89"/>
        <v>2.8591054313099229</v>
      </c>
      <c r="K17" s="7">
        <f t="shared" si="89"/>
        <v>1.7658473232263583</v>
      </c>
      <c r="L17" s="7">
        <f t="shared" si="89"/>
        <v>2.8546057692307683</v>
      </c>
      <c r="M17" s="7">
        <f t="shared" si="89"/>
        <v>3.0342297734627861</v>
      </c>
      <c r="N17" s="7">
        <f t="shared" si="89"/>
        <v>7.0057889447235775</v>
      </c>
      <c r="O17" s="7">
        <f t="shared" si="89"/>
        <v>3.137952542372886</v>
      </c>
      <c r="P17" s="7">
        <f t="shared" si="89"/>
        <v>4.9361408934707924</v>
      </c>
      <c r="Q17" s="7">
        <f t="shared" si="89"/>
        <v>5.5274501718213056</v>
      </c>
      <c r="R17" s="7">
        <f t="shared" si="89"/>
        <v>5.0033931034482642</v>
      </c>
      <c r="S17" s="27">
        <f>+S16/S18</f>
        <v>2.230069204152251</v>
      </c>
      <c r="T17" s="7">
        <f t="shared" ref="T17:V17" si="90">+T16/T18</f>
        <v>2.3699550958417821</v>
      </c>
      <c r="U17" s="7">
        <f t="shared" si="90"/>
        <v>2.2230960961004036</v>
      </c>
      <c r="V17" s="7">
        <f t="shared" si="90"/>
        <v>2.078477724977128</v>
      </c>
      <c r="W17" s="7"/>
      <c r="X17" s="7">
        <f t="shared" ref="X17:Z17" si="91">+X16/X18</f>
        <v>2.8339317073170709</v>
      </c>
      <c r="Y17" s="7">
        <f t="shared" si="91"/>
        <v>3.2904541154210065</v>
      </c>
      <c r="Z17" s="7">
        <f t="shared" si="91"/>
        <v>3.6064276568501903</v>
      </c>
      <c r="AA17" s="7">
        <f>+AA16/AA18</f>
        <v>3.8221493775933681</v>
      </c>
      <c r="AB17" s="7">
        <f t="shared" ref="AB17:AC17" si="92">+AB16/AB18</f>
        <v>4.4601327160493778</v>
      </c>
      <c r="AC17" s="7">
        <f t="shared" si="92"/>
        <v>5.9145822784810074</v>
      </c>
      <c r="AD17" s="7">
        <f t="shared" ref="AD17" si="93">+AD16/AD18</f>
        <v>7.9374664536741335</v>
      </c>
      <c r="AE17" s="7">
        <f t="shared" ref="AE17" si="94">+AE16/AE18</f>
        <v>12.627923076923061</v>
      </c>
      <c r="AF17" s="27">
        <f t="shared" ref="AF17:AG17" si="95">+AF16/AF18</f>
        <v>18.695120689655177</v>
      </c>
      <c r="AG17" s="7">
        <f t="shared" si="95"/>
        <v>8.9015820048545375</v>
      </c>
      <c r="AH17" s="7">
        <f t="shared" ref="AH17" si="96">+AH16/AH18</f>
        <v>8.2562964530895204</v>
      </c>
      <c r="AI17" s="7">
        <f t="shared" ref="AI17" si="97">+AI16/AI18</f>
        <v>8.5039853466822048</v>
      </c>
      <c r="AJ17" s="7">
        <f t="shared" ref="AJ17" si="98">+AJ16/AJ18</f>
        <v>9.0302603649840858</v>
      </c>
      <c r="AK17" s="7">
        <f t="shared" ref="AK17" si="99">+AK16/AK18</f>
        <v>9.6749127882922696</v>
      </c>
      <c r="AL17" s="7">
        <f t="shared" ref="AL17" si="100">+AL16/AL18</f>
        <v>10.365896078847399</v>
      </c>
      <c r="AM17" s="7">
        <f t="shared" ref="AM17" si="101">+AM16/AM18</f>
        <v>11.106569743533395</v>
      </c>
      <c r="AN17" s="7">
        <f t="shared" ref="AN17" si="102">+AN16/AN18</f>
        <v>11.900539733680274</v>
      </c>
      <c r="AO17" s="7">
        <f t="shared" ref="AO17" si="103">+AO16/AO18</f>
        <v>12.751676794459184</v>
      </c>
      <c r="AP17" s="7">
        <f t="shared" ref="AP17" si="104">+AP16/AP18</f>
        <v>13.664136206186081</v>
      </c>
      <c r="AQ17" s="7">
        <f t="shared" ref="AQ17" si="105">+AQ16/AQ18</f>
        <v>14.642379025532971</v>
      </c>
      <c r="AR17" s="7">
        <f t="shared" ref="AR17" si="106">+AR16/AR18</f>
        <v>15.691194943250569</v>
      </c>
      <c r="AS17" s="7">
        <f t="shared" ref="AS17" si="107">+AS16/AS18</f>
        <v>16.815726884316721</v>
      </c>
    </row>
    <row r="18" spans="1:49" x14ac:dyDescent="0.25">
      <c r="B18" t="s">
        <v>18</v>
      </c>
      <c r="C18" s="1">
        <v>313</v>
      </c>
      <c r="D18" s="1">
        <v>313</v>
      </c>
      <c r="E18" s="1">
        <v>313</v>
      </c>
      <c r="F18" s="1">
        <v>313</v>
      </c>
      <c r="G18" s="1">
        <v>313</v>
      </c>
      <c r="H18" s="1">
        <v>313</v>
      </c>
      <c r="I18" s="1">
        <f>275.115+37.62</f>
        <v>312.73500000000001</v>
      </c>
      <c r="J18" s="1">
        <v>313</v>
      </c>
      <c r="K18" s="1">
        <f>275.76+37.621</f>
        <v>313.38099999999997</v>
      </c>
      <c r="L18" s="1">
        <v>312</v>
      </c>
      <c r="M18" s="1">
        <v>309</v>
      </c>
      <c r="N18" s="1">
        <v>199</v>
      </c>
      <c r="O18" s="1">
        <v>295</v>
      </c>
      <c r="P18" s="1">
        <v>291</v>
      </c>
      <c r="Q18" s="1">
        <v>291</v>
      </c>
      <c r="R18" s="1">
        <v>290</v>
      </c>
      <c r="S18" s="8">
        <v>289</v>
      </c>
      <c r="T18" s="1">
        <v>290</v>
      </c>
      <c r="U18" s="1">
        <v>290</v>
      </c>
      <c r="V18" s="1">
        <v>290</v>
      </c>
      <c r="W18" s="1"/>
      <c r="X18" s="1">
        <f>173.7+31.3</f>
        <v>205</v>
      </c>
      <c r="Y18" s="1">
        <f>180.1+31.3</f>
        <v>211.4</v>
      </c>
      <c r="Z18" s="1">
        <f>203+31.3</f>
        <v>234.3</v>
      </c>
      <c r="AA18" s="1">
        <v>241</v>
      </c>
      <c r="AB18" s="1">
        <v>324</v>
      </c>
      <c r="AC18" s="1">
        <v>316</v>
      </c>
      <c r="AD18" s="1">
        <v>313</v>
      </c>
      <c r="AE18" s="1">
        <v>299</v>
      </c>
      <c r="AF18" s="8">
        <v>290</v>
      </c>
      <c r="AG18" s="1">
        <f>+AVERAGE(S18:V18)</f>
        <v>289.75</v>
      </c>
      <c r="AH18" s="1">
        <v>290</v>
      </c>
      <c r="AI18" s="1">
        <v>290</v>
      </c>
      <c r="AJ18" s="1">
        <v>290</v>
      </c>
      <c r="AK18" s="1">
        <v>290</v>
      </c>
      <c r="AL18" s="1">
        <v>290</v>
      </c>
      <c r="AM18" s="1">
        <v>290</v>
      </c>
      <c r="AN18" s="1">
        <v>290</v>
      </c>
      <c r="AO18" s="1">
        <v>290</v>
      </c>
      <c r="AP18" s="1">
        <v>290</v>
      </c>
      <c r="AQ18" s="1">
        <v>290</v>
      </c>
      <c r="AR18" s="1">
        <v>290</v>
      </c>
      <c r="AS18" s="1">
        <v>290</v>
      </c>
    </row>
    <row r="19" spans="1:49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8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V19" t="s">
        <v>71</v>
      </c>
      <c r="AW19" s="12">
        <v>0</v>
      </c>
    </row>
    <row r="20" spans="1:49" x14ac:dyDescent="0.25">
      <c r="B20" t="s">
        <v>43</v>
      </c>
      <c r="C20" s="1">
        <v>27.395</v>
      </c>
      <c r="D20" s="1">
        <v>47.765999999999998</v>
      </c>
      <c r="E20" s="1">
        <v>69.557000000000002</v>
      </c>
      <c r="F20" s="1"/>
      <c r="G20" s="1"/>
      <c r="H20" s="1">
        <v>25.731000000000002</v>
      </c>
      <c r="I20" s="1">
        <v>42.856000000000002</v>
      </c>
      <c r="J20" s="1"/>
      <c r="K20" s="1"/>
      <c r="L20" s="1"/>
      <c r="M20" s="1"/>
      <c r="N20" s="1"/>
      <c r="O20" s="1"/>
      <c r="P20" s="1"/>
      <c r="Q20" s="1"/>
      <c r="R20" s="1"/>
      <c r="S20" s="8"/>
      <c r="T20" s="1"/>
      <c r="U20" s="1"/>
      <c r="V20" s="1"/>
      <c r="W20" s="1"/>
      <c r="X20" s="1">
        <v>22.599</v>
      </c>
      <c r="Y20" s="1">
        <v>91.355000000000004</v>
      </c>
      <c r="Z20" s="1">
        <v>76.438999999999993</v>
      </c>
      <c r="AA20" s="1">
        <v>111.773</v>
      </c>
      <c r="AB20" s="1">
        <v>130.43899999999999</v>
      </c>
      <c r="AC20" s="1">
        <v>86.497</v>
      </c>
      <c r="AD20" s="1">
        <v>72.751999999999995</v>
      </c>
      <c r="AE20" s="1">
        <v>65.171999999999997</v>
      </c>
      <c r="AF20" s="8">
        <v>57.213999999999999</v>
      </c>
      <c r="AG20" s="1">
        <f t="shared" si="9"/>
        <v>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V20" t="s">
        <v>72</v>
      </c>
      <c r="AW20" s="19">
        <v>9.0999999999999998E-2</v>
      </c>
    </row>
    <row r="21" spans="1:49" s="1" customFormat="1" x14ac:dyDescent="0.25">
      <c r="A21"/>
      <c r="B21" t="s">
        <v>44</v>
      </c>
      <c r="C21" s="1">
        <v>524.423</v>
      </c>
      <c r="D21" s="1">
        <v>-429.89</v>
      </c>
      <c r="H21" s="1">
        <v>1310.8</v>
      </c>
      <c r="I21" s="1">
        <v>2896.8440000000001</v>
      </c>
      <c r="S21" s="8"/>
      <c r="X21" s="1">
        <v>788.48800000000006</v>
      </c>
      <c r="Y21" s="1">
        <v>419.64600000000002</v>
      </c>
      <c r="Z21" s="1">
        <v>507.80399999999997</v>
      </c>
      <c r="AA21" s="1">
        <v>982.37400000000002</v>
      </c>
      <c r="AB21" s="1">
        <v>1691.7470000000001</v>
      </c>
      <c r="AC21" s="1">
        <v>1482.3430000000001</v>
      </c>
      <c r="AD21" s="1">
        <v>4190.8190000000004</v>
      </c>
      <c r="AE21" s="1">
        <v>2532.7739999999999</v>
      </c>
      <c r="AF21" s="8">
        <v>3265.6680000000001</v>
      </c>
      <c r="AG21" s="1">
        <f t="shared" si="9"/>
        <v>0</v>
      </c>
      <c r="AV21" t="s">
        <v>73</v>
      </c>
      <c r="AW21" s="20">
        <f>+NPV(AW20,Z16:CG16)</f>
        <v>32559.148526423887</v>
      </c>
    </row>
    <row r="22" spans="1:49" s="2" customFormat="1" x14ac:dyDescent="0.25">
      <c r="B22" s="2" t="s">
        <v>45</v>
      </c>
      <c r="C22" s="10">
        <f>+C21-C20</f>
        <v>497.02800000000002</v>
      </c>
      <c r="D22" s="10">
        <f t="shared" ref="D22:S22" si="108">+D21-D20</f>
        <v>-477.65600000000001</v>
      </c>
      <c r="E22" s="10">
        <f t="shared" si="108"/>
        <v>-69.557000000000002</v>
      </c>
      <c r="F22" s="10">
        <f t="shared" si="108"/>
        <v>0</v>
      </c>
      <c r="G22" s="10">
        <f t="shared" si="108"/>
        <v>0</v>
      </c>
      <c r="H22" s="10">
        <f t="shared" si="108"/>
        <v>1285.069</v>
      </c>
      <c r="I22" s="10">
        <f t="shared" si="108"/>
        <v>2853.9879999999998</v>
      </c>
      <c r="J22" s="10">
        <f t="shared" si="108"/>
        <v>0</v>
      </c>
      <c r="K22" s="10">
        <f t="shared" si="108"/>
        <v>0</v>
      </c>
      <c r="L22" s="10">
        <f t="shared" si="108"/>
        <v>0</v>
      </c>
      <c r="M22" s="10">
        <f t="shared" si="108"/>
        <v>0</v>
      </c>
      <c r="N22" s="10">
        <f t="shared" si="108"/>
        <v>0</v>
      </c>
      <c r="O22" s="10">
        <f t="shared" si="108"/>
        <v>0</v>
      </c>
      <c r="P22" s="10">
        <f t="shared" si="108"/>
        <v>0</v>
      </c>
      <c r="Q22" s="10">
        <f t="shared" si="108"/>
        <v>0</v>
      </c>
      <c r="R22" s="10">
        <f t="shared" si="108"/>
        <v>0</v>
      </c>
      <c r="S22" s="5">
        <f t="shared" si="108"/>
        <v>0</v>
      </c>
      <c r="T22" s="10"/>
      <c r="U22" s="10"/>
      <c r="V22" s="10"/>
      <c r="W22" s="10"/>
      <c r="X22" s="10">
        <f t="shared" ref="X22" si="109">+X21-X20</f>
        <v>765.88900000000001</v>
      </c>
      <c r="Y22" s="10">
        <f t="shared" ref="Y22" si="110">+Y21-Y20</f>
        <v>328.291</v>
      </c>
      <c r="Z22" s="10">
        <f t="shared" ref="Z22" si="111">+Z21-Z20</f>
        <v>431.36500000000001</v>
      </c>
      <c r="AA22" s="10">
        <f t="shared" ref="AA22:AB22" si="112">+AA21-AA20</f>
        <v>870.601</v>
      </c>
      <c r="AB22" s="10">
        <f t="shared" si="112"/>
        <v>1561.308</v>
      </c>
      <c r="AC22" s="10">
        <f>+AC21-AC20</f>
        <v>1395.846</v>
      </c>
      <c r="AD22" s="10">
        <f t="shared" ref="AD22:AF22" si="113">+AD21-AD20</f>
        <v>4118.067</v>
      </c>
      <c r="AE22" s="10">
        <f t="shared" si="113"/>
        <v>2467.6019999999999</v>
      </c>
      <c r="AF22" s="5">
        <f t="shared" si="113"/>
        <v>3208.4540000000002</v>
      </c>
      <c r="AG22" s="10">
        <f t="shared" si="9"/>
        <v>0</v>
      </c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V22" t="s">
        <v>74</v>
      </c>
      <c r="AW22" s="21">
        <f>+Main!M8</f>
        <v>24172</v>
      </c>
    </row>
    <row r="23" spans="1:49" x14ac:dyDescent="0.25">
      <c r="AV23" t="s">
        <v>75</v>
      </c>
      <c r="AW23" s="21">
        <f>+AW21+AW22</f>
        <v>56731.148526423887</v>
      </c>
    </row>
    <row r="24" spans="1:49" x14ac:dyDescent="0.25">
      <c r="AV24" t="s">
        <v>89</v>
      </c>
      <c r="AW24" s="21">
        <f>+AW23/Main!M6</f>
        <v>196.03022987706942</v>
      </c>
    </row>
    <row r="25" spans="1:49" s="2" customFormat="1" x14ac:dyDescent="0.25">
      <c r="B25" s="2" t="s">
        <v>19</v>
      </c>
      <c r="C25" s="15"/>
      <c r="D25" s="15"/>
      <c r="E25" s="15"/>
      <c r="F25" s="15"/>
      <c r="G25" s="15">
        <f t="shared" ref="G25:R25" si="114">+G7/C7-1</f>
        <v>0.16473891902736026</v>
      </c>
      <c r="H25" s="15">
        <f t="shared" si="114"/>
        <v>-4.9542773630253389E-2</v>
      </c>
      <c r="I25" s="15">
        <f t="shared" si="114"/>
        <v>2.2530082509000238E-3</v>
      </c>
      <c r="J25" s="15">
        <f t="shared" si="114"/>
        <v>-2.0874007626147439E-2</v>
      </c>
      <c r="K25" s="15">
        <f t="shared" si="114"/>
        <v>0.18204672103529762</v>
      </c>
      <c r="L25" s="15">
        <f t="shared" si="114"/>
        <v>0.21615255001192479</v>
      </c>
      <c r="M25" s="15">
        <f t="shared" si="114"/>
        <v>0.18247063926024332</v>
      </c>
      <c r="N25" s="15">
        <f t="shared" si="114"/>
        <v>0.23551626080040444</v>
      </c>
      <c r="O25" s="15">
        <f t="shared" si="114"/>
        <v>0.16487715258076863</v>
      </c>
      <c r="P25" s="15">
        <f t="shared" si="114"/>
        <v>0.29991819786474649</v>
      </c>
      <c r="Q25" s="15">
        <f t="shared" si="114"/>
        <v>0.28712091777411564</v>
      </c>
      <c r="R25" s="15">
        <f t="shared" si="114"/>
        <v>0.20640457784910637</v>
      </c>
      <c r="S25" s="11">
        <f>+S7/O7-1</f>
        <v>4.620041279816145E-2</v>
      </c>
      <c r="T25" s="15">
        <f t="shared" ref="T25:V25" si="115">+T7/P7-1</f>
        <v>-0.23108116974125914</v>
      </c>
      <c r="U25" s="15">
        <f t="shared" si="115"/>
        <v>-0.28698796955595907</v>
      </c>
      <c r="V25" s="15">
        <f t="shared" si="115"/>
        <v>-0.37938026747533027</v>
      </c>
      <c r="X25" s="15"/>
      <c r="Y25" s="15">
        <f t="shared" ref="Y25:AE25" si="116">+Y7/X7-1</f>
        <v>0.21776824427119834</v>
      </c>
      <c r="Z25" s="15">
        <f t="shared" si="116"/>
        <v>0.15579372531667701</v>
      </c>
      <c r="AA25" s="15">
        <f t="shared" si="116"/>
        <v>0.15491928355427254</v>
      </c>
      <c r="AB25" s="15">
        <f t="shared" si="116"/>
        <v>0.62668331967328172</v>
      </c>
      <c r="AC25" s="15">
        <f t="shared" si="116"/>
        <v>8.2051345369747342E-2</v>
      </c>
      <c r="AD25" s="15">
        <f t="shared" si="116"/>
        <v>1.0300877002920039E-2</v>
      </c>
      <c r="AE25" s="15">
        <f t="shared" si="116"/>
        <v>0.20640544867248467</v>
      </c>
      <c r="AF25" s="11">
        <f>+AF7/AE7-1</f>
        <v>0.24106785986460499</v>
      </c>
      <c r="AG25" s="15">
        <f t="shared" ref="AG25:AS25" si="117">+AG7/AF7-1</f>
        <v>-0.23964131439184633</v>
      </c>
      <c r="AH25" s="15">
        <f t="shared" si="117"/>
        <v>-4.8424014174336172E-2</v>
      </c>
      <c r="AI25" s="15">
        <f t="shared" si="117"/>
        <v>3.0000000000000027E-2</v>
      </c>
      <c r="AJ25" s="15">
        <f t="shared" si="117"/>
        <v>6.1885692042873419E-2</v>
      </c>
      <c r="AK25" s="15">
        <f t="shared" si="117"/>
        <v>7.1388021746072949E-2</v>
      </c>
      <c r="AL25" s="15">
        <f t="shared" si="117"/>
        <v>7.1420105346199136E-2</v>
      </c>
      <c r="AM25" s="15">
        <f t="shared" si="117"/>
        <v>7.1452931714935497E-2</v>
      </c>
      <c r="AN25" s="15">
        <f t="shared" si="117"/>
        <v>7.1486517302891794E-2</v>
      </c>
      <c r="AO25" s="15">
        <f t="shared" si="117"/>
        <v>7.1520878869894444E-2</v>
      </c>
      <c r="AP25" s="15">
        <f t="shared" si="117"/>
        <v>7.1556033487562676E-2</v>
      </c>
      <c r="AQ25" s="15">
        <f t="shared" si="117"/>
        <v>7.1591998541701951E-2</v>
      </c>
      <c r="AR25" s="15">
        <f t="shared" si="117"/>
        <v>7.1628791734506203E-2</v>
      </c>
      <c r="AS25" s="15">
        <f t="shared" si="117"/>
        <v>7.1666431086553573E-2</v>
      </c>
      <c r="AV25" t="s">
        <v>76</v>
      </c>
      <c r="AW25" s="7">
        <f>+Main!M5</f>
        <v>113.23</v>
      </c>
    </row>
    <row r="26" spans="1:49" x14ac:dyDescent="0.25">
      <c r="B26" t="s">
        <v>60</v>
      </c>
      <c r="C26" s="12"/>
      <c r="D26" s="12"/>
      <c r="E26" s="12"/>
      <c r="F26" s="12"/>
      <c r="G26" s="12">
        <f>+G3/C3-1</f>
        <v>0.15133477439350318</v>
      </c>
      <c r="H26" s="12">
        <f t="shared" ref="H26:V26" si="118">+H3/D3-1</f>
        <v>-4.7386066553635198E-2</v>
      </c>
      <c r="I26" s="12">
        <f t="shared" si="118"/>
        <v>1.2157018627328098E-2</v>
      </c>
      <c r="J26" s="12">
        <f t="shared" si="118"/>
        <v>-2.7605327581241679E-2</v>
      </c>
      <c r="K26" s="12">
        <f t="shared" si="118"/>
        <v>0.18478393218213474</v>
      </c>
      <c r="L26" s="12">
        <f t="shared" si="118"/>
        <v>0.21792540509960823</v>
      </c>
      <c r="M26" s="12">
        <f t="shared" si="118"/>
        <v>0.19134714592960744</v>
      </c>
      <c r="N26" s="12">
        <f t="shared" si="118"/>
        <v>0.26141742072546958</v>
      </c>
      <c r="O26" s="12">
        <f t="shared" si="118"/>
        <v>0.16369407912837741</v>
      </c>
      <c r="P26" s="12">
        <f t="shared" si="118"/>
        <v>0.32348739216987399</v>
      </c>
      <c r="Q26" s="12">
        <f t="shared" si="118"/>
        <v>0.29289904153520263</v>
      </c>
      <c r="R26" s="12">
        <f t="shared" si="118"/>
        <v>0.21532566743894543</v>
      </c>
      <c r="S26" s="6">
        <f t="shared" si="118"/>
        <v>7.0198297870121218E-2</v>
      </c>
      <c r="T26" s="12">
        <f t="shared" si="118"/>
        <v>-0.23609253568132893</v>
      </c>
      <c r="U26" s="12">
        <f t="shared" si="118"/>
        <v>-0.28846008427393632</v>
      </c>
      <c r="V26" s="12">
        <f t="shared" si="118"/>
        <v>-0.38684352868885363</v>
      </c>
      <c r="X26" s="12"/>
      <c r="Y26" s="12">
        <f>+Y3/X3-1</f>
        <v>0.20523677141917651</v>
      </c>
      <c r="Z26" s="12">
        <f t="shared" ref="Z26:AS26" si="119">+Z3/Y3-1</f>
        <v>0.15051379216470639</v>
      </c>
      <c r="AA26" s="12">
        <f t="shared" si="119"/>
        <v>0.14859756930696477</v>
      </c>
      <c r="AB26" s="12">
        <f t="shared" si="119"/>
        <v>0.70505035537081673</v>
      </c>
      <c r="AC26" s="12">
        <f t="shared" si="119"/>
        <v>8.9928464260986329E-2</v>
      </c>
      <c r="AD26" s="12">
        <f t="shared" si="119"/>
        <v>9.0375630205543622E-3</v>
      </c>
      <c r="AE26" s="12">
        <f t="shared" si="119"/>
        <v>0.21753378844691729</v>
      </c>
      <c r="AF26" s="6">
        <f t="shared" si="119"/>
        <v>0.25077441035790549</v>
      </c>
      <c r="AG26" s="12">
        <f t="shared" si="119"/>
        <v>-0.24081118225576503</v>
      </c>
      <c r="AH26" s="12">
        <f t="shared" si="119"/>
        <v>-4.9999999999999933E-2</v>
      </c>
      <c r="AI26" s="12">
        <f t="shared" si="119"/>
        <v>3.0000000000000027E-2</v>
      </c>
      <c r="AJ26" s="12">
        <f t="shared" si="119"/>
        <v>6.0000000000000053E-2</v>
      </c>
      <c r="AK26" s="12">
        <f t="shared" si="119"/>
        <v>7.0000000000000062E-2</v>
      </c>
      <c r="AL26" s="12">
        <f t="shared" si="119"/>
        <v>7.0000000000000062E-2</v>
      </c>
      <c r="AM26" s="12">
        <f t="shared" si="119"/>
        <v>7.0000000000000062E-2</v>
      </c>
      <c r="AN26" s="12">
        <f t="shared" si="119"/>
        <v>7.0000000000000062E-2</v>
      </c>
      <c r="AO26" s="12">
        <f t="shared" si="119"/>
        <v>7.0000000000000062E-2</v>
      </c>
      <c r="AP26" s="12">
        <f t="shared" si="119"/>
        <v>7.0000000000000062E-2</v>
      </c>
      <c r="AQ26" s="12">
        <f t="shared" si="119"/>
        <v>7.0000000000000062E-2</v>
      </c>
      <c r="AR26" s="12">
        <f t="shared" si="119"/>
        <v>7.0000000000000062E-2</v>
      </c>
      <c r="AS26" s="12">
        <f t="shared" si="119"/>
        <v>7.0000000000000062E-2</v>
      </c>
      <c r="AW26" s="12">
        <f>+AW24/AW25-1</f>
        <v>0.73125699794285448</v>
      </c>
    </row>
    <row r="27" spans="1:49" x14ac:dyDescent="0.25">
      <c r="B27" t="s">
        <v>61</v>
      </c>
      <c r="C27" s="12"/>
      <c r="D27" s="12"/>
      <c r="E27" s="12"/>
      <c r="F27" s="12"/>
      <c r="G27" s="12">
        <f>+G4/C4-1</f>
        <v>0.38622296962549973</v>
      </c>
      <c r="H27" s="12">
        <f t="shared" ref="H27:V27" si="120">+H4/D4-1</f>
        <v>-3.8944059231402095E-2</v>
      </c>
      <c r="I27" s="12">
        <f t="shared" si="120"/>
        <v>5.5972775298215538E-2</v>
      </c>
      <c r="J27" s="12">
        <f t="shared" si="120"/>
        <v>2.190829215803447E-2</v>
      </c>
      <c r="K27" s="12">
        <f t="shared" si="120"/>
        <v>0.22857027801128549</v>
      </c>
      <c r="L27" s="12">
        <f t="shared" si="120"/>
        <v>0.11432108955839859</v>
      </c>
      <c r="M27" s="12">
        <f t="shared" si="120"/>
        <v>-0.12694669883746434</v>
      </c>
      <c r="N27" s="12">
        <f t="shared" si="120"/>
        <v>-0.11348758705321726</v>
      </c>
      <c r="O27" s="12">
        <f t="shared" si="120"/>
        <v>-0.27602030573321479</v>
      </c>
      <c r="P27" s="12">
        <f t="shared" si="120"/>
        <v>-8.4746227709190602E-2</v>
      </c>
      <c r="Q27" s="12">
        <f t="shared" si="120"/>
        <v>-2.3650427833582177E-2</v>
      </c>
      <c r="R27" s="12">
        <f t="shared" si="120"/>
        <v>7.5632196958117515E-3</v>
      </c>
      <c r="S27" s="6">
        <f t="shared" si="120"/>
        <v>3.5540262930034316E-2</v>
      </c>
      <c r="T27" s="12">
        <f t="shared" si="120"/>
        <v>-9.4995203980696052E-2</v>
      </c>
      <c r="U27" s="12">
        <f t="shared" si="120"/>
        <v>-0.11252250071754477</v>
      </c>
      <c r="V27" s="12">
        <f t="shared" si="120"/>
        <v>-0.23051864121611387</v>
      </c>
      <c r="X27" s="12"/>
      <c r="Y27" s="12">
        <f>+Y4/X4-1</f>
        <v>0.36565349343392461</v>
      </c>
      <c r="Z27" s="12">
        <f t="shared" ref="Z27:AS27" si="121">+Z4/Y4-1</f>
        <v>0.10753440220973465</v>
      </c>
      <c r="AA27" s="12">
        <f t="shared" si="121"/>
        <v>0.29785450815199588</v>
      </c>
      <c r="AB27" s="12">
        <f t="shared" si="121"/>
        <v>7.0265719087355016E-2</v>
      </c>
      <c r="AC27" s="12">
        <f t="shared" si="121"/>
        <v>-0.13599076501810647</v>
      </c>
      <c r="AD27" s="12">
        <f t="shared" si="121"/>
        <v>7.9413440671185054E-2</v>
      </c>
      <c r="AE27" s="12">
        <f t="shared" si="121"/>
        <v>9.4730942333633994E-3</v>
      </c>
      <c r="AF27" s="6">
        <f t="shared" si="121"/>
        <v>-9.9099299578857214E-2</v>
      </c>
      <c r="AG27" s="12">
        <f t="shared" si="121"/>
        <v>-0.10950233497307582</v>
      </c>
      <c r="AH27" s="12">
        <f t="shared" si="121"/>
        <v>-2.0000000000000018E-2</v>
      </c>
      <c r="AI27" s="12">
        <f t="shared" si="121"/>
        <v>3.0000000000000027E-2</v>
      </c>
      <c r="AJ27" s="12">
        <f t="shared" si="121"/>
        <v>9.000000000000008E-2</v>
      </c>
      <c r="AK27" s="12">
        <f t="shared" si="121"/>
        <v>9.000000000000008E-2</v>
      </c>
      <c r="AL27" s="12">
        <f t="shared" si="121"/>
        <v>9.000000000000008E-2</v>
      </c>
      <c r="AM27" s="12">
        <f t="shared" si="121"/>
        <v>9.000000000000008E-2</v>
      </c>
      <c r="AN27" s="12">
        <f t="shared" si="121"/>
        <v>9.000000000000008E-2</v>
      </c>
      <c r="AO27" s="12">
        <f t="shared" si="121"/>
        <v>9.000000000000008E-2</v>
      </c>
      <c r="AP27" s="12">
        <f t="shared" si="121"/>
        <v>9.000000000000008E-2</v>
      </c>
      <c r="AQ27" s="12">
        <f t="shared" si="121"/>
        <v>9.000000000000008E-2</v>
      </c>
      <c r="AR27" s="12">
        <f t="shared" si="121"/>
        <v>9.000000000000008E-2</v>
      </c>
      <c r="AS27" s="12">
        <f t="shared" si="121"/>
        <v>9.000000000000008E-2</v>
      </c>
    </row>
    <row r="28" spans="1:49" x14ac:dyDescent="0.25">
      <c r="B28" t="s">
        <v>62</v>
      </c>
      <c r="C28" s="12"/>
      <c r="D28" s="12"/>
      <c r="E28" s="12"/>
      <c r="F28" s="12"/>
      <c r="G28" s="12">
        <f>+G5/C5-1</f>
        <v>0.36171064791046303</v>
      </c>
      <c r="H28" s="12">
        <f t="shared" ref="H28:V28" si="122">+H5/D5-1</f>
        <v>-0.16481019184326917</v>
      </c>
      <c r="I28" s="12">
        <f t="shared" si="122"/>
        <v>-0.37393318039987389</v>
      </c>
      <c r="J28" s="12">
        <f t="shared" si="122"/>
        <v>0.16757985676935272</v>
      </c>
      <c r="K28" s="12">
        <f t="shared" si="122"/>
        <v>-8.8525603806448583E-3</v>
      </c>
      <c r="L28" s="12">
        <f t="shared" si="122"/>
        <v>0.44147436990829858</v>
      </c>
      <c r="M28" s="12">
        <f t="shared" si="122"/>
        <v>0.45802726404445604</v>
      </c>
      <c r="N28" s="12">
        <f t="shared" si="122"/>
        <v>-8.2882233818833306E-2</v>
      </c>
      <c r="O28" s="12">
        <f t="shared" si="122"/>
        <v>1.034029959754418</v>
      </c>
      <c r="P28" s="12">
        <f t="shared" si="122"/>
        <v>-8.1647602411676345E-3</v>
      </c>
      <c r="Q28" s="12">
        <f t="shared" si="122"/>
        <v>0.44744254738835543</v>
      </c>
      <c r="R28" s="12">
        <f t="shared" si="122"/>
        <v>-4.8997335428189515E-2</v>
      </c>
      <c r="S28" s="6">
        <f t="shared" si="122"/>
        <v>-0.46319368339947409</v>
      </c>
      <c r="T28" s="12">
        <f t="shared" si="122"/>
        <v>-0.15202845115071484</v>
      </c>
      <c r="U28" s="12">
        <f t="shared" si="122"/>
        <v>-0.36133552761503507</v>
      </c>
      <c r="V28" s="12">
        <f t="shared" si="122"/>
        <v>-9.8938525063208549E-2</v>
      </c>
      <c r="X28" s="12"/>
      <c r="Y28" s="12">
        <f>+Y5/X5-1</f>
        <v>1.3590283748925192</v>
      </c>
      <c r="Z28" s="12">
        <f t="shared" ref="Z28:AS28" si="123">+Z5/Y5-1</f>
        <v>0.74616221076099687</v>
      </c>
      <c r="AA28" s="12">
        <f t="shared" si="123"/>
        <v>0.3733983669692218</v>
      </c>
      <c r="AB28" s="12">
        <f t="shared" si="123"/>
        <v>6.6775421700175475E-2</v>
      </c>
      <c r="AC28" s="12">
        <f t="shared" si="123"/>
        <v>0.43589183438921775</v>
      </c>
      <c r="AD28" s="12">
        <f t="shared" si="123"/>
        <v>-4.6919133454605744E-2</v>
      </c>
      <c r="AE28" s="12">
        <f t="shared" si="123"/>
        <v>0.15425938007523499</v>
      </c>
      <c r="AF28" s="6">
        <f t="shared" si="123"/>
        <v>0.30120469249825632</v>
      </c>
      <c r="AG28" s="12">
        <f t="shared" si="123"/>
        <v>-0.29592144056802006</v>
      </c>
      <c r="AH28" s="12">
        <f t="shared" si="123"/>
        <v>-2.0000000000000018E-2</v>
      </c>
      <c r="AI28" s="12">
        <f t="shared" si="123"/>
        <v>3.0000000000000027E-2</v>
      </c>
      <c r="AJ28" s="12">
        <f t="shared" si="123"/>
        <v>0.10000000000000009</v>
      </c>
      <c r="AK28" s="12">
        <f t="shared" si="123"/>
        <v>0.10000000000000009</v>
      </c>
      <c r="AL28" s="12">
        <f t="shared" si="123"/>
        <v>0.10000000000000009</v>
      </c>
      <c r="AM28" s="12">
        <f t="shared" si="123"/>
        <v>0.10000000000000009</v>
      </c>
      <c r="AN28" s="12">
        <f t="shared" si="123"/>
        <v>0.10000000000000009</v>
      </c>
      <c r="AO28" s="12">
        <f t="shared" si="123"/>
        <v>0.10000000000000009</v>
      </c>
      <c r="AP28" s="12">
        <f t="shared" si="123"/>
        <v>0.10000000000000009</v>
      </c>
      <c r="AQ28" s="12">
        <f t="shared" si="123"/>
        <v>0.10000000000000009</v>
      </c>
      <c r="AR28" s="12">
        <f t="shared" si="123"/>
        <v>0.10000000000000009</v>
      </c>
      <c r="AS28" s="12">
        <f t="shared" si="123"/>
        <v>0.10000000000000009</v>
      </c>
    </row>
    <row r="29" spans="1:49" x14ac:dyDescent="0.25">
      <c r="B29" t="s">
        <v>88</v>
      </c>
      <c r="C29" s="12"/>
      <c r="D29" s="12"/>
      <c r="E29" s="12"/>
      <c r="F29" s="12"/>
      <c r="G29" s="12">
        <f>+G6/C6-1</f>
        <v>-0.47945205479452058</v>
      </c>
      <c r="H29" s="12">
        <f t="shared" ref="H29:V29" si="124">+H6/D6-1</f>
        <v>0.1817021004916044</v>
      </c>
      <c r="I29" s="12">
        <f t="shared" si="124"/>
        <v>0.34333333333333349</v>
      </c>
      <c r="J29" s="12">
        <f t="shared" si="124"/>
        <v>-1.8682150971977118E-2</v>
      </c>
      <c r="K29" s="12">
        <f t="shared" si="124"/>
        <v>2.6315789473684212</v>
      </c>
      <c r="L29" s="12">
        <f t="shared" si="124"/>
        <v>-0.67691393376195363</v>
      </c>
      <c r="M29" s="12">
        <f t="shared" si="124"/>
        <v>-0.3796526054590571</v>
      </c>
      <c r="N29" s="12">
        <f t="shared" si="124"/>
        <v>-0.9257782351427839</v>
      </c>
      <c r="O29" s="12">
        <f t="shared" si="124"/>
        <v>5.0869565217391388E-2</v>
      </c>
      <c r="P29" s="12">
        <f t="shared" si="124"/>
        <v>-0.24749163879598668</v>
      </c>
      <c r="Q29" s="12">
        <f t="shared" si="124"/>
        <v>0.22512500000000002</v>
      </c>
      <c r="R29" s="12">
        <f t="shared" si="124"/>
        <v>38.584055459272228</v>
      </c>
      <c r="S29" s="12">
        <f t="shared" si="124"/>
        <v>5.0889532478278765E-2</v>
      </c>
      <c r="T29" s="12">
        <f t="shared" si="124"/>
        <v>-0.49199999999999999</v>
      </c>
      <c r="U29" s="12">
        <f t="shared" si="124"/>
        <v>-0.76675849403122132</v>
      </c>
      <c r="V29" s="12">
        <f t="shared" si="124"/>
        <v>-0.8999124343257443</v>
      </c>
      <c r="X29" s="12"/>
      <c r="Y29" s="12">
        <f>+Y6/X6-1</f>
        <v>-3.7298120344784191E-2</v>
      </c>
      <c r="Z29" s="12">
        <f t="shared" ref="Z29:AS29" si="125">+Z6/Y6-1</f>
        <v>5.4266569936419318E-2</v>
      </c>
      <c r="AA29" s="12">
        <f t="shared" si="125"/>
        <v>-0.27014608960276287</v>
      </c>
      <c r="AB29" s="12">
        <f t="shared" si="125"/>
        <v>-0.30738868945485209</v>
      </c>
      <c r="AC29" s="12">
        <f t="shared" si="125"/>
        <v>-0.68855425252175095</v>
      </c>
      <c r="AD29" s="12">
        <f t="shared" si="125"/>
        <v>0.11521650604045064</v>
      </c>
      <c r="AE29" s="12">
        <f t="shared" si="125"/>
        <v>-0.47766498697631388</v>
      </c>
      <c r="AF29" s="12">
        <f t="shared" si="125"/>
        <v>1.0688819499464044</v>
      </c>
      <c r="AG29" s="12">
        <f t="shared" si="125"/>
        <v>-0.67386015498287977</v>
      </c>
      <c r="AH29" s="12">
        <f t="shared" si="125"/>
        <v>-2.0000000000000018E-2</v>
      </c>
      <c r="AI29" s="12">
        <f t="shared" si="125"/>
        <v>3.0000000000000027E-2</v>
      </c>
      <c r="AJ29" s="12">
        <f t="shared" si="125"/>
        <v>0.12000000000000011</v>
      </c>
      <c r="AK29" s="12">
        <f t="shared" si="125"/>
        <v>0.12000000000000011</v>
      </c>
      <c r="AL29" s="12">
        <f t="shared" si="125"/>
        <v>0.12000000000000011</v>
      </c>
      <c r="AM29" s="12">
        <f t="shared" si="125"/>
        <v>0.12000000000000011</v>
      </c>
      <c r="AN29" s="12">
        <f t="shared" si="125"/>
        <v>0.12000000000000011</v>
      </c>
      <c r="AO29" s="12">
        <f t="shared" si="125"/>
        <v>0.12000000000000011</v>
      </c>
      <c r="AP29" s="12">
        <f t="shared" si="125"/>
        <v>0.12000000000000011</v>
      </c>
      <c r="AQ29" s="12">
        <f t="shared" si="125"/>
        <v>0.12000000000000011</v>
      </c>
      <c r="AR29" s="12">
        <f t="shared" si="125"/>
        <v>0.12000000000000011</v>
      </c>
      <c r="AS29" s="12">
        <f t="shared" si="125"/>
        <v>0.12000000000000011</v>
      </c>
    </row>
    <row r="30" spans="1:49" x14ac:dyDescent="0.25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6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6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</row>
    <row r="31" spans="1:49" x14ac:dyDescent="0.25">
      <c r="B31" s="12" t="s">
        <v>20</v>
      </c>
      <c r="C31" s="12">
        <f t="shared" ref="C31:R31" si="126">+C9/C7</f>
        <v>0.10550605055955536</v>
      </c>
      <c r="D31" s="12">
        <f t="shared" si="126"/>
        <v>0.12147283156776419</v>
      </c>
      <c r="E31" s="12">
        <f t="shared" si="126"/>
        <v>0.12650993041216266</v>
      </c>
      <c r="F31" s="12">
        <f t="shared" si="126"/>
        <v>0.14020917326599636</v>
      </c>
      <c r="G31" s="12">
        <f t="shared" si="126"/>
        <v>0.11458342119293426</v>
      </c>
      <c r="H31" s="12">
        <f t="shared" si="126"/>
        <v>0.13999802167046271</v>
      </c>
      <c r="I31" s="12">
        <f t="shared" si="126"/>
        <v>0.16597731546198863</v>
      </c>
      <c r="J31" s="12">
        <f t="shared" si="126"/>
        <v>0.18214677754245348</v>
      </c>
      <c r="K31" s="12">
        <f t="shared" si="126"/>
        <v>0.18289829175576669</v>
      </c>
      <c r="L31" s="12">
        <f t="shared" si="126"/>
        <v>0.19306703576121861</v>
      </c>
      <c r="M31" s="12">
        <f t="shared" si="126"/>
        <v>0.20710553759809089</v>
      </c>
      <c r="N31" s="12">
        <f t="shared" si="126"/>
        <v>0.22333934693795193</v>
      </c>
      <c r="O31" s="12">
        <f t="shared" si="126"/>
        <v>0.19452130050119984</v>
      </c>
      <c r="P31" s="12">
        <f t="shared" si="126"/>
        <v>0.23615003776318941</v>
      </c>
      <c r="Q31" s="12">
        <f t="shared" si="126"/>
        <v>0.23231769252078338</v>
      </c>
      <c r="R31" s="12">
        <f t="shared" si="126"/>
        <v>0.19125471772291205</v>
      </c>
      <c r="S31" s="6">
        <f>+S9/S7</f>
        <v>0.14725996633961069</v>
      </c>
      <c r="T31" s="12">
        <f t="shared" ref="T31:V31" si="127">+T9/T7</f>
        <v>0.15734790469036622</v>
      </c>
      <c r="U31" s="12">
        <f t="shared" si="127"/>
        <v>0.14983648306259403</v>
      </c>
      <c r="V31" s="12">
        <f t="shared" si="127"/>
        <v>0.14230763943796829</v>
      </c>
      <c r="X31" s="12">
        <f t="shared" ref="X31:AF31" si="128">+X9/X7</f>
        <v>0.14128978952190613</v>
      </c>
      <c r="Y31" s="12">
        <f t="shared" si="128"/>
        <v>0.13745629093832312</v>
      </c>
      <c r="Z31" s="12">
        <f t="shared" si="128"/>
        <v>0.13652293484227712</v>
      </c>
      <c r="AA31" s="12">
        <f t="shared" si="128"/>
        <v>0.12848624881537121</v>
      </c>
      <c r="AB31" s="12">
        <f t="shared" si="128"/>
        <v>0.11346635568176379</v>
      </c>
      <c r="AC31" s="12">
        <f t="shared" si="128"/>
        <v>0.12589174602320316</v>
      </c>
      <c r="AD31" s="12">
        <f t="shared" si="128"/>
        <v>0.15448132661628752</v>
      </c>
      <c r="AE31" s="12">
        <f t="shared" si="128"/>
        <v>0.20407302051743922</v>
      </c>
      <c r="AF31" s="6">
        <f t="shared" si="128"/>
        <v>0.21389744471579555</v>
      </c>
      <c r="AG31" s="12">
        <f t="shared" ref="AG31:AS31" si="129">+AG9/AG7</f>
        <v>0.14921210544968946</v>
      </c>
      <c r="AH31" s="12">
        <f t="shared" si="129"/>
        <v>0.15000000000000005</v>
      </c>
      <c r="AI31" s="12">
        <f t="shared" si="129"/>
        <v>0.15000000000000002</v>
      </c>
      <c r="AJ31" s="12">
        <f t="shared" si="129"/>
        <v>0.15</v>
      </c>
      <c r="AK31" s="12">
        <f t="shared" si="129"/>
        <v>0.14999999999999997</v>
      </c>
      <c r="AL31" s="12">
        <f t="shared" si="129"/>
        <v>0.15000000000000002</v>
      </c>
      <c r="AM31" s="12">
        <f t="shared" si="129"/>
        <v>0.15</v>
      </c>
      <c r="AN31" s="12">
        <f t="shared" si="129"/>
        <v>0.15000000000000008</v>
      </c>
      <c r="AO31" s="12">
        <f t="shared" si="129"/>
        <v>0.15000000000000005</v>
      </c>
      <c r="AP31" s="12">
        <f t="shared" si="129"/>
        <v>0.15000000000000002</v>
      </c>
      <c r="AQ31" s="12">
        <f t="shared" si="129"/>
        <v>0.15000000000000002</v>
      </c>
      <c r="AR31" s="12">
        <f t="shared" si="129"/>
        <v>0.15</v>
      </c>
      <c r="AS31" s="12">
        <f t="shared" si="129"/>
        <v>0.15000000000000008</v>
      </c>
    </row>
    <row r="32" spans="1:49" x14ac:dyDescent="0.25">
      <c r="B32" t="s">
        <v>21</v>
      </c>
      <c r="C32" s="12">
        <f t="shared" ref="C32:R32" si="130">+C12/C7</f>
        <v>8.4993764335307212E-2</v>
      </c>
      <c r="D32" s="12">
        <f t="shared" si="130"/>
        <v>0.10779055490940855</v>
      </c>
      <c r="E32" s="12">
        <f t="shared" si="130"/>
        <v>0.11069738424990849</v>
      </c>
      <c r="F32" s="12">
        <f t="shared" si="130"/>
        <v>0.12686305653226418</v>
      </c>
      <c r="G32" s="12">
        <f t="shared" si="130"/>
        <v>9.6241887876795496E-2</v>
      </c>
      <c r="H32" s="12">
        <f t="shared" si="130"/>
        <v>0.12421469679451967</v>
      </c>
      <c r="I32" s="12">
        <f t="shared" si="130"/>
        <v>0.15019247889443976</v>
      </c>
      <c r="J32" s="12">
        <f t="shared" si="130"/>
        <v>0.1712033532878699</v>
      </c>
      <c r="K32" s="12">
        <f t="shared" si="130"/>
        <v>0.16214312056705615</v>
      </c>
      <c r="L32" s="12">
        <f t="shared" si="130"/>
        <v>0.17896161053785678</v>
      </c>
      <c r="M32" s="12">
        <f t="shared" si="130"/>
        <v>0.1934353905111115</v>
      </c>
      <c r="N32" s="12">
        <f t="shared" si="130"/>
        <v>0.21121411772238641</v>
      </c>
      <c r="O32" s="12">
        <f t="shared" si="130"/>
        <v>0.176209104643238</v>
      </c>
      <c r="P32" s="12">
        <f t="shared" si="130"/>
        <v>0.2235634644702405</v>
      </c>
      <c r="Q32" s="12">
        <f t="shared" si="130"/>
        <v>0.2193837879885947</v>
      </c>
      <c r="R32" s="12">
        <f t="shared" si="130"/>
        <v>0.18337867589243556</v>
      </c>
      <c r="S32" s="6">
        <f>+S12/S7</f>
        <v>0.12783043644332678</v>
      </c>
      <c r="T32" s="12">
        <f t="shared" ref="T32:V32" si="131">+T12/T7</f>
        <v>0.14258020264768309</v>
      </c>
      <c r="U32" s="12">
        <f t="shared" si="131"/>
        <v>0.13493714135849746</v>
      </c>
      <c r="V32" s="12">
        <f t="shared" si="131"/>
        <v>0.12727635274733062</v>
      </c>
      <c r="X32" s="12">
        <f t="shared" ref="X32:AF32" si="132">+X12/X7</f>
        <v>0.11851790248916036</v>
      </c>
      <c r="Y32" s="12">
        <f t="shared" si="132"/>
        <v>0.11463131548970623</v>
      </c>
      <c r="Z32" s="12">
        <f t="shared" si="132"/>
        <v>0.11528439408989896</v>
      </c>
      <c r="AA32" s="12">
        <f t="shared" si="132"/>
        <v>0.10587983187263705</v>
      </c>
      <c r="AB32" s="12">
        <f t="shared" si="132"/>
        <v>9.6747506310996836E-2</v>
      </c>
      <c r="AC32" s="12">
        <f t="shared" si="132"/>
        <v>0.11056736473823532</v>
      </c>
      <c r="AD32" s="12">
        <f t="shared" si="132"/>
        <v>0.13965415934489164</v>
      </c>
      <c r="AE32" s="12">
        <f t="shared" si="132"/>
        <v>0.18938923600724122</v>
      </c>
      <c r="AF32" s="6">
        <f t="shared" si="132"/>
        <v>0.20158721107564043</v>
      </c>
      <c r="AG32" s="12">
        <f t="shared" ref="AG32:AS32" si="133">+AG12/AG7</f>
        <v>0.13316486477154008</v>
      </c>
      <c r="AH32" s="12">
        <f t="shared" si="133"/>
        <v>0.13650000000000004</v>
      </c>
      <c r="AI32" s="12">
        <f t="shared" si="133"/>
        <v>0.13650000000000001</v>
      </c>
      <c r="AJ32" s="12">
        <f t="shared" si="133"/>
        <v>0.13650000000000001</v>
      </c>
      <c r="AK32" s="12">
        <f t="shared" si="133"/>
        <v>0.13649999999999998</v>
      </c>
      <c r="AL32" s="12">
        <f t="shared" si="133"/>
        <v>0.13650000000000004</v>
      </c>
      <c r="AM32" s="12">
        <f t="shared" si="133"/>
        <v>0.13650000000000001</v>
      </c>
      <c r="AN32" s="12">
        <f t="shared" si="133"/>
        <v>0.13650000000000007</v>
      </c>
      <c r="AO32" s="12">
        <f t="shared" si="133"/>
        <v>0.13650000000000004</v>
      </c>
      <c r="AP32" s="12">
        <f t="shared" si="133"/>
        <v>0.13650000000000001</v>
      </c>
      <c r="AQ32" s="12">
        <f t="shared" si="133"/>
        <v>0.13650000000000004</v>
      </c>
      <c r="AR32" s="12">
        <f t="shared" si="133"/>
        <v>0.13649999999999998</v>
      </c>
      <c r="AS32" s="12">
        <f t="shared" si="133"/>
        <v>0.13650000000000007</v>
      </c>
    </row>
    <row r="33" spans="2:45" x14ac:dyDescent="0.25">
      <c r="B33" t="s">
        <v>22</v>
      </c>
      <c r="C33" s="12">
        <f t="shared" ref="C33:R33" si="134">+C16/C7</f>
        <v>6.4389184068962643E-2</v>
      </c>
      <c r="D33" s="12">
        <f t="shared" si="134"/>
        <v>8.2528505866554927E-2</v>
      </c>
      <c r="E33" s="12">
        <f t="shared" si="134"/>
        <v>8.432919735471299E-2</v>
      </c>
      <c r="F33" s="12">
        <f t="shared" si="134"/>
        <v>9.5664358855523851E-2</v>
      </c>
      <c r="G33" s="12">
        <f t="shared" si="134"/>
        <v>8.9066107561459815E-2</v>
      </c>
      <c r="H33" s="12">
        <f t="shared" si="134"/>
        <v>9.3862847292818505E-2</v>
      </c>
      <c r="I33" s="12">
        <f t="shared" si="134"/>
        <v>0.1178787152992018</v>
      </c>
      <c r="J33" s="12">
        <f t="shared" si="134"/>
        <v>0.13110134358001244</v>
      </c>
      <c r="K33" s="12">
        <f t="shared" si="134"/>
        <v>0.10391255754423825</v>
      </c>
      <c r="L33" s="12">
        <f t="shared" si="134"/>
        <v>0.13850952155081916</v>
      </c>
      <c r="M33" s="12">
        <f t="shared" si="134"/>
        <v>0.13507024444481913</v>
      </c>
      <c r="N33" s="12">
        <f t="shared" si="134"/>
        <v>0.16530816117092681</v>
      </c>
      <c r="O33" s="12">
        <f t="shared" si="134"/>
        <v>0.14922118359975234</v>
      </c>
      <c r="P33" s="12">
        <f t="shared" si="134"/>
        <v>0.17184757525390712</v>
      </c>
      <c r="Q33" s="12">
        <f t="shared" si="134"/>
        <v>0.1800326266099945</v>
      </c>
      <c r="R33" s="12">
        <f t="shared" si="134"/>
        <v>0.14261125963201726</v>
      </c>
      <c r="S33" s="6">
        <f>+S16/S7</f>
        <v>9.9303233329548185E-2</v>
      </c>
      <c r="T33" s="12">
        <f t="shared" ref="T33:V33" si="135">+T16/T7</f>
        <v>0.10693515198576233</v>
      </c>
      <c r="U33" s="12">
        <f t="shared" si="135"/>
        <v>0.10120285601887309</v>
      </c>
      <c r="V33" s="12">
        <f t="shared" si="135"/>
        <v>9.5457264560497967E-2</v>
      </c>
      <c r="X33" s="12">
        <f t="shared" ref="X33:AF33" si="136">+X16/X7</f>
        <v>7.4674812193405132E-2</v>
      </c>
      <c r="Y33" s="12">
        <f t="shared" si="136"/>
        <v>7.3422146149760559E-2</v>
      </c>
      <c r="Z33" s="12">
        <f t="shared" si="136"/>
        <v>7.7167678280153237E-2</v>
      </c>
      <c r="AA33" s="12">
        <f t="shared" si="136"/>
        <v>7.2838163377381707E-2</v>
      </c>
      <c r="AB33" s="12">
        <f t="shared" si="136"/>
        <v>7.0246399033698309E-2</v>
      </c>
      <c r="AC33" s="12">
        <f t="shared" si="136"/>
        <v>8.3964279439293438E-2</v>
      </c>
      <c r="AD33" s="12">
        <f t="shared" si="136"/>
        <v>0.11047370399576625</v>
      </c>
      <c r="AE33" s="12">
        <f t="shared" si="136"/>
        <v>0.13916899822179127</v>
      </c>
      <c r="AF33" s="6">
        <f t="shared" si="136"/>
        <v>0.16101640550728952</v>
      </c>
      <c r="AG33" s="12">
        <f t="shared" ref="AG33:AS33" si="137">+AG16/AG7</f>
        <v>0.10074325684944498</v>
      </c>
      <c r="AH33" s="12">
        <f t="shared" si="137"/>
        <v>9.8280000000000034E-2</v>
      </c>
      <c r="AI33" s="12">
        <f t="shared" si="137"/>
        <v>9.828000000000002E-2</v>
      </c>
      <c r="AJ33" s="12">
        <f t="shared" si="137"/>
        <v>9.8279999999999992E-2</v>
      </c>
      <c r="AK33" s="12">
        <f t="shared" si="137"/>
        <v>9.8279999999999978E-2</v>
      </c>
      <c r="AL33" s="12">
        <f t="shared" si="137"/>
        <v>9.8280000000000034E-2</v>
      </c>
      <c r="AM33" s="12">
        <f t="shared" si="137"/>
        <v>9.8279999999999992E-2</v>
      </c>
      <c r="AN33" s="12">
        <f t="shared" si="137"/>
        <v>9.8280000000000048E-2</v>
      </c>
      <c r="AO33" s="12">
        <f t="shared" si="137"/>
        <v>9.828000000000002E-2</v>
      </c>
      <c r="AP33" s="12">
        <f t="shared" si="137"/>
        <v>9.8280000000000006E-2</v>
      </c>
      <c r="AQ33" s="12">
        <f t="shared" si="137"/>
        <v>9.828000000000002E-2</v>
      </c>
      <c r="AR33" s="12">
        <f t="shared" si="137"/>
        <v>9.8279999999999992E-2</v>
      </c>
      <c r="AS33" s="12">
        <f t="shared" si="137"/>
        <v>9.8280000000000034E-2</v>
      </c>
    </row>
    <row r="34" spans="2:45" x14ac:dyDescent="0.25">
      <c r="B34" t="s">
        <v>23</v>
      </c>
      <c r="C34" s="12">
        <f t="shared" ref="C34:R34" si="138">+C15/C14</f>
        <v>0.24242461111685623</v>
      </c>
      <c r="D34" s="12">
        <f t="shared" si="138"/>
        <v>0.23436236193500304</v>
      </c>
      <c r="E34" s="12">
        <f t="shared" si="138"/>
        <v>0.23820063205528999</v>
      </c>
      <c r="F34" s="12">
        <f t="shared" si="138"/>
        <v>0.24592421568217374</v>
      </c>
      <c r="G34" s="12">
        <f t="shared" si="138"/>
        <v>7.4559845755746187E-2</v>
      </c>
      <c r="H34" s="12">
        <f t="shared" si="138"/>
        <v>0.24434990612995061</v>
      </c>
      <c r="I34" s="12">
        <f t="shared" si="138"/>
        <v>0.21514901300716355</v>
      </c>
      <c r="J34" s="12">
        <f t="shared" si="138"/>
        <v>0.23423612293637683</v>
      </c>
      <c r="K34" s="12">
        <f t="shared" si="138"/>
        <v>0.35913064223243429</v>
      </c>
      <c r="L34" s="12">
        <f t="shared" si="138"/>
        <v>0.22603780143384752</v>
      </c>
      <c r="M34" s="12">
        <f t="shared" si="138"/>
        <v>0.30172940903975737</v>
      </c>
      <c r="N34" s="12">
        <f t="shared" si="138"/>
        <v>0.21734322045554288</v>
      </c>
      <c r="O34" s="12">
        <f t="shared" si="138"/>
        <v>0.15315849370057685</v>
      </c>
      <c r="P34" s="12">
        <f t="shared" si="138"/>
        <v>0.23132531667855546</v>
      </c>
      <c r="Q34" s="12">
        <f t="shared" si="138"/>
        <v>0.17937132793352067</v>
      </c>
      <c r="R34" s="12">
        <f t="shared" si="138"/>
        <v>0.222312741991502</v>
      </c>
      <c r="S34" s="6">
        <f>+S15/S14</f>
        <v>0.22316440362327997</v>
      </c>
      <c r="T34" s="12">
        <f t="shared" ref="T34:V34" si="139">+T15/T14</f>
        <v>0.25</v>
      </c>
      <c r="U34" s="12">
        <f t="shared" si="139"/>
        <v>0.25</v>
      </c>
      <c r="V34" s="12">
        <f t="shared" si="139"/>
        <v>0.25</v>
      </c>
      <c r="X34" s="12">
        <f t="shared" ref="X34:AF34" si="140">+X15/X14</f>
        <v>0.36992799716283459</v>
      </c>
      <c r="Y34" s="12">
        <f t="shared" si="140"/>
        <v>0.35949312074017165</v>
      </c>
      <c r="Z34" s="12">
        <f t="shared" si="140"/>
        <v>0.33063205224483599</v>
      </c>
      <c r="AA34" s="12">
        <f t="shared" si="140"/>
        <v>0.3120676328141625</v>
      </c>
      <c r="AB34" s="12">
        <f t="shared" si="140"/>
        <v>0.27392031368860481</v>
      </c>
      <c r="AC34" s="12">
        <f t="shared" si="140"/>
        <v>0.24060522163953013</v>
      </c>
      <c r="AD34" s="12">
        <f t="shared" si="140"/>
        <v>0.20894798612521792</v>
      </c>
      <c r="AE34" s="12">
        <f t="shared" si="140"/>
        <v>0.26516944069371395</v>
      </c>
      <c r="AF34" s="6">
        <f t="shared" si="140"/>
        <v>0.20125684239526373</v>
      </c>
      <c r="AG34" s="12">
        <f t="shared" ref="AG34:AS34" si="141">+AG15/AG14</f>
        <v>0.24346968682556153</v>
      </c>
      <c r="AH34" s="12">
        <f t="shared" si="141"/>
        <v>0.28000000000000003</v>
      </c>
      <c r="AI34" s="12">
        <f t="shared" si="141"/>
        <v>0.28000000000000003</v>
      </c>
      <c r="AJ34" s="12">
        <f t="shared" si="141"/>
        <v>0.28000000000000003</v>
      </c>
      <c r="AK34" s="12">
        <f t="shared" si="141"/>
        <v>0.28000000000000003</v>
      </c>
      <c r="AL34" s="12">
        <f t="shared" si="141"/>
        <v>0.28000000000000003</v>
      </c>
      <c r="AM34" s="12">
        <f t="shared" si="141"/>
        <v>0.28000000000000003</v>
      </c>
      <c r="AN34" s="12">
        <f t="shared" si="141"/>
        <v>0.28000000000000003</v>
      </c>
      <c r="AO34" s="12">
        <f t="shared" si="141"/>
        <v>0.28000000000000003</v>
      </c>
      <c r="AP34" s="12">
        <f t="shared" si="141"/>
        <v>0.28000000000000003</v>
      </c>
      <c r="AQ34" s="12">
        <f t="shared" si="141"/>
        <v>0.28000000000000003</v>
      </c>
      <c r="AR34" s="12">
        <f t="shared" si="141"/>
        <v>0.28000000000000003</v>
      </c>
      <c r="AS34" s="12">
        <f t="shared" si="141"/>
        <v>0.28000000000000003</v>
      </c>
    </row>
    <row r="35" spans="2:45" x14ac:dyDescent="0.25">
      <c r="B35" t="s">
        <v>59</v>
      </c>
      <c r="C35" s="12">
        <f>+C10/C9</f>
        <v>0.19441810318422934</v>
      </c>
      <c r="D35" s="12">
        <f t="shared" ref="D35:AS35" si="142">+D10/D9</f>
        <v>0.11263651700358129</v>
      </c>
      <c r="E35" s="12">
        <f t="shared" si="142"/>
        <v>0.12499055300036697</v>
      </c>
      <c r="F35" s="12">
        <f t="shared" si="142"/>
        <v>9.5187186564553328E-2</v>
      </c>
      <c r="G35" s="12">
        <f t="shared" si="142"/>
        <v>0.16007144074757101</v>
      </c>
      <c r="H35" s="12">
        <f t="shared" si="142"/>
        <v>0.11273962794342159</v>
      </c>
      <c r="I35" s="12">
        <f t="shared" si="142"/>
        <v>9.5102373017738301E-2</v>
      </c>
      <c r="J35" s="12">
        <f t="shared" si="142"/>
        <v>6.0080251774056181E-2</v>
      </c>
      <c r="K35" s="12">
        <f t="shared" si="142"/>
        <v>0.11347930584516328</v>
      </c>
      <c r="L35" s="12">
        <f t="shared" si="142"/>
        <v>7.3059728543235739E-2</v>
      </c>
      <c r="M35" s="12">
        <f t="shared" si="142"/>
        <v>6.6005705330331066E-2</v>
      </c>
      <c r="N35" s="12">
        <f t="shared" si="142"/>
        <v>5.429060925361319E-2</v>
      </c>
      <c r="O35" s="12">
        <f t="shared" si="142"/>
        <v>9.4139797599435054E-2</v>
      </c>
      <c r="P35" s="12">
        <f t="shared" si="142"/>
        <v>5.3299052636911683E-2</v>
      </c>
      <c r="Q35" s="12">
        <f t="shared" si="142"/>
        <v>5.5673351400180669E-2</v>
      </c>
      <c r="R35" s="12">
        <f t="shared" si="142"/>
        <v>4.1180902224264203E-2</v>
      </c>
      <c r="S35" s="6">
        <f t="shared" si="142"/>
        <v>0.13194033911073669</v>
      </c>
      <c r="T35" s="12">
        <f t="shared" si="142"/>
        <v>9.3853820753085029E-2</v>
      </c>
      <c r="U35" s="12">
        <f t="shared" si="142"/>
        <v>9.9437342625510072E-2</v>
      </c>
      <c r="V35" s="12">
        <f t="shared" si="142"/>
        <v>0.10562529706769384</v>
      </c>
      <c r="X35" s="12">
        <f t="shared" si="142"/>
        <v>0.16117149802403191</v>
      </c>
      <c r="Y35" s="12">
        <f t="shared" si="142"/>
        <v>0.16605260692548804</v>
      </c>
      <c r="Z35" s="12">
        <f t="shared" si="142"/>
        <v>0.1555675665551339</v>
      </c>
      <c r="AA35" s="12">
        <f t="shared" si="142"/>
        <v>0.17594425202045172</v>
      </c>
      <c r="AB35" s="12">
        <f t="shared" si="142"/>
        <v>0.14734631486409847</v>
      </c>
      <c r="AC35" s="12">
        <f t="shared" si="142"/>
        <v>0.12172665618716094</v>
      </c>
      <c r="AD35" s="12">
        <f t="shared" si="142"/>
        <v>9.5980320703904332E-2</v>
      </c>
      <c r="AE35" s="12">
        <f t="shared" si="142"/>
        <v>7.1953580502539596E-2</v>
      </c>
      <c r="AF35" s="6">
        <f t="shared" si="142"/>
        <v>5.7552036942337854E-2</v>
      </c>
      <c r="AG35" s="12">
        <f t="shared" si="142"/>
        <v>0.10754650656383999</v>
      </c>
      <c r="AH35" s="12">
        <f t="shared" si="142"/>
        <v>0.09</v>
      </c>
      <c r="AI35" s="12">
        <f t="shared" si="142"/>
        <v>0.09</v>
      </c>
      <c r="AJ35" s="12">
        <f t="shared" si="142"/>
        <v>0.09</v>
      </c>
      <c r="AK35" s="12">
        <f t="shared" si="142"/>
        <v>0.09</v>
      </c>
      <c r="AL35" s="12">
        <f t="shared" si="142"/>
        <v>0.09</v>
      </c>
      <c r="AM35" s="12">
        <f t="shared" si="142"/>
        <v>0.09</v>
      </c>
      <c r="AN35" s="12">
        <f t="shared" si="142"/>
        <v>0.09</v>
      </c>
      <c r="AO35" s="12">
        <f t="shared" si="142"/>
        <v>0.09</v>
      </c>
      <c r="AP35" s="12">
        <f t="shared" si="142"/>
        <v>0.09</v>
      </c>
      <c r="AQ35" s="12">
        <f t="shared" si="142"/>
        <v>0.09</v>
      </c>
      <c r="AR35" s="12">
        <f t="shared" si="142"/>
        <v>0.09</v>
      </c>
      <c r="AS35" s="12">
        <f t="shared" si="142"/>
        <v>0.09</v>
      </c>
    </row>
    <row r="36" spans="2:45" x14ac:dyDescent="0.25">
      <c r="B36" t="s">
        <v>94</v>
      </c>
      <c r="C36" s="12">
        <f t="shared" ref="C36:F36" si="143">+C8/C7</f>
        <v>0.89449394944044458</v>
      </c>
      <c r="D36" s="12">
        <f t="shared" si="143"/>
        <v>0.87852716843223577</v>
      </c>
      <c r="E36" s="12">
        <f t="shared" si="143"/>
        <v>0.87349006958783737</v>
      </c>
      <c r="F36" s="12">
        <f t="shared" si="143"/>
        <v>0.85979082673400364</v>
      </c>
      <c r="G36" s="12">
        <f>+G8/G7</f>
        <v>0.8854165788070657</v>
      </c>
      <c r="H36" s="12">
        <f t="shared" ref="H36:V36" si="144">+H8/H7</f>
        <v>0.86000197832953729</v>
      </c>
      <c r="I36" s="12">
        <f t="shared" si="144"/>
        <v>0.83402268453801132</v>
      </c>
      <c r="J36" s="12">
        <f t="shared" si="144"/>
        <v>0.81785322245754655</v>
      </c>
      <c r="K36" s="12">
        <f t="shared" si="144"/>
        <v>0.81710170824423334</v>
      </c>
      <c r="L36" s="12">
        <f t="shared" si="144"/>
        <v>0.80693296423878136</v>
      </c>
      <c r="M36" s="12">
        <f t="shared" si="144"/>
        <v>0.79289446240190908</v>
      </c>
      <c r="N36" s="12">
        <f t="shared" si="144"/>
        <v>0.77666065306204812</v>
      </c>
      <c r="O36" s="12">
        <f t="shared" si="144"/>
        <v>0.80547869949880013</v>
      </c>
      <c r="P36" s="12">
        <f t="shared" si="144"/>
        <v>0.76384996223681056</v>
      </c>
      <c r="Q36" s="12">
        <f t="shared" si="144"/>
        <v>0.76768230747921662</v>
      </c>
      <c r="R36" s="12">
        <f t="shared" si="144"/>
        <v>0.80874528227708797</v>
      </c>
      <c r="S36" s="12">
        <f t="shared" si="144"/>
        <v>0.85274003366038931</v>
      </c>
      <c r="T36" s="12">
        <f t="shared" si="144"/>
        <v>0.84265209530963381</v>
      </c>
      <c r="U36" s="12">
        <f t="shared" si="144"/>
        <v>0.85016351693740599</v>
      </c>
      <c r="V36" s="12">
        <f t="shared" si="144"/>
        <v>0.85769236056203169</v>
      </c>
      <c r="W36" s="12"/>
      <c r="X36" s="12">
        <f>+X8/X7</f>
        <v>0.85871021047809382</v>
      </c>
      <c r="Y36" s="12">
        <f t="shared" ref="Y36:AS36" si="145">+Y8/Y7</f>
        <v>0.86254370906167688</v>
      </c>
      <c r="Z36" s="12">
        <f t="shared" si="145"/>
        <v>0.86347706515772293</v>
      </c>
      <c r="AA36" s="12">
        <f t="shared" si="145"/>
        <v>0.87151375118462882</v>
      </c>
      <c r="AB36" s="12">
        <f t="shared" si="145"/>
        <v>0.88653364431823622</v>
      </c>
      <c r="AC36" s="12">
        <f t="shared" si="145"/>
        <v>0.87410825397679681</v>
      </c>
      <c r="AD36" s="12">
        <f t="shared" si="145"/>
        <v>0.84551867338371245</v>
      </c>
      <c r="AE36" s="12">
        <f t="shared" si="145"/>
        <v>0.79592697948256075</v>
      </c>
      <c r="AF36" s="12">
        <f t="shared" si="145"/>
        <v>0.78610255528420447</v>
      </c>
      <c r="AG36" s="12">
        <f t="shared" si="145"/>
        <v>0.85078789455031045</v>
      </c>
      <c r="AH36" s="12">
        <f t="shared" si="145"/>
        <v>0.85</v>
      </c>
      <c r="AI36" s="12">
        <f t="shared" si="145"/>
        <v>0.85</v>
      </c>
      <c r="AJ36" s="12">
        <f t="shared" si="145"/>
        <v>0.85</v>
      </c>
      <c r="AK36" s="12">
        <f t="shared" si="145"/>
        <v>0.85</v>
      </c>
      <c r="AL36" s="12">
        <f t="shared" si="145"/>
        <v>0.85</v>
      </c>
      <c r="AM36" s="12">
        <f t="shared" si="145"/>
        <v>0.85</v>
      </c>
      <c r="AN36" s="12">
        <f t="shared" si="145"/>
        <v>0.85</v>
      </c>
      <c r="AO36" s="12">
        <f t="shared" si="145"/>
        <v>0.85</v>
      </c>
      <c r="AP36" s="12">
        <f t="shared" si="145"/>
        <v>0.85</v>
      </c>
      <c r="AQ36" s="12">
        <f t="shared" si="145"/>
        <v>0.85</v>
      </c>
      <c r="AR36" s="12">
        <f t="shared" si="145"/>
        <v>0.85</v>
      </c>
      <c r="AS36" s="12">
        <f t="shared" si="145"/>
        <v>0.85</v>
      </c>
    </row>
    <row r="37" spans="2:45" x14ac:dyDescent="0.25">
      <c r="T37" s="12"/>
    </row>
    <row r="38" spans="2:45" x14ac:dyDescent="0.25"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6"/>
      <c r="AF38" s="6"/>
    </row>
    <row r="39" spans="2:45" x14ac:dyDescent="0.25">
      <c r="AF39" s="6"/>
    </row>
    <row r="40" spans="2:45" x14ac:dyDescent="0.25">
      <c r="AF40" s="6"/>
    </row>
    <row r="41" spans="2:45" x14ac:dyDescent="0.25">
      <c r="AF41" s="6"/>
    </row>
    <row r="43" spans="2:45" x14ac:dyDescent="0.25">
      <c r="S43" s="6"/>
    </row>
    <row r="44" spans="2:45" x14ac:dyDescent="0.25">
      <c r="S44" s="6"/>
    </row>
    <row r="45" spans="2:45" x14ac:dyDescent="0.25">
      <c r="S45" s="6"/>
    </row>
    <row r="46" spans="2:45" x14ac:dyDescent="0.25">
      <c r="S4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C4F7-5CB0-44D3-8597-C007E74E9C66}">
  <dimension ref="A1:C62"/>
  <sheetViews>
    <sheetView workbookViewId="0">
      <selection activeCell="V16" sqref="V16"/>
    </sheetView>
  </sheetViews>
  <sheetFormatPr defaultRowHeight="15" x14ac:dyDescent="0.25"/>
  <cols>
    <col min="1" max="1" width="12.7109375" bestFit="1" customWidth="1"/>
  </cols>
  <sheetData>
    <row r="1" spans="1:3" x14ac:dyDescent="0.25">
      <c r="B1" t="s">
        <v>98</v>
      </c>
      <c r="C1" t="s">
        <v>102</v>
      </c>
    </row>
    <row r="2" spans="1:3" x14ac:dyDescent="0.25">
      <c r="A2" s="26">
        <v>43220</v>
      </c>
      <c r="B2" s="25">
        <v>51.74</v>
      </c>
      <c r="C2">
        <v>1286000</v>
      </c>
    </row>
    <row r="3" spans="1:3" x14ac:dyDescent="0.25">
      <c r="A3" s="26">
        <v>43251</v>
      </c>
      <c r="B3" s="25">
        <v>52.5</v>
      </c>
      <c r="C3">
        <v>1358000</v>
      </c>
    </row>
    <row r="4" spans="1:3" x14ac:dyDescent="0.25">
      <c r="A4" s="26">
        <v>43281</v>
      </c>
      <c r="B4" s="25">
        <v>52.27</v>
      </c>
      <c r="C4">
        <v>1199000</v>
      </c>
    </row>
    <row r="5" spans="1:3" x14ac:dyDescent="0.25">
      <c r="A5" s="26">
        <v>43312</v>
      </c>
      <c r="B5" s="25">
        <v>51.67</v>
      </c>
      <c r="C5">
        <v>1199000</v>
      </c>
    </row>
    <row r="6" spans="1:3" x14ac:dyDescent="0.25">
      <c r="A6" s="26">
        <v>43343</v>
      </c>
      <c r="B6" s="25">
        <v>46.69</v>
      </c>
      <c r="C6">
        <v>1289000</v>
      </c>
    </row>
    <row r="7" spans="1:3" x14ac:dyDescent="0.25">
      <c r="A7" s="26">
        <v>43373</v>
      </c>
      <c r="B7" s="25">
        <v>42.98</v>
      </c>
      <c r="C7">
        <v>1247000</v>
      </c>
    </row>
    <row r="8" spans="1:3" x14ac:dyDescent="0.25">
      <c r="A8" s="26">
        <v>43404</v>
      </c>
      <c r="B8" s="25">
        <v>42.73</v>
      </c>
      <c r="C8">
        <v>1220000</v>
      </c>
    </row>
    <row r="9" spans="1:3" x14ac:dyDescent="0.25">
      <c r="A9" s="26">
        <v>43434</v>
      </c>
      <c r="B9" s="25">
        <v>39.15</v>
      </c>
      <c r="C9">
        <v>1177000</v>
      </c>
    </row>
    <row r="10" spans="1:3" x14ac:dyDescent="0.25">
      <c r="A10" s="26">
        <v>43465</v>
      </c>
      <c r="B10" s="25">
        <v>47.42</v>
      </c>
      <c r="C10">
        <v>1089000</v>
      </c>
    </row>
    <row r="11" spans="1:3" x14ac:dyDescent="0.25">
      <c r="A11" s="26">
        <v>43496</v>
      </c>
      <c r="B11" s="25">
        <v>47.98</v>
      </c>
      <c r="C11">
        <v>1232000</v>
      </c>
    </row>
    <row r="12" spans="1:3" x14ac:dyDescent="0.25">
      <c r="A12" s="26">
        <v>43524</v>
      </c>
      <c r="B12" s="25">
        <v>49.09</v>
      </c>
      <c r="C12">
        <v>1129000</v>
      </c>
    </row>
    <row r="13" spans="1:3" x14ac:dyDescent="0.25">
      <c r="A13" s="26">
        <v>43555</v>
      </c>
      <c r="B13" s="25">
        <v>52.03</v>
      </c>
      <c r="C13">
        <v>1200000</v>
      </c>
    </row>
    <row r="14" spans="1:3" x14ac:dyDescent="0.25">
      <c r="A14" s="26">
        <v>43585</v>
      </c>
      <c r="B14" s="25">
        <v>49.66</v>
      </c>
      <c r="C14">
        <v>1280000</v>
      </c>
    </row>
    <row r="15" spans="1:3" x14ac:dyDescent="0.25">
      <c r="A15" s="26">
        <v>43616</v>
      </c>
      <c r="B15" s="25">
        <v>48.46</v>
      </c>
      <c r="C15">
        <v>1308000</v>
      </c>
    </row>
    <row r="16" spans="1:3" x14ac:dyDescent="0.25">
      <c r="A16" s="26">
        <v>43646</v>
      </c>
      <c r="B16" s="25">
        <v>47.57</v>
      </c>
      <c r="C16">
        <v>1235000</v>
      </c>
    </row>
    <row r="17" spans="1:3" x14ac:dyDescent="0.25">
      <c r="A17" s="26">
        <v>43677</v>
      </c>
      <c r="B17" s="25">
        <v>51</v>
      </c>
      <c r="C17">
        <v>1232000</v>
      </c>
    </row>
    <row r="18" spans="1:3" x14ac:dyDescent="0.25">
      <c r="A18" s="26">
        <v>43708</v>
      </c>
      <c r="B18" s="25">
        <v>55.85</v>
      </c>
      <c r="C18">
        <v>1370000</v>
      </c>
    </row>
    <row r="19" spans="1:3" x14ac:dyDescent="0.25">
      <c r="A19" s="26">
        <v>43738</v>
      </c>
      <c r="B19" s="25">
        <v>59.6</v>
      </c>
      <c r="C19">
        <v>1297000</v>
      </c>
    </row>
    <row r="20" spans="1:3" x14ac:dyDescent="0.25">
      <c r="A20" s="26">
        <v>43769</v>
      </c>
      <c r="B20" s="25">
        <v>59.65</v>
      </c>
      <c r="C20">
        <v>1328000</v>
      </c>
    </row>
    <row r="21" spans="1:3" x14ac:dyDescent="0.25">
      <c r="A21" s="26">
        <v>43799</v>
      </c>
      <c r="B21" s="25">
        <v>55.79</v>
      </c>
      <c r="C21">
        <v>1343000</v>
      </c>
    </row>
    <row r="22" spans="1:3" x14ac:dyDescent="0.25">
      <c r="A22" s="26">
        <v>43830</v>
      </c>
      <c r="B22" s="25">
        <v>66.36</v>
      </c>
      <c r="C22">
        <v>1538000</v>
      </c>
    </row>
    <row r="23" spans="1:3" x14ac:dyDescent="0.25">
      <c r="A23" s="26">
        <v>43861</v>
      </c>
      <c r="B23" s="25">
        <v>60.34</v>
      </c>
      <c r="C23">
        <v>1569000</v>
      </c>
    </row>
    <row r="24" spans="1:3" x14ac:dyDescent="0.25">
      <c r="A24" s="26">
        <v>43890</v>
      </c>
      <c r="B24" s="25">
        <v>38.200000000000003</v>
      </c>
      <c r="C24">
        <v>1571000</v>
      </c>
    </row>
    <row r="25" spans="1:3" x14ac:dyDescent="0.25">
      <c r="A25" s="26">
        <v>43921</v>
      </c>
      <c r="B25" s="25">
        <v>50.07</v>
      </c>
      <c r="C25">
        <v>1270000</v>
      </c>
    </row>
    <row r="26" spans="1:3" x14ac:dyDescent="0.25">
      <c r="A26" s="26">
        <v>43951</v>
      </c>
      <c r="B26" s="25">
        <v>60.46</v>
      </c>
      <c r="C26">
        <v>938000</v>
      </c>
    </row>
    <row r="27" spans="1:3" x14ac:dyDescent="0.25">
      <c r="A27" s="26">
        <v>43982</v>
      </c>
      <c r="B27" s="25">
        <v>61.62</v>
      </c>
      <c r="C27">
        <v>1055000</v>
      </c>
    </row>
    <row r="28" spans="1:3" x14ac:dyDescent="0.25">
      <c r="A28" s="26">
        <v>44012</v>
      </c>
      <c r="B28" s="25">
        <v>72.349999999999994</v>
      </c>
      <c r="C28">
        <v>1269000</v>
      </c>
    </row>
    <row r="29" spans="1:3" x14ac:dyDescent="0.25">
      <c r="A29" s="26">
        <v>44043</v>
      </c>
      <c r="B29" s="25">
        <v>74.819999999999993</v>
      </c>
      <c r="C29">
        <v>1510000</v>
      </c>
    </row>
    <row r="30" spans="1:3" x14ac:dyDescent="0.25">
      <c r="A30" s="26">
        <v>44074</v>
      </c>
      <c r="B30" s="25">
        <v>81.680000000000007</v>
      </c>
      <c r="C30">
        <v>1376000</v>
      </c>
    </row>
    <row r="31" spans="1:3" x14ac:dyDescent="0.25">
      <c r="A31" s="26">
        <v>44104</v>
      </c>
      <c r="B31" s="25">
        <v>70.23</v>
      </c>
      <c r="C31">
        <v>1461000</v>
      </c>
    </row>
    <row r="32" spans="1:3" x14ac:dyDescent="0.25">
      <c r="A32" s="26">
        <v>44135</v>
      </c>
      <c r="B32" s="25">
        <v>75.86</v>
      </c>
      <c r="C32">
        <v>1530000</v>
      </c>
    </row>
    <row r="33" spans="1:3" x14ac:dyDescent="0.25">
      <c r="A33" s="26">
        <v>44165</v>
      </c>
      <c r="B33" s="25">
        <v>76.23</v>
      </c>
      <c r="C33">
        <v>1541000</v>
      </c>
    </row>
    <row r="34" spans="1:3" x14ac:dyDescent="0.25">
      <c r="A34" s="26">
        <v>44196</v>
      </c>
      <c r="B34" s="25">
        <v>83.15</v>
      </c>
      <c r="C34">
        <v>1651000</v>
      </c>
    </row>
    <row r="35" spans="1:3" x14ac:dyDescent="0.25">
      <c r="A35" s="26">
        <v>44227</v>
      </c>
      <c r="B35" s="25">
        <v>82.97</v>
      </c>
      <c r="C35">
        <v>1602000</v>
      </c>
    </row>
    <row r="36" spans="1:3" x14ac:dyDescent="0.25">
      <c r="A36" s="26">
        <v>44255</v>
      </c>
      <c r="B36" s="25">
        <v>101.23</v>
      </c>
      <c r="C36">
        <v>1430000</v>
      </c>
    </row>
    <row r="37" spans="1:3" x14ac:dyDescent="0.25">
      <c r="A37" s="26">
        <v>44286</v>
      </c>
      <c r="B37" s="25">
        <v>103.6</v>
      </c>
      <c r="C37">
        <v>1711000</v>
      </c>
    </row>
    <row r="38" spans="1:3" x14ac:dyDescent="0.25">
      <c r="A38" s="26">
        <v>44316</v>
      </c>
      <c r="B38" s="25">
        <v>99.01</v>
      </c>
      <c r="C38">
        <v>1505000</v>
      </c>
    </row>
    <row r="39" spans="1:3" x14ac:dyDescent="0.25">
      <c r="A39" s="26">
        <v>44347</v>
      </c>
      <c r="B39" s="25">
        <v>99.35</v>
      </c>
      <c r="C39">
        <v>1605000</v>
      </c>
    </row>
    <row r="40" spans="1:3" x14ac:dyDescent="0.25">
      <c r="A40" s="26">
        <v>44377</v>
      </c>
      <c r="B40" s="25">
        <v>105.15</v>
      </c>
      <c r="C40">
        <v>1664000</v>
      </c>
    </row>
    <row r="41" spans="1:3" x14ac:dyDescent="0.25">
      <c r="A41" s="26">
        <v>44408</v>
      </c>
      <c r="B41" s="25">
        <v>107.31</v>
      </c>
      <c r="C41">
        <v>1573000</v>
      </c>
    </row>
    <row r="42" spans="1:3" x14ac:dyDescent="0.25">
      <c r="A42" s="26">
        <v>44439</v>
      </c>
      <c r="B42" s="25">
        <v>93.68</v>
      </c>
      <c r="C42">
        <v>1576000</v>
      </c>
    </row>
    <row r="43" spans="1:3" x14ac:dyDescent="0.25">
      <c r="A43" s="26">
        <v>44469</v>
      </c>
      <c r="B43" s="25">
        <v>99.93</v>
      </c>
      <c r="C43">
        <v>1559000</v>
      </c>
    </row>
    <row r="44" spans="1:3" x14ac:dyDescent="0.25">
      <c r="A44" s="26">
        <v>44500</v>
      </c>
      <c r="B44" s="25">
        <v>105.05</v>
      </c>
      <c r="C44">
        <v>1563000</v>
      </c>
    </row>
    <row r="45" spans="1:3" x14ac:dyDescent="0.25">
      <c r="A45" s="26">
        <v>44530</v>
      </c>
      <c r="B45" s="25">
        <v>116.16</v>
      </c>
      <c r="C45">
        <v>1706000</v>
      </c>
    </row>
    <row r="46" spans="1:3" x14ac:dyDescent="0.25">
      <c r="A46" s="26">
        <v>44561</v>
      </c>
      <c r="B46" s="25">
        <v>96.11</v>
      </c>
      <c r="C46">
        <v>1768000</v>
      </c>
    </row>
    <row r="47" spans="1:3" x14ac:dyDescent="0.25">
      <c r="A47" s="26">
        <v>44592</v>
      </c>
      <c r="B47" s="25">
        <v>89.88</v>
      </c>
      <c r="C47">
        <v>1666000</v>
      </c>
    </row>
    <row r="48" spans="1:3" x14ac:dyDescent="0.25">
      <c r="A48" s="26">
        <v>44620</v>
      </c>
      <c r="B48" s="25">
        <v>81.17</v>
      </c>
      <c r="C48">
        <v>1777000</v>
      </c>
    </row>
    <row r="49" spans="1:3" x14ac:dyDescent="0.25">
      <c r="A49" s="26">
        <v>44651</v>
      </c>
      <c r="B49" s="25">
        <v>76.489999999999995</v>
      </c>
      <c r="C49">
        <v>1716000</v>
      </c>
    </row>
    <row r="50" spans="1:3" x14ac:dyDescent="0.25">
      <c r="A50" s="26">
        <v>44681</v>
      </c>
      <c r="B50" s="25">
        <v>80.25</v>
      </c>
      <c r="C50">
        <v>1805000</v>
      </c>
    </row>
    <row r="51" spans="1:3" x14ac:dyDescent="0.25">
      <c r="A51" s="26">
        <v>44712</v>
      </c>
      <c r="B51" s="25">
        <v>70.569999999999993</v>
      </c>
      <c r="C51">
        <v>1562000</v>
      </c>
    </row>
    <row r="52" spans="1:3" x14ac:dyDescent="0.25">
      <c r="A52" s="26">
        <v>44742</v>
      </c>
      <c r="B52" s="25">
        <v>85</v>
      </c>
      <c r="C52">
        <v>1575000</v>
      </c>
    </row>
    <row r="53" spans="1:3" x14ac:dyDescent="0.25">
      <c r="A53" s="26">
        <v>44773</v>
      </c>
      <c r="B53" s="25">
        <v>77.45</v>
      </c>
      <c r="C53">
        <v>1377000</v>
      </c>
    </row>
    <row r="54" spans="1:3" x14ac:dyDescent="0.25">
      <c r="A54" s="26">
        <v>44804</v>
      </c>
      <c r="B54" s="25">
        <v>74.55</v>
      </c>
      <c r="C54">
        <v>1508000</v>
      </c>
    </row>
    <row r="55" spans="1:3" x14ac:dyDescent="0.25">
      <c r="A55" s="26">
        <v>44834</v>
      </c>
      <c r="B55" s="25">
        <v>80.7</v>
      </c>
      <c r="C55">
        <v>1465000</v>
      </c>
    </row>
    <row r="56" spans="1:3" x14ac:dyDescent="0.25">
      <c r="A56" s="26">
        <v>44865</v>
      </c>
      <c r="B56" s="25">
        <v>87.83</v>
      </c>
      <c r="C56">
        <v>1426000</v>
      </c>
    </row>
    <row r="57" spans="1:3" x14ac:dyDescent="0.25">
      <c r="A57" s="26">
        <v>44895</v>
      </c>
      <c r="B57" s="25">
        <v>90.5</v>
      </c>
      <c r="C57">
        <v>1419000</v>
      </c>
    </row>
    <row r="58" spans="1:3" x14ac:dyDescent="0.25">
      <c r="A58" s="26">
        <v>44926</v>
      </c>
      <c r="B58" s="25">
        <v>102.4</v>
      </c>
      <c r="C58">
        <v>1348000</v>
      </c>
    </row>
    <row r="59" spans="1:3" x14ac:dyDescent="0.25">
      <c r="A59" s="26">
        <v>44957</v>
      </c>
      <c r="B59" s="25">
        <v>96.74</v>
      </c>
      <c r="C59">
        <v>1334000</v>
      </c>
    </row>
    <row r="60" spans="1:3" x14ac:dyDescent="0.25">
      <c r="A60" s="26">
        <v>44985</v>
      </c>
      <c r="B60" s="25">
        <v>105.11</v>
      </c>
      <c r="C60">
        <v>1432000</v>
      </c>
    </row>
    <row r="61" spans="1:3" x14ac:dyDescent="0.25">
      <c r="A61" s="26">
        <v>45016</v>
      </c>
      <c r="B61" s="25">
        <v>112.81</v>
      </c>
      <c r="C61">
        <v>1420000</v>
      </c>
    </row>
    <row r="62" spans="1:3" x14ac:dyDescent="0.25">
      <c r="B62" s="25">
        <v>112.29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Price Perf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Oyima</dc:creator>
  <cp:lastModifiedBy>Rohan Oyima</cp:lastModifiedBy>
  <dcterms:created xsi:type="dcterms:W3CDTF">2023-05-12T13:18:40Z</dcterms:created>
  <dcterms:modified xsi:type="dcterms:W3CDTF">2023-05-16T01:13:57Z</dcterms:modified>
</cp:coreProperties>
</file>