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4c472342d338db/Bureau/Equity Research/Stocks analysis/"/>
    </mc:Choice>
  </mc:AlternateContent>
  <xr:revisionPtr revIDLastSave="1417" documentId="8_{83F8849A-309C-413F-83E4-7D51B1405E0B}" xr6:coauthVersionLast="47" xr6:coauthVersionMax="47" xr10:uidLastSave="{43BAF564-DD01-472E-8C0D-4265E5F49E97}"/>
  <bookViews>
    <workbookView xWindow="-28920" yWindow="-120" windowWidth="29040" windowHeight="15720" xr2:uid="{D0E3E47B-3D38-45B5-AAE1-700DC9F697C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" i="2" l="1"/>
  <c r="AE67" i="2"/>
  <c r="AD67" i="2"/>
  <c r="AC67" i="2"/>
  <c r="AB67" i="2"/>
  <c r="AA67" i="2"/>
  <c r="Z67" i="2"/>
  <c r="Y67" i="2"/>
  <c r="X67" i="2"/>
  <c r="W67" i="2"/>
  <c r="AE66" i="2"/>
  <c r="AD66" i="2"/>
  <c r="AC66" i="2"/>
  <c r="AB66" i="2"/>
  <c r="AA66" i="2"/>
  <c r="Z66" i="2"/>
  <c r="Y66" i="2"/>
  <c r="X66" i="2"/>
  <c r="W66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B67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P65" i="2"/>
  <c r="Q65" i="2"/>
  <c r="W65" i="2"/>
  <c r="X65" i="2"/>
  <c r="Y65" i="2"/>
  <c r="Z65" i="2"/>
  <c r="AA65" i="2"/>
  <c r="AB65" i="2"/>
  <c r="AC65" i="2"/>
  <c r="AD65" i="2"/>
  <c r="AE65" i="2"/>
  <c r="AD63" i="2"/>
  <c r="AC63" i="2"/>
  <c r="AB63" i="2"/>
  <c r="AA63" i="2"/>
  <c r="Z63" i="2"/>
  <c r="Y63" i="2"/>
  <c r="X63" i="2"/>
  <c r="AE63" i="2"/>
  <c r="X62" i="2"/>
  <c r="Y62" i="2"/>
  <c r="Z62" i="2"/>
  <c r="AA62" i="2"/>
  <c r="AB62" i="2"/>
  <c r="AC62" i="2"/>
  <c r="AD62" i="2"/>
  <c r="AE62" i="2"/>
  <c r="AE60" i="2"/>
  <c r="AD60" i="2"/>
  <c r="AC60" i="2"/>
  <c r="AB60" i="2"/>
  <c r="AA60" i="2"/>
  <c r="Z60" i="2"/>
  <c r="Y60" i="2"/>
  <c r="Y61" i="2" s="1"/>
  <c r="AW30" i="2"/>
  <c r="Z56" i="2"/>
  <c r="Z57" i="2" s="1"/>
  <c r="AA56" i="2"/>
  <c r="AA57" i="2" s="1"/>
  <c r="AB56" i="2"/>
  <c r="AB57" i="2" s="1"/>
  <c r="AC56" i="2"/>
  <c r="AC57" i="2" s="1"/>
  <c r="AD56" i="2"/>
  <c r="AD57" i="2" s="1"/>
  <c r="AE56" i="2"/>
  <c r="AE57" i="2" s="1"/>
  <c r="AE24" i="2"/>
  <c r="AE55" i="2" s="1"/>
  <c r="AD24" i="2"/>
  <c r="AD55" i="2" s="1"/>
  <c r="AC24" i="2"/>
  <c r="AC55" i="2" s="1"/>
  <c r="AB24" i="2"/>
  <c r="AB55" i="2" s="1"/>
  <c r="AA24" i="2"/>
  <c r="AA55" i="2" s="1"/>
  <c r="Z24" i="2"/>
  <c r="Z55" i="2" s="1"/>
  <c r="Z54" i="2"/>
  <c r="AA54" i="2"/>
  <c r="AB54" i="2"/>
  <c r="AC54" i="2"/>
  <c r="AD54" i="2"/>
  <c r="AE54" i="2"/>
  <c r="Z53" i="2"/>
  <c r="AA53" i="2"/>
  <c r="AB53" i="2"/>
  <c r="AC53" i="2"/>
  <c r="AD53" i="2"/>
  <c r="AE53" i="2"/>
  <c r="Z51" i="2"/>
  <c r="AA51" i="2"/>
  <c r="AB51" i="2"/>
  <c r="AC51" i="2"/>
  <c r="AD51" i="2"/>
  <c r="AE51" i="2"/>
  <c r="AW27" i="2" l="1"/>
  <c r="W32" i="2" l="1"/>
  <c r="Y32" i="2"/>
  <c r="X32" i="2"/>
  <c r="Y29" i="2"/>
  <c r="X29" i="2"/>
  <c r="X27" i="2"/>
  <c r="W27" i="2"/>
  <c r="Y19" i="2"/>
  <c r="X19" i="2"/>
  <c r="W19" i="2"/>
  <c r="W15" i="2"/>
  <c r="X15" i="2"/>
  <c r="Y15" i="2"/>
  <c r="Y13" i="2"/>
  <c r="X13" i="2"/>
  <c r="W13" i="2"/>
  <c r="Y10" i="2"/>
  <c r="X10" i="2"/>
  <c r="X30" i="2" s="1"/>
  <c r="W10" i="2"/>
  <c r="W30" i="2" s="1"/>
  <c r="Z3" i="2"/>
  <c r="Z8" i="2" s="1"/>
  <c r="AA3" i="2"/>
  <c r="AA8" i="2" s="1"/>
  <c r="AB3" i="2"/>
  <c r="AB8" i="2" s="1"/>
  <c r="Y27" i="2"/>
  <c r="AE27" i="2"/>
  <c r="AD27" i="2"/>
  <c r="AC27" i="2"/>
  <c r="AB27" i="2"/>
  <c r="AA27" i="2"/>
  <c r="Z27" i="2"/>
  <c r="Z15" i="2"/>
  <c r="AA15" i="2"/>
  <c r="AB15" i="2"/>
  <c r="E7" i="2"/>
  <c r="E6" i="2"/>
  <c r="E5" i="2"/>
  <c r="E4" i="2"/>
  <c r="E9" i="2"/>
  <c r="E12" i="2"/>
  <c r="E11" i="2"/>
  <c r="E17" i="2"/>
  <c r="E26" i="2"/>
  <c r="E25" i="2"/>
  <c r="E27" i="2" s="1"/>
  <c r="I26" i="2"/>
  <c r="I25" i="2"/>
  <c r="I9" i="2"/>
  <c r="I12" i="2"/>
  <c r="I11" i="2"/>
  <c r="Q7" i="2"/>
  <c r="Q6" i="2"/>
  <c r="Q5" i="2"/>
  <c r="Q4" i="2"/>
  <c r="Q3" i="2"/>
  <c r="AC15" i="2"/>
  <c r="AD15" i="2"/>
  <c r="AE15" i="2"/>
  <c r="AD13" i="2"/>
  <c r="AC13" i="2"/>
  <c r="AB13" i="2"/>
  <c r="AA13" i="2"/>
  <c r="Z13" i="2"/>
  <c r="AE8" i="2"/>
  <c r="AD3" i="2"/>
  <c r="AD8" i="2" s="1"/>
  <c r="AC3" i="2"/>
  <c r="AC8" i="2" s="1"/>
  <c r="AE13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B3" i="2"/>
  <c r="B8" i="2" s="1"/>
  <c r="B10" i="2" s="1"/>
  <c r="B30" i="2" s="1"/>
  <c r="B15" i="2"/>
  <c r="C3" i="2"/>
  <c r="C8" i="2" s="1"/>
  <c r="C10" i="2" s="1"/>
  <c r="C30" i="2" s="1"/>
  <c r="C15" i="2"/>
  <c r="D3" i="2"/>
  <c r="D8" i="2" s="1"/>
  <c r="D10" i="2" s="1"/>
  <c r="D30" i="2" s="1"/>
  <c r="D15" i="2"/>
  <c r="H15" i="2"/>
  <c r="G27" i="2"/>
  <c r="R27" i="2"/>
  <c r="J27" i="2"/>
  <c r="H27" i="2"/>
  <c r="F27" i="2"/>
  <c r="D27" i="2"/>
  <c r="C27" i="2"/>
  <c r="B27" i="2"/>
  <c r="G15" i="2"/>
  <c r="G3" i="2"/>
  <c r="G8" i="2" s="1"/>
  <c r="G10" i="2" s="1"/>
  <c r="G30" i="2" s="1"/>
  <c r="H3" i="2"/>
  <c r="H8" i="2" s="1"/>
  <c r="H10" i="2" s="1"/>
  <c r="H30" i="2" s="1"/>
  <c r="F3" i="2"/>
  <c r="F8" i="2" s="1"/>
  <c r="F10" i="2" s="1"/>
  <c r="F30" i="2" s="1"/>
  <c r="J3" i="2"/>
  <c r="J8" i="2" s="1"/>
  <c r="J10" i="2" s="1"/>
  <c r="J30" i="2" s="1"/>
  <c r="F15" i="2"/>
  <c r="J15" i="2"/>
  <c r="J13" i="2"/>
  <c r="H13" i="2"/>
  <c r="G13" i="2"/>
  <c r="F13" i="2"/>
  <c r="D13" i="2"/>
  <c r="C13" i="2"/>
  <c r="B13" i="2"/>
  <c r="K15" i="2"/>
  <c r="O15" i="2"/>
  <c r="L15" i="2"/>
  <c r="P15" i="2"/>
  <c r="AC10" i="2" l="1"/>
  <c r="AC30" i="2" s="1"/>
  <c r="AC61" i="2"/>
  <c r="AB10" i="2"/>
  <c r="AB30" i="2" s="1"/>
  <c r="AB61" i="2"/>
  <c r="AA10" i="2"/>
  <c r="AA30" i="2" s="1"/>
  <c r="AA61" i="2"/>
  <c r="AD10" i="2"/>
  <c r="AD30" i="2" s="1"/>
  <c r="AD61" i="2"/>
  <c r="Z10" i="2"/>
  <c r="Z30" i="2" s="1"/>
  <c r="Z61" i="2"/>
  <c r="AE10" i="2"/>
  <c r="AE30" i="2" s="1"/>
  <c r="AE61" i="2"/>
  <c r="H38" i="2"/>
  <c r="J38" i="2"/>
  <c r="Z37" i="2"/>
  <c r="AC38" i="2"/>
  <c r="H39" i="2"/>
  <c r="J39" i="2"/>
  <c r="Z36" i="2"/>
  <c r="AA36" i="2"/>
  <c r="AD38" i="2"/>
  <c r="AE35" i="2"/>
  <c r="AB36" i="2"/>
  <c r="AE38" i="2"/>
  <c r="C35" i="2"/>
  <c r="J36" i="2"/>
  <c r="AA39" i="2"/>
  <c r="AA37" i="2"/>
  <c r="Z39" i="2"/>
  <c r="J37" i="2"/>
  <c r="AB39" i="2"/>
  <c r="G39" i="2"/>
  <c r="AE39" i="2"/>
  <c r="D35" i="2"/>
  <c r="C36" i="2"/>
  <c r="B37" i="2"/>
  <c r="AB37" i="2"/>
  <c r="AC36" i="2"/>
  <c r="D36" i="2"/>
  <c r="C37" i="2"/>
  <c r="B38" i="2"/>
  <c r="AC37" i="2"/>
  <c r="AD39" i="2"/>
  <c r="B36" i="2"/>
  <c r="F35" i="2"/>
  <c r="D37" i="2"/>
  <c r="C38" i="2"/>
  <c r="B39" i="2"/>
  <c r="Z35" i="2"/>
  <c r="AD37" i="2"/>
  <c r="G35" i="2"/>
  <c r="F36" i="2"/>
  <c r="D38" i="2"/>
  <c r="C39" i="2"/>
  <c r="AA35" i="2"/>
  <c r="AE37" i="2"/>
  <c r="H35" i="2"/>
  <c r="G36" i="2"/>
  <c r="F37" i="2"/>
  <c r="D39" i="2"/>
  <c r="AB35" i="2"/>
  <c r="Z38" i="2"/>
  <c r="AD36" i="2"/>
  <c r="AE36" i="2"/>
  <c r="B35" i="2"/>
  <c r="H36" i="2"/>
  <c r="G37" i="2"/>
  <c r="F38" i="2"/>
  <c r="AC35" i="2"/>
  <c r="AA38" i="2"/>
  <c r="AC39" i="2"/>
  <c r="J35" i="2"/>
  <c r="H37" i="2"/>
  <c r="G38" i="2"/>
  <c r="F39" i="2"/>
  <c r="AD35" i="2"/>
  <c r="AB38" i="2"/>
  <c r="I13" i="2"/>
  <c r="X14" i="2"/>
  <c r="G29" i="2"/>
  <c r="F29" i="2"/>
  <c r="M15" i="2"/>
  <c r="H29" i="2"/>
  <c r="J29" i="2"/>
  <c r="E13" i="2"/>
  <c r="W14" i="2"/>
  <c r="Y14" i="2"/>
  <c r="Z29" i="2"/>
  <c r="Y30" i="2"/>
  <c r="AB29" i="2"/>
  <c r="AD29" i="2"/>
  <c r="AA29" i="2"/>
  <c r="AC29" i="2"/>
  <c r="AE29" i="2"/>
  <c r="AD14" i="2"/>
  <c r="AD52" i="2" s="1"/>
  <c r="I15" i="2"/>
  <c r="AL2" i="2"/>
  <c r="AM2" i="2" s="1"/>
  <c r="AN2" i="2" s="1"/>
  <c r="AO2" i="2" s="1"/>
  <c r="AP2" i="2" s="1"/>
  <c r="AQ2" i="2" s="1"/>
  <c r="AR2" i="2" s="1"/>
  <c r="AC14" i="2"/>
  <c r="AC52" i="2" s="1"/>
  <c r="E3" i="2"/>
  <c r="H14" i="2"/>
  <c r="J14" i="2"/>
  <c r="F14" i="2"/>
  <c r="G14" i="2"/>
  <c r="B14" i="2"/>
  <c r="C14" i="2"/>
  <c r="D14" i="2"/>
  <c r="AB14" i="2" l="1"/>
  <c r="AB52" i="2" s="1"/>
  <c r="AA14" i="2"/>
  <c r="AA52" i="2" s="1"/>
  <c r="Z14" i="2"/>
  <c r="Z52" i="2" s="1"/>
  <c r="AE14" i="2"/>
  <c r="AE31" i="2" s="1"/>
  <c r="Y16" i="2"/>
  <c r="Y33" i="2" s="1"/>
  <c r="Y52" i="2"/>
  <c r="W31" i="2"/>
  <c r="W52" i="2"/>
  <c r="X31" i="2"/>
  <c r="X52" i="2"/>
  <c r="X16" i="2"/>
  <c r="X33" i="2" s="1"/>
  <c r="W16" i="2"/>
  <c r="W33" i="2" s="1"/>
  <c r="E8" i="2"/>
  <c r="D16" i="2"/>
  <c r="D31" i="2"/>
  <c r="C16" i="2"/>
  <c r="C31" i="2"/>
  <c r="B16" i="2"/>
  <c r="B31" i="2"/>
  <c r="Y31" i="2"/>
  <c r="AC16" i="2"/>
  <c r="AC31" i="2"/>
  <c r="AD16" i="2"/>
  <c r="AD31" i="2"/>
  <c r="J16" i="2"/>
  <c r="J31" i="2"/>
  <c r="H16" i="2"/>
  <c r="H31" i="2"/>
  <c r="G16" i="2"/>
  <c r="G31" i="2"/>
  <c r="F16" i="2"/>
  <c r="F31" i="2"/>
  <c r="AB31" i="2" l="1"/>
  <c r="AB16" i="2"/>
  <c r="AB18" i="2" s="1"/>
  <c r="Z31" i="2"/>
  <c r="Z16" i="2"/>
  <c r="Z18" i="2" s="1"/>
  <c r="AE16" i="2"/>
  <c r="AE18" i="2" s="1"/>
  <c r="AA31" i="2"/>
  <c r="AA16" i="2"/>
  <c r="AA18" i="2" s="1"/>
  <c r="AE52" i="2"/>
  <c r="E10" i="2"/>
  <c r="E14" i="2" s="1"/>
  <c r="E39" i="2"/>
  <c r="E36" i="2"/>
  <c r="E38" i="2"/>
  <c r="E37" i="2"/>
  <c r="E35" i="2"/>
  <c r="C18" i="2"/>
  <c r="C33" i="2"/>
  <c r="B18" i="2"/>
  <c r="B33" i="2"/>
  <c r="D18" i="2"/>
  <c r="D33" i="2"/>
  <c r="AD18" i="2"/>
  <c r="AD33" i="2"/>
  <c r="AC18" i="2"/>
  <c r="AC33" i="2"/>
  <c r="J18" i="2"/>
  <c r="J33" i="2"/>
  <c r="F18" i="2"/>
  <c r="F33" i="2"/>
  <c r="G18" i="2"/>
  <c r="G33" i="2"/>
  <c r="H18" i="2"/>
  <c r="H33" i="2"/>
  <c r="AB33" i="2" l="1"/>
  <c r="AE33" i="2"/>
  <c r="AA33" i="2"/>
  <c r="Z33" i="2"/>
  <c r="E30" i="2"/>
  <c r="C19" i="2"/>
  <c r="C32" i="2"/>
  <c r="E16" i="2"/>
  <c r="E31" i="2"/>
  <c r="D19" i="2"/>
  <c r="D32" i="2"/>
  <c r="B19" i="2"/>
  <c r="B32" i="2"/>
  <c r="Z19" i="2"/>
  <c r="Z32" i="2"/>
  <c r="AC19" i="2"/>
  <c r="AC32" i="2"/>
  <c r="AE19" i="2"/>
  <c r="AE32" i="2"/>
  <c r="AA19" i="2"/>
  <c r="AA32" i="2"/>
  <c r="AD19" i="2"/>
  <c r="AD32" i="2"/>
  <c r="AB19" i="2"/>
  <c r="AB32" i="2"/>
  <c r="H19" i="2"/>
  <c r="H32" i="2"/>
  <c r="G19" i="2"/>
  <c r="G32" i="2"/>
  <c r="F19" i="2"/>
  <c r="F32" i="2"/>
  <c r="J19" i="2"/>
  <c r="J32" i="2"/>
  <c r="E18" i="2" l="1"/>
  <c r="E33" i="2"/>
  <c r="E19" i="2" l="1"/>
  <c r="E32" i="2"/>
  <c r="N15" i="2" l="1"/>
  <c r="Q15" i="2" s="1"/>
  <c r="R15" i="2"/>
  <c r="Q8" i="2"/>
  <c r="P8" i="2"/>
  <c r="O8" i="2"/>
  <c r="N8" i="2"/>
  <c r="L8" i="2"/>
  <c r="K8" i="2"/>
  <c r="R8" i="2"/>
  <c r="R36" i="2" l="1"/>
  <c r="R35" i="2"/>
  <c r="R39" i="2"/>
  <c r="R38" i="2"/>
  <c r="R37" i="2"/>
  <c r="K29" i="2"/>
  <c r="K39" i="2"/>
  <c r="K37" i="2"/>
  <c r="K36" i="2"/>
  <c r="K35" i="2"/>
  <c r="K38" i="2"/>
  <c r="L29" i="2"/>
  <c r="L38" i="2"/>
  <c r="L36" i="2"/>
  <c r="L37" i="2"/>
  <c r="L35" i="2"/>
  <c r="L39" i="2"/>
  <c r="N29" i="2"/>
  <c r="N36" i="2"/>
  <c r="N39" i="2"/>
  <c r="N37" i="2"/>
  <c r="N38" i="2"/>
  <c r="N35" i="2"/>
  <c r="O39" i="2"/>
  <c r="O36" i="2"/>
  <c r="O38" i="2"/>
  <c r="O37" i="2"/>
  <c r="O35" i="2"/>
  <c r="P37" i="2"/>
  <c r="P36" i="2"/>
  <c r="P38" i="2"/>
  <c r="P35" i="2"/>
  <c r="P39" i="2"/>
  <c r="Q36" i="2"/>
  <c r="Q35" i="2"/>
  <c r="Q37" i="2"/>
  <c r="Q39" i="2"/>
  <c r="Q38" i="2"/>
  <c r="O29" i="2"/>
  <c r="S8" i="2"/>
  <c r="S29" i="2" s="1"/>
  <c r="R29" i="2"/>
  <c r="P29" i="2"/>
  <c r="M13" i="2"/>
  <c r="L13" i="2"/>
  <c r="K13" i="2"/>
  <c r="L10" i="2"/>
  <c r="L30" i="2" s="1"/>
  <c r="K10" i="2"/>
  <c r="K30" i="2" s="1"/>
  <c r="M27" i="2"/>
  <c r="L27" i="2"/>
  <c r="K27" i="2"/>
  <c r="Q27" i="2"/>
  <c r="P27" i="2"/>
  <c r="O27" i="2"/>
  <c r="N27" i="2"/>
  <c r="Q13" i="2"/>
  <c r="P13" i="2"/>
  <c r="O13" i="2"/>
  <c r="N13" i="2"/>
  <c r="Q10" i="2"/>
  <c r="Q30" i="2" s="1"/>
  <c r="P10" i="2"/>
  <c r="P30" i="2" s="1"/>
  <c r="O10" i="2"/>
  <c r="O30" i="2" s="1"/>
  <c r="S7" i="2" l="1"/>
  <c r="S39" i="2" s="1"/>
  <c r="S4" i="2"/>
  <c r="S36" i="2" s="1"/>
  <c r="S6" i="2"/>
  <c r="S38" i="2" s="1"/>
  <c r="S5" i="2"/>
  <c r="S37" i="2" s="1"/>
  <c r="S3" i="2"/>
  <c r="S35" i="2" s="1"/>
  <c r="T8" i="2"/>
  <c r="T29" i="2" s="1"/>
  <c r="S14" i="2"/>
  <c r="S31" i="2" s="1"/>
  <c r="S10" i="2"/>
  <c r="L14" i="2"/>
  <c r="K14" i="2"/>
  <c r="P14" i="2"/>
  <c r="O14" i="2"/>
  <c r="Q14" i="2"/>
  <c r="R13" i="2"/>
  <c r="S9" i="2" l="1"/>
  <c r="S30" i="2"/>
  <c r="T5" i="2"/>
  <c r="T37" i="2" s="1"/>
  <c r="T4" i="2"/>
  <c r="T36" i="2" s="1"/>
  <c r="T3" i="2"/>
  <c r="T35" i="2" s="1"/>
  <c r="T7" i="2"/>
  <c r="T39" i="2" s="1"/>
  <c r="T6" i="2"/>
  <c r="T38" i="2" s="1"/>
  <c r="S15" i="2"/>
  <c r="S16" i="2" s="1"/>
  <c r="S17" i="2" s="1"/>
  <c r="S33" i="2" s="1"/>
  <c r="S12" i="2"/>
  <c r="S11" i="2"/>
  <c r="U8" i="2"/>
  <c r="U29" i="2" s="1"/>
  <c r="T10" i="2"/>
  <c r="T14" i="2"/>
  <c r="T31" i="2" s="1"/>
  <c r="Q16" i="2"/>
  <c r="Q31" i="2"/>
  <c r="O16" i="2"/>
  <c r="O31" i="2"/>
  <c r="P16" i="2"/>
  <c r="P31" i="2"/>
  <c r="K16" i="2"/>
  <c r="K31" i="2"/>
  <c r="L16" i="2"/>
  <c r="L31" i="2"/>
  <c r="L7" i="1"/>
  <c r="T9" i="2" l="1"/>
  <c r="T30" i="2"/>
  <c r="U4" i="2"/>
  <c r="U3" i="2"/>
  <c r="U6" i="2"/>
  <c r="U5" i="2"/>
  <c r="U7" i="2"/>
  <c r="T11" i="2"/>
  <c r="T15" i="2"/>
  <c r="T16" i="2" s="1"/>
  <c r="T17" i="2" s="1"/>
  <c r="T12" i="2"/>
  <c r="T13" i="2" s="1"/>
  <c r="U14" i="2"/>
  <c r="U31" i="2" s="1"/>
  <c r="U10" i="2"/>
  <c r="U30" i="2" s="1"/>
  <c r="S13" i="2"/>
  <c r="P18" i="2"/>
  <c r="P33" i="2"/>
  <c r="O18" i="2"/>
  <c r="O33" i="2"/>
  <c r="S18" i="2"/>
  <c r="S32" i="2" s="1"/>
  <c r="L18" i="2"/>
  <c r="L33" i="2"/>
  <c r="K18" i="2"/>
  <c r="K33" i="2"/>
  <c r="Q18" i="2"/>
  <c r="Q33" i="2"/>
  <c r="T18" i="2" l="1"/>
  <c r="T33" i="2"/>
  <c r="AF7" i="2"/>
  <c r="U39" i="2"/>
  <c r="AF3" i="2"/>
  <c r="U35" i="2"/>
  <c r="AF5" i="2"/>
  <c r="U37" i="2"/>
  <c r="AF6" i="2"/>
  <c r="U38" i="2"/>
  <c r="AF4" i="2"/>
  <c r="U36" i="2"/>
  <c r="U15" i="2"/>
  <c r="U16" i="2" s="1"/>
  <c r="U17" i="2" s="1"/>
  <c r="U12" i="2"/>
  <c r="U11" i="2"/>
  <c r="U9" i="2"/>
  <c r="Q19" i="2"/>
  <c r="Q32" i="2"/>
  <c r="K19" i="2"/>
  <c r="K32" i="2"/>
  <c r="L19" i="2"/>
  <c r="L32" i="2"/>
  <c r="S19" i="2"/>
  <c r="O19" i="2"/>
  <c r="O32" i="2"/>
  <c r="P19" i="2"/>
  <c r="P32" i="2"/>
  <c r="R10" i="2"/>
  <c r="R14" i="2" s="1"/>
  <c r="R31" i="2" s="1"/>
  <c r="U18" i="2" l="1"/>
  <c r="U33" i="2"/>
  <c r="AF8" i="2"/>
  <c r="AF35" i="2" s="1"/>
  <c r="T19" i="2"/>
  <c r="T32" i="2"/>
  <c r="AG3" i="2"/>
  <c r="AF29" i="2"/>
  <c r="AF38" i="2"/>
  <c r="AG6" i="2"/>
  <c r="AG5" i="2"/>
  <c r="AF37" i="2"/>
  <c r="AG4" i="2"/>
  <c r="AF36" i="2"/>
  <c r="AF39" i="2"/>
  <c r="AG7" i="2"/>
  <c r="U13" i="2"/>
  <c r="R30" i="2"/>
  <c r="R16" i="2"/>
  <c r="U19" i="2" l="1"/>
  <c r="U32" i="2"/>
  <c r="AH7" i="2"/>
  <c r="AH3" i="2"/>
  <c r="AG8" i="2"/>
  <c r="AG36" i="2" s="1"/>
  <c r="AH4" i="2"/>
  <c r="AH5" i="2"/>
  <c r="AH6" i="2"/>
  <c r="R18" i="2"/>
  <c r="R33" i="2"/>
  <c r="AG38" i="2" l="1"/>
  <c r="AG37" i="2"/>
  <c r="AI6" i="2"/>
  <c r="AI5" i="2"/>
  <c r="AI4" i="2"/>
  <c r="AG14" i="2"/>
  <c r="AG31" i="2" s="1"/>
  <c r="AG29" i="2"/>
  <c r="AG10" i="2"/>
  <c r="AG9" i="2" s="1"/>
  <c r="AI3" i="2"/>
  <c r="AH8" i="2"/>
  <c r="AH38" i="2" s="1"/>
  <c r="AG39" i="2"/>
  <c r="AG35" i="2"/>
  <c r="AI7" i="2"/>
  <c r="R19" i="2"/>
  <c r="R32" i="2"/>
  <c r="N10" i="2"/>
  <c r="N30" i="2" s="1"/>
  <c r="AG15" i="2" l="1"/>
  <c r="AG16" i="2" s="1"/>
  <c r="AG17" i="2" s="1"/>
  <c r="AG30" i="2"/>
  <c r="AG11" i="2"/>
  <c r="AG12" i="2"/>
  <c r="AH37" i="2"/>
  <c r="AH35" i="2"/>
  <c r="AJ4" i="2"/>
  <c r="AH39" i="2"/>
  <c r="AH10" i="2"/>
  <c r="AH29" i="2"/>
  <c r="AH14" i="2"/>
  <c r="AH31" i="2" s="1"/>
  <c r="AJ3" i="2"/>
  <c r="AI8" i="2"/>
  <c r="AI35" i="2" s="1"/>
  <c r="AH36" i="2"/>
  <c r="AJ5" i="2"/>
  <c r="AJ7" i="2"/>
  <c r="AJ6" i="2"/>
  <c r="N14" i="2"/>
  <c r="AG13" i="2" l="1"/>
  <c r="AI10" i="2"/>
  <c r="AI9" i="2" s="1"/>
  <c r="AI29" i="2"/>
  <c r="AI14" i="2"/>
  <c r="AI31" i="2" s="1"/>
  <c r="AK3" i="2"/>
  <c r="AJ8" i="2"/>
  <c r="AJ37" i="2" s="1"/>
  <c r="AH9" i="2"/>
  <c r="AH30" i="2"/>
  <c r="AH11" i="2"/>
  <c r="AH12" i="2"/>
  <c r="AH13" i="2" s="1"/>
  <c r="AH15" i="2"/>
  <c r="AH16" i="2" s="1"/>
  <c r="AI36" i="2"/>
  <c r="AK4" i="2"/>
  <c r="AJ36" i="2"/>
  <c r="AI38" i="2"/>
  <c r="AK6" i="2"/>
  <c r="AI39" i="2"/>
  <c r="AK7" i="2"/>
  <c r="AI37" i="2"/>
  <c r="AK5" i="2"/>
  <c r="AG18" i="2"/>
  <c r="AG33" i="2"/>
  <c r="N16" i="2"/>
  <c r="N31" i="2"/>
  <c r="AH17" i="2" l="1"/>
  <c r="AH33" i="2" s="1"/>
  <c r="AL4" i="2"/>
  <c r="AG19" i="2"/>
  <c r="AG32" i="2"/>
  <c r="AL5" i="2"/>
  <c r="AJ10" i="2"/>
  <c r="AJ29" i="2"/>
  <c r="AJ14" i="2"/>
  <c r="AJ31" i="2" s="1"/>
  <c r="AJ9" i="2"/>
  <c r="AJ35" i="2"/>
  <c r="AJ39" i="2"/>
  <c r="AL3" i="2"/>
  <c r="AK8" i="2"/>
  <c r="AK39" i="2" s="1"/>
  <c r="AL7" i="2"/>
  <c r="AJ38" i="2"/>
  <c r="AL6" i="2"/>
  <c r="AI11" i="2"/>
  <c r="AI30" i="2"/>
  <c r="AI12" i="2"/>
  <c r="AI15" i="2"/>
  <c r="AI16" i="2" s="1"/>
  <c r="AI17" i="2" s="1"/>
  <c r="N18" i="2"/>
  <c r="N33" i="2"/>
  <c r="AH18" i="2" l="1"/>
  <c r="AH32" i="2" s="1"/>
  <c r="AI13" i="2"/>
  <c r="AK35" i="2"/>
  <c r="AK37" i="2"/>
  <c r="AK38" i="2"/>
  <c r="AK36" i="2"/>
  <c r="AM3" i="2"/>
  <c r="AL8" i="2"/>
  <c r="AL39" i="2" s="1"/>
  <c r="AI18" i="2"/>
  <c r="AI33" i="2"/>
  <c r="AJ11" i="2"/>
  <c r="AJ30" i="2"/>
  <c r="AJ12" i="2"/>
  <c r="AJ13" i="2" s="1"/>
  <c r="AJ15" i="2"/>
  <c r="AJ16" i="2" s="1"/>
  <c r="AM5" i="2"/>
  <c r="AM6" i="2"/>
  <c r="AM4" i="2"/>
  <c r="AM7" i="2"/>
  <c r="AK10" i="2"/>
  <c r="AK29" i="2"/>
  <c r="AK14" i="2"/>
  <c r="AK31" i="2" s="1"/>
  <c r="AK9" i="2"/>
  <c r="N32" i="2"/>
  <c r="N19" i="2"/>
  <c r="M8" i="2"/>
  <c r="AL37" i="2" l="1"/>
  <c r="AH19" i="2"/>
  <c r="AL38" i="2"/>
  <c r="AL35" i="2"/>
  <c r="AL36" i="2"/>
  <c r="AK15" i="2"/>
  <c r="AK16" i="2" s="1"/>
  <c r="AK30" i="2"/>
  <c r="AK11" i="2"/>
  <c r="AK12" i="2"/>
  <c r="AI19" i="2"/>
  <c r="AI32" i="2"/>
  <c r="AL29" i="2"/>
  <c r="AL14" i="2"/>
  <c r="AL31" i="2" s="1"/>
  <c r="AL10" i="2"/>
  <c r="AL9" i="2" s="1"/>
  <c r="AN7" i="2"/>
  <c r="AN4" i="2"/>
  <c r="AN6" i="2"/>
  <c r="M36" i="2"/>
  <c r="M39" i="2"/>
  <c r="M37" i="2"/>
  <c r="M38" i="2"/>
  <c r="M35" i="2"/>
  <c r="AN5" i="2"/>
  <c r="AJ17" i="2"/>
  <c r="AJ33" i="2" s="1"/>
  <c r="AN3" i="2"/>
  <c r="AM8" i="2"/>
  <c r="AM39" i="2" s="1"/>
  <c r="Q29" i="2"/>
  <c r="M10" i="2"/>
  <c r="AK13" i="2" l="1"/>
  <c r="AJ18" i="2"/>
  <c r="AJ19" i="2" s="1"/>
  <c r="AO3" i="2"/>
  <c r="AN8" i="2"/>
  <c r="AN36" i="2" s="1"/>
  <c r="AM37" i="2"/>
  <c r="AM38" i="2"/>
  <c r="AM36" i="2"/>
  <c r="AO4" i="2"/>
  <c r="AM35" i="2"/>
  <c r="AL15" i="2"/>
  <c r="AL16" i="2" s="1"/>
  <c r="AL17" i="2" s="1"/>
  <c r="AL30" i="2"/>
  <c r="AL11" i="2"/>
  <c r="AL12" i="2"/>
  <c r="AO5" i="2"/>
  <c r="AN37" i="2"/>
  <c r="AO6" i="2"/>
  <c r="AM10" i="2"/>
  <c r="AM9" i="2" s="1"/>
  <c r="AM29" i="2"/>
  <c r="AM14" i="2"/>
  <c r="AM31" i="2" s="1"/>
  <c r="AO7" i="2"/>
  <c r="AN39" i="2"/>
  <c r="AK17" i="2"/>
  <c r="AK33" i="2" s="1"/>
  <c r="M30" i="2"/>
  <c r="M14" i="2"/>
  <c r="AJ32" i="2" l="1"/>
  <c r="AL13" i="2"/>
  <c r="AK18" i="2"/>
  <c r="AP4" i="2"/>
  <c r="AN29" i="2"/>
  <c r="AN14" i="2"/>
  <c r="AN31" i="2" s="1"/>
  <c r="AN10" i="2"/>
  <c r="AN9" i="2" s="1"/>
  <c r="AP6" i="2"/>
  <c r="AO38" i="2"/>
  <c r="AP5" i="2"/>
  <c r="AO37" i="2"/>
  <c r="AL18" i="2"/>
  <c r="AL33" i="2"/>
  <c r="AP7" i="2"/>
  <c r="AO39" i="2"/>
  <c r="AM15" i="2"/>
  <c r="AM16" i="2" s="1"/>
  <c r="AM17" i="2" s="1"/>
  <c r="AM30" i="2"/>
  <c r="AM11" i="2"/>
  <c r="AM12" i="2"/>
  <c r="AN35" i="2"/>
  <c r="AN38" i="2"/>
  <c r="AP3" i="2"/>
  <c r="AO8" i="2"/>
  <c r="AO35" i="2" s="1"/>
  <c r="M31" i="2"/>
  <c r="M16" i="2"/>
  <c r="AM13" i="2" l="1"/>
  <c r="AM18" i="2"/>
  <c r="AM33" i="2"/>
  <c r="AQ7" i="2"/>
  <c r="AL19" i="2"/>
  <c r="AL32" i="2"/>
  <c r="AQ5" i="2"/>
  <c r="AQ3" i="2"/>
  <c r="AP8" i="2"/>
  <c r="AP36" i="2" s="1"/>
  <c r="AQ4" i="2"/>
  <c r="AO29" i="2"/>
  <c r="AO14" i="2"/>
  <c r="AO31" i="2" s="1"/>
  <c r="AO10" i="2"/>
  <c r="AQ6" i="2"/>
  <c r="AN15" i="2"/>
  <c r="AN16" i="2" s="1"/>
  <c r="AN11" i="2"/>
  <c r="AN30" i="2"/>
  <c r="AN12" i="2"/>
  <c r="AO36" i="2"/>
  <c r="AK19" i="2"/>
  <c r="AK32" i="2"/>
  <c r="M33" i="2"/>
  <c r="M18" i="2"/>
  <c r="AN13" i="2" l="1"/>
  <c r="AP29" i="2"/>
  <c r="AP14" i="2"/>
  <c r="AP31" i="2" s="1"/>
  <c r="AP10" i="2"/>
  <c r="AP37" i="2"/>
  <c r="AR5" i="2"/>
  <c r="AP39" i="2"/>
  <c r="AP38" i="2"/>
  <c r="AR7" i="2"/>
  <c r="AP35" i="2"/>
  <c r="AN17" i="2"/>
  <c r="AN33" i="2" s="1"/>
  <c r="AN18" i="2"/>
  <c r="AR6" i="2"/>
  <c r="AQ38" i="2"/>
  <c r="AO12" i="2"/>
  <c r="AO15" i="2"/>
  <c r="AO16" i="2" s="1"/>
  <c r="AO11" i="2"/>
  <c r="AO30" i="2"/>
  <c r="AR4" i="2"/>
  <c r="AR3" i="2"/>
  <c r="AQ8" i="2"/>
  <c r="AO9" i="2"/>
  <c r="AM19" i="2"/>
  <c r="AM32" i="2"/>
  <c r="M32" i="2"/>
  <c r="M19" i="2"/>
  <c r="I8" i="2"/>
  <c r="AO13" i="2" l="1"/>
  <c r="I36" i="2"/>
  <c r="I37" i="2"/>
  <c r="I35" i="2"/>
  <c r="I38" i="2"/>
  <c r="I39" i="2"/>
  <c r="AN19" i="2"/>
  <c r="AN32" i="2"/>
  <c r="AQ10" i="2"/>
  <c r="AQ9" i="2" s="1"/>
  <c r="AQ29" i="2"/>
  <c r="AQ14" i="2"/>
  <c r="AQ31" i="2" s="1"/>
  <c r="AQ35" i="2"/>
  <c r="AR8" i="2"/>
  <c r="AQ37" i="2"/>
  <c r="AQ36" i="2"/>
  <c r="AP9" i="2"/>
  <c r="AP11" i="2"/>
  <c r="AP12" i="2"/>
  <c r="AP13" i="2" s="1"/>
  <c r="AP15" i="2"/>
  <c r="AP16" i="2" s="1"/>
  <c r="AP30" i="2"/>
  <c r="AQ39" i="2"/>
  <c r="AO17" i="2"/>
  <c r="AO33" i="2" s="1"/>
  <c r="I10" i="2"/>
  <c r="I14" i="2" s="1"/>
  <c r="I29" i="2"/>
  <c r="M29" i="2"/>
  <c r="I30" i="2"/>
  <c r="AR10" i="2" l="1"/>
  <c r="AR9" i="2" s="1"/>
  <c r="AR29" i="2"/>
  <c r="AR14" i="2"/>
  <c r="AR31" i="2" s="1"/>
  <c r="AR39" i="2"/>
  <c r="AP17" i="2"/>
  <c r="AP33" i="2" s="1"/>
  <c r="AP18" i="2"/>
  <c r="AR35" i="2"/>
  <c r="AO18" i="2"/>
  <c r="AR38" i="2"/>
  <c r="AQ11" i="2"/>
  <c r="AQ12" i="2"/>
  <c r="AQ30" i="2"/>
  <c r="AQ15" i="2"/>
  <c r="AQ16" i="2" s="1"/>
  <c r="AQ17" i="2" s="1"/>
  <c r="AR36" i="2"/>
  <c r="AR37" i="2"/>
  <c r="I16" i="2"/>
  <c r="I17" i="2" s="1"/>
  <c r="I31" i="2"/>
  <c r="AQ13" i="2" l="1"/>
  <c r="AO19" i="2"/>
  <c r="AO32" i="2"/>
  <c r="AP19" i="2"/>
  <c r="AP32" i="2"/>
  <c r="AQ18" i="2"/>
  <c r="AQ33" i="2"/>
  <c r="AR12" i="2"/>
  <c r="AR11" i="2"/>
  <c r="AR15" i="2"/>
  <c r="AR16" i="2" s="1"/>
  <c r="AR17" i="2" s="1"/>
  <c r="AR30" i="2"/>
  <c r="I18" i="2"/>
  <c r="I33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AR33" i="2"/>
  <c r="AR13" i="2"/>
  <c r="AQ19" i="2"/>
  <c r="AQ32" i="2"/>
  <c r="I32" i="2"/>
  <c r="I19" i="2"/>
  <c r="I27" i="2"/>
  <c r="AF10" i="2"/>
  <c r="AF12" i="2" s="1"/>
  <c r="AF14" i="2"/>
  <c r="AF31" i="2" s="1"/>
  <c r="AR19" i="2" l="1"/>
  <c r="AR32" i="2"/>
  <c r="AF15" i="2"/>
  <c r="AF16" i="2" s="1"/>
  <c r="AF30" i="2"/>
  <c r="AF17" i="2"/>
  <c r="AF33" i="2" s="1"/>
  <c r="AF18" i="2"/>
  <c r="AW26" i="2" s="1"/>
  <c r="AW28" i="2" s="1"/>
  <c r="AW29" i="2" s="1"/>
  <c r="AW31" i="2" s="1"/>
  <c r="AF9" i="2"/>
  <c r="AF11" i="2"/>
  <c r="AF13" i="2" s="1"/>
  <c r="AF19" i="2" l="1"/>
  <c r="A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tc={8DEF256E-EBFD-4023-BA5B-237B0CD4F50A}</author>
    <author>tc={41708ECE-B5E4-436E-AE33-61D4110D6AF6}</author>
    <author>tc={71A1BCF7-B26C-4222-8528-4058E17E61D1}</author>
    <author>tc={AE26E5C5-C10E-4309-8015-724C1F92D806}</author>
    <author>tc={14831134-D5D6-4D25-BB33-D5AA71279D03}</author>
    <author>tc={4826AA07-E0DE-4CDF-AE9E-C0EAC792ADFB}</author>
    <author>tc={BD76966C-1838-4902-98E3-B01F03FDC073}</author>
    <author>tc={534A49DA-D79B-4CCF-914E-B595708E2727}</author>
    <author>tc={B39BC5DE-CDD7-438B-B968-140312C1FA60}</author>
    <author>tc={B25BD9D6-550D-4042-9F3F-0A9C384977DC}</author>
  </authors>
  <commentList>
    <comment ref="AG2" authorId="0" shapeId="0" xr:uid="{8DEF256E-EBFD-4023-BA5B-237B0CD4F5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Turn around story ? EG% expected &gt; 100%
</t>
      </text>
    </comment>
    <comment ref="A3" authorId="1" shapeId="0" xr:uid="{41708ECE-B5E4-436E-AE33-61D4110D6A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Aluminum product include primary and flat rolled aluminum </t>
      </text>
    </comment>
    <comment ref="S9" authorId="2" shapeId="0" xr:uid="{71A1BCF7-B26C-4222-8528-4058E17E61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expect lower COGS</t>
      </text>
    </comment>
    <comment ref="AE51" authorId="3" shapeId="0" xr:uid="{AE26E5C5-C10E-4309-8015-724C1F92D8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Company mainly funded through equity </t>
      </text>
    </comment>
    <comment ref="AE52" authorId="4" shapeId="0" xr:uid="{14831134-D5D6-4D25-BB33-D5AA71279D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Comfortable interest coverage 
</t>
      </text>
    </comment>
    <comment ref="AE54" authorId="5" shapeId="0" xr:uid="{4826AA07-E0DE-4CDF-AE9E-C0EAC792A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Indication of large inventory
Can it be turn in cash ?
Ratio stable overtime</t>
      </text>
    </comment>
    <comment ref="AE55" authorId="6" shapeId="0" xr:uid="{BD76966C-1838-4902-98E3-B01F03FDC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Improvement in current asset but barely satisfactory as 2022</t>
      </text>
    </comment>
    <comment ref="AE61" authorId="7" shapeId="0" xr:uid="{534A49DA-D79B-4CCF-914E-B595708E272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since 2020 
What are new assets for restructuring  ?
Australia new aluminia mine ? 
Price down but asset expansion = good for future sales</t>
      </text>
    </comment>
    <comment ref="AE62" authorId="8" shapeId="0" xr:uid="{B39BC5DE-CDD7-438B-B968-140312C1FA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Improving ROA
Need a confirmation of restructuring for Turnaround story 
ROA affected by high energy price and supply chain disruption 
Low input could boost the metric </t>
      </text>
    </comment>
    <comment ref="AE63" authorId="9" shapeId="0" xr:uid="{B25BD9D6-550D-4042-9F3F-0A9C384977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Earnings pivot in 2020 but crunched in 2022
Need to see a convincing MOP to believe in a turnaround story </t>
      </text>
    </comment>
  </commentList>
</comments>
</file>

<file path=xl/sharedStrings.xml><?xml version="1.0" encoding="utf-8"?>
<sst xmlns="http://schemas.openxmlformats.org/spreadsheetml/2006/main" count="121" uniqueCount="121">
  <si>
    <t>EV</t>
  </si>
  <si>
    <t>Price</t>
  </si>
  <si>
    <t>Share</t>
  </si>
  <si>
    <t>MC</t>
  </si>
  <si>
    <t>Cash</t>
  </si>
  <si>
    <t>Debt</t>
  </si>
  <si>
    <t>Q123</t>
  </si>
  <si>
    <t>Q223</t>
  </si>
  <si>
    <t>Q323</t>
  </si>
  <si>
    <t>Q423</t>
  </si>
  <si>
    <t>COGS</t>
  </si>
  <si>
    <t>SG&amp;A</t>
  </si>
  <si>
    <t>R&amp;D</t>
  </si>
  <si>
    <t>Op Inc</t>
  </si>
  <si>
    <t>Op Ex</t>
  </si>
  <si>
    <t>Gross Profit</t>
  </si>
  <si>
    <t>Pretax Income</t>
  </si>
  <si>
    <t>Taxes</t>
  </si>
  <si>
    <t>Net Income</t>
  </si>
  <si>
    <t>EPS</t>
  </si>
  <si>
    <t>Shares</t>
  </si>
  <si>
    <t>Revenue YoY</t>
  </si>
  <si>
    <t>Gross Margin</t>
  </si>
  <si>
    <t>Capex</t>
  </si>
  <si>
    <t>CFFO</t>
  </si>
  <si>
    <t>Operating Margin</t>
  </si>
  <si>
    <t>Net Margin</t>
  </si>
  <si>
    <t>Tax rate</t>
  </si>
  <si>
    <t>Q122</t>
  </si>
  <si>
    <t>Q222</t>
  </si>
  <si>
    <t>Q322</t>
  </si>
  <si>
    <t>Q422</t>
  </si>
  <si>
    <t>Revenue</t>
  </si>
  <si>
    <t>FCF</t>
  </si>
  <si>
    <t>Q221</t>
  </si>
  <si>
    <t>Q321</t>
  </si>
  <si>
    <t>Q421</t>
  </si>
  <si>
    <t>Aluminium</t>
  </si>
  <si>
    <t>Aluminia</t>
  </si>
  <si>
    <t xml:space="preserve">Energy </t>
  </si>
  <si>
    <t>Others</t>
  </si>
  <si>
    <t>Bauxite</t>
  </si>
  <si>
    <t>Interest</t>
  </si>
  <si>
    <t>Q121</t>
  </si>
  <si>
    <t>Q119</t>
  </si>
  <si>
    <t>Q219</t>
  </si>
  <si>
    <t>Q319</t>
  </si>
  <si>
    <t>Q419</t>
  </si>
  <si>
    <t>Q120</t>
  </si>
  <si>
    <t>Q220</t>
  </si>
  <si>
    <t>Q320</t>
  </si>
  <si>
    <t>Q420</t>
  </si>
  <si>
    <t>Aluminia as sales %</t>
  </si>
  <si>
    <t>Aluminium as sales %</t>
  </si>
  <si>
    <t>Energy as sales %</t>
  </si>
  <si>
    <t>Bauxite as sales %</t>
  </si>
  <si>
    <t>Others as sales %</t>
  </si>
  <si>
    <t xml:space="preserve">Maturity </t>
  </si>
  <si>
    <t>NPV</t>
  </si>
  <si>
    <t>Net cash</t>
  </si>
  <si>
    <t>Total Value</t>
  </si>
  <si>
    <t>Current Price</t>
  </si>
  <si>
    <t xml:space="preserve">Guidance </t>
  </si>
  <si>
    <t xml:space="preserve">Discount </t>
  </si>
  <si>
    <t>US</t>
  </si>
  <si>
    <t>Spain</t>
  </si>
  <si>
    <t>Australia</t>
  </si>
  <si>
    <t>Brazil</t>
  </si>
  <si>
    <t>Canada</t>
  </si>
  <si>
    <t>Netherlands</t>
  </si>
  <si>
    <t>Geographic sales</t>
  </si>
  <si>
    <t>forecasted price</t>
  </si>
  <si>
    <t>CEO</t>
  </si>
  <si>
    <t xml:space="preserve">Roy C. Harvey </t>
  </si>
  <si>
    <t>CFO</t>
  </si>
  <si>
    <t>Molly S. Beerman</t>
  </si>
  <si>
    <t>Renato Bacchi</t>
  </si>
  <si>
    <t>CSO/ CIO</t>
  </si>
  <si>
    <t>External Affairs</t>
  </si>
  <si>
    <t>Sonya Elam Harden</t>
  </si>
  <si>
    <t>COO</t>
  </si>
  <si>
    <t>William F. Oplinger</t>
  </si>
  <si>
    <t>Commercial Officer</t>
  </si>
  <si>
    <t>Kelly R. Thomas</t>
  </si>
  <si>
    <t>1/ Tech to decarbonize auminium possible ?</t>
  </si>
  <si>
    <t>2/ LME aluminium futures price uncorolated to inventory. 53% of inventory is from russia (banned)</t>
  </si>
  <si>
    <t>Infos</t>
  </si>
  <si>
    <t xml:space="preserve">3/aluminium supply deficit in china ? </t>
  </si>
  <si>
    <t>4/Europe production have extremly thin margin or loss making</t>
  </si>
  <si>
    <t>5/R&amp;D spent in reducing direct carbon emission cf. techroadmap</t>
  </si>
  <si>
    <t>6/wants to sell "Elysis" metal to Ronal (future deal ) ?</t>
  </si>
  <si>
    <t>7/decarbonization = driver</t>
  </si>
  <si>
    <t>8/Belivable MOP focused on new technlogies</t>
  </si>
  <si>
    <t xml:space="preserve">9/restart of Spain and Brazil smelter </t>
  </si>
  <si>
    <t>10/Alcoa is largest producer of Non metallurgical aluminia outside china</t>
  </si>
  <si>
    <t>performance reduced by smelter in Alumar and Portland</t>
  </si>
  <si>
    <t>Raw materials ( Caustic, petrolium, coke, coal tar) = key drivers for profitability and cash flow</t>
  </si>
  <si>
    <t>cheap raw material will improve NI and COGS in Q3-Q4</t>
  </si>
  <si>
    <t>expect a low inventory valuation thus more casyh flow</t>
  </si>
  <si>
    <t xml:space="preserve">China supply issue(energy too high) could put world market in aluminium deficit </t>
  </si>
  <si>
    <t xml:space="preserve">Future demand is expectd from EV and renewable energy </t>
  </si>
  <si>
    <t xml:space="preserve">Possible new mining area in Western Australia (still in negociation ) for a change in Bauxite grade </t>
  </si>
  <si>
    <t>Interest Coverage</t>
  </si>
  <si>
    <t>Current Ratio</t>
  </si>
  <si>
    <t>Quick Ratio</t>
  </si>
  <si>
    <t xml:space="preserve">WC over Total Assets </t>
  </si>
  <si>
    <t>Debt to Equity</t>
  </si>
  <si>
    <t>Book value per share</t>
  </si>
  <si>
    <t>Sales to Assets</t>
  </si>
  <si>
    <t>ROA</t>
  </si>
  <si>
    <t>ROE</t>
  </si>
  <si>
    <t>FCF Yield</t>
  </si>
  <si>
    <t>WC</t>
  </si>
  <si>
    <t>BVPS over price</t>
  </si>
  <si>
    <t>Quant Dashboard</t>
  </si>
  <si>
    <t>Total Assets</t>
  </si>
  <si>
    <t>avg assets</t>
  </si>
  <si>
    <t>Reported NI</t>
  </si>
  <si>
    <t xml:space="preserve">Shareholder equity </t>
  </si>
  <si>
    <t>P/FCFPS</t>
  </si>
  <si>
    <t>FCFPS annialized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</si>
</sst>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7" formatCode="#,##0.0"/>
    <numFmt numFmtId="170" formatCode="0.0"/>
    <numFmt numFmtId="172" formatCode="0.0&quot;X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3" fontId="0" fillId="0" borderId="1" xfId="0" applyNumberFormat="1" applyBorder="1"/>
    <xf numFmtId="3" fontId="2" fillId="0" borderId="0" xfId="0" applyNumberFormat="1" applyFont="1"/>
    <xf numFmtId="3" fontId="2" fillId="0" borderId="1" xfId="0" applyNumberFormat="1" applyFont="1" applyBorder="1"/>
    <xf numFmtId="1" fontId="2" fillId="0" borderId="0" xfId="0" applyNumberFormat="1" applyFont="1"/>
    <xf numFmtId="1" fontId="2" fillId="0" borderId="1" xfId="0" applyNumberFormat="1" applyFont="1" applyBorder="1"/>
    <xf numFmtId="9" fontId="0" fillId="0" borderId="0" xfId="1" applyFont="1"/>
    <xf numFmtId="164" fontId="0" fillId="0" borderId="0" xfId="1" applyNumberFormat="1" applyFont="1"/>
    <xf numFmtId="9" fontId="0" fillId="0" borderId="0" xfId="1" applyFont="1" applyBorder="1"/>
    <xf numFmtId="0" fontId="3" fillId="0" borderId="0" xfId="0" applyFont="1"/>
    <xf numFmtId="0" fontId="0" fillId="0" borderId="0" xfId="0" applyAlignment="1">
      <alignment wrapText="1"/>
    </xf>
    <xf numFmtId="43" fontId="0" fillId="0" borderId="0" xfId="2" applyFont="1"/>
    <xf numFmtId="167" fontId="0" fillId="0" borderId="0" xfId="0" applyNumberFormat="1"/>
    <xf numFmtId="167" fontId="0" fillId="0" borderId="1" xfId="0" applyNumberFormat="1" applyBorder="1"/>
    <xf numFmtId="2" fontId="0" fillId="0" borderId="0" xfId="0" applyNumberFormat="1"/>
    <xf numFmtId="170" fontId="0" fillId="0" borderId="0" xfId="0" applyNumberFormat="1"/>
    <xf numFmtId="167" fontId="0" fillId="0" borderId="0" xfId="0" applyNumberFormat="1" applyBorder="1"/>
    <xf numFmtId="172" fontId="0" fillId="0" borderId="0" xfId="0" applyNumberFormat="1" applyBorder="1"/>
    <xf numFmtId="172" fontId="0" fillId="0" borderId="1" xfId="0" applyNumberFormat="1" applyBorder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0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an Oyima" id="{B480004C-A17D-4505-A027-BF2BAEEB1CD3}" userId="884c472342d338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dT="2023-05-22T23:27:42.97" personId="{B480004C-A17D-4505-A027-BF2BAEEB1CD3}" id="{8DEF256E-EBFD-4023-BA5B-237B0CD4F50A}">
    <text xml:space="preserve">Turn around story ? EG% expected &gt; 100%
</text>
  </threadedComment>
  <threadedComment ref="A3" dT="2023-05-23T01:54:44.61" personId="{B480004C-A17D-4505-A027-BF2BAEEB1CD3}" id="{41708ECE-B5E4-436E-AE33-61D4110D6AF6}">
    <text xml:space="preserve">Aluminum product include primary and flat rolled aluminum </text>
  </threadedComment>
  <threadedComment ref="S9" dT="2023-05-23T04:13:21.32" personId="{B480004C-A17D-4505-A027-BF2BAEEB1CD3}" id="{71A1BCF7-B26C-4222-8528-4058E17E61D1}">
    <text>Could expect lower COGS</text>
  </threadedComment>
  <threadedComment ref="AE51" dT="2023-05-25T09:29:39.44" personId="{B480004C-A17D-4505-A027-BF2BAEEB1CD3}" id="{AE26E5C5-C10E-4309-8015-724C1F92D806}">
    <text xml:space="preserve">Company mainly funded through equity </text>
  </threadedComment>
  <threadedComment ref="AE52" dT="2023-05-25T09:29:10.29" personId="{B480004C-A17D-4505-A027-BF2BAEEB1CD3}" id="{14831134-D5D6-4D25-BB33-D5AA71279D03}">
    <text xml:space="preserve">Comfortable interest coverage 
</text>
  </threadedComment>
  <threadedComment ref="AE54" dT="2023-05-25T08:55:35.77" personId="{B480004C-A17D-4505-A027-BF2BAEEB1CD3}" id="{4826AA07-E0DE-4CDF-AE9E-C0EAC792ADFB}">
    <text>Indication of large inventory
Can it be turn in cash ?
Ratio stable overtime</text>
  </threadedComment>
  <threadedComment ref="AE55" dT="2023-05-25T09:04:05.86" personId="{B480004C-A17D-4505-A027-BF2BAEEB1CD3}" id="{BD76966C-1838-4902-98E3-B01F03FDC073}">
    <text>Improvement in current asset but barely satisfactory as 2022</text>
  </threadedComment>
  <threadedComment ref="AE61" dT="2023-05-25T09:27:14.42" personId="{B480004C-A17D-4505-A027-BF2BAEEB1CD3}" id="{534A49DA-D79B-4CCF-914E-B595708E2727}">
    <text>Increase since 2020 
What are new assets for restructuring  ?
Australia new aluminia mine ? 
Price down but asset expansion = good for future sales</text>
  </threadedComment>
  <threadedComment ref="AE62" dT="2023-05-25T09:45:08.04" personId="{B480004C-A17D-4505-A027-BF2BAEEB1CD3}" id="{B39BC5DE-CDD7-438B-B968-140312C1FA60}">
    <text xml:space="preserve">Improving ROA
Need a confirmation of restructuring for Turnaround story 
ROA affected by high energy price and supply chain disruption 
Low input could boost the metric </text>
  </threadedComment>
  <threadedComment ref="AE63" dT="2023-05-25T09:53:16.82" personId="{B480004C-A17D-4505-A027-BF2BAEEB1CD3}" id="{B25BD9D6-550D-4042-9F3F-0A9C384977DC}">
    <text xml:space="preserve">Earnings pivot in 2020 but crunched in 2022
Need to see a convincing MOP to believe in a turnaround story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AB6E-650B-4CCB-B206-B1EDFE562B9B}">
  <dimension ref="B2:L24"/>
  <sheetViews>
    <sheetView showGridLines="0" tabSelected="1" workbookViewId="0">
      <selection activeCell="B16" sqref="B16"/>
    </sheetView>
  </sheetViews>
  <sheetFormatPr defaultRowHeight="15" x14ac:dyDescent="0.25"/>
  <cols>
    <col min="2" max="2" width="44.5703125" customWidth="1"/>
    <col min="5" max="5" width="43" customWidth="1"/>
    <col min="8" max="8" width="18.42578125" bestFit="1" customWidth="1"/>
    <col min="9" max="9" width="18.28515625" bestFit="1" customWidth="1"/>
    <col min="11" max="11" width="18.85546875" customWidth="1"/>
    <col min="12" max="12" width="18.28515625" bestFit="1" customWidth="1"/>
  </cols>
  <sheetData>
    <row r="2" spans="2:12" x14ac:dyDescent="0.25">
      <c r="H2" t="s">
        <v>72</v>
      </c>
      <c r="I2" t="s">
        <v>73</v>
      </c>
      <c r="K2" t="s">
        <v>1</v>
      </c>
      <c r="L2">
        <v>34.5</v>
      </c>
    </row>
    <row r="3" spans="2:12" x14ac:dyDescent="0.25">
      <c r="H3" t="s">
        <v>74</v>
      </c>
      <c r="I3" t="s">
        <v>75</v>
      </c>
      <c r="K3" t="s">
        <v>2</v>
      </c>
      <c r="L3">
        <v>178.4</v>
      </c>
    </row>
    <row r="4" spans="2:12" x14ac:dyDescent="0.25">
      <c r="H4" t="s">
        <v>77</v>
      </c>
      <c r="I4" t="s">
        <v>76</v>
      </c>
      <c r="K4" t="s">
        <v>3</v>
      </c>
      <c r="L4" s="1">
        <v>6440</v>
      </c>
    </row>
    <row r="5" spans="2:12" x14ac:dyDescent="0.25">
      <c r="H5" t="s">
        <v>78</v>
      </c>
      <c r="I5" t="s">
        <v>79</v>
      </c>
      <c r="K5" t="s">
        <v>4</v>
      </c>
      <c r="L5" s="1">
        <v>1363</v>
      </c>
    </row>
    <row r="6" spans="2:12" ht="18" customHeight="1" x14ac:dyDescent="0.25">
      <c r="H6" t="s">
        <v>80</v>
      </c>
      <c r="I6" t="s">
        <v>81</v>
      </c>
      <c r="K6" t="s">
        <v>5</v>
      </c>
      <c r="L6" s="1">
        <v>1807</v>
      </c>
    </row>
    <row r="7" spans="2:12" x14ac:dyDescent="0.25">
      <c r="H7" t="s">
        <v>82</v>
      </c>
      <c r="I7" t="s">
        <v>83</v>
      </c>
      <c r="K7" t="s">
        <v>0</v>
      </c>
      <c r="L7" s="1">
        <f>+L4+L6-L5</f>
        <v>6884</v>
      </c>
    </row>
    <row r="11" spans="2:12" x14ac:dyDescent="0.25">
      <c r="B11" s="15" t="s">
        <v>62</v>
      </c>
      <c r="E11" s="15" t="s">
        <v>86</v>
      </c>
    </row>
    <row r="12" spans="2:12" ht="42" customHeight="1" x14ac:dyDescent="0.25">
      <c r="B12" s="16" t="s">
        <v>96</v>
      </c>
      <c r="E12" s="16" t="s">
        <v>84</v>
      </c>
    </row>
    <row r="13" spans="2:12" ht="45" x14ac:dyDescent="0.25">
      <c r="B13" s="16" t="s">
        <v>99</v>
      </c>
      <c r="E13" s="16" t="s">
        <v>85</v>
      </c>
    </row>
    <row r="14" spans="2:12" x14ac:dyDescent="0.25">
      <c r="B14" t="s">
        <v>100</v>
      </c>
      <c r="E14" t="s">
        <v>87</v>
      </c>
    </row>
    <row r="15" spans="2:12" ht="27.75" customHeight="1" x14ac:dyDescent="0.25">
      <c r="B15" s="16" t="s">
        <v>101</v>
      </c>
      <c r="E15" t="s">
        <v>88</v>
      </c>
    </row>
    <row r="16" spans="2:12" x14ac:dyDescent="0.25">
      <c r="E16" t="s">
        <v>89</v>
      </c>
    </row>
    <row r="17" spans="5:5" x14ac:dyDescent="0.25">
      <c r="E17" t="s">
        <v>90</v>
      </c>
    </row>
    <row r="18" spans="5:5" x14ac:dyDescent="0.25">
      <c r="E18" t="s">
        <v>91</v>
      </c>
    </row>
    <row r="19" spans="5:5" x14ac:dyDescent="0.25">
      <c r="E19" t="s">
        <v>92</v>
      </c>
    </row>
    <row r="20" spans="5:5" x14ac:dyDescent="0.25">
      <c r="E20" t="s">
        <v>93</v>
      </c>
    </row>
    <row r="21" spans="5:5" x14ac:dyDescent="0.25">
      <c r="E21" t="s">
        <v>94</v>
      </c>
    </row>
    <row r="22" spans="5:5" x14ac:dyDescent="0.25">
      <c r="E22" t="s">
        <v>95</v>
      </c>
    </row>
    <row r="23" spans="5:5" x14ac:dyDescent="0.25">
      <c r="E23" t="s">
        <v>97</v>
      </c>
    </row>
    <row r="24" spans="5:5" x14ac:dyDescent="0.25">
      <c r="E24" t="s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9496-2CC6-4D32-B196-B08422BA5742}">
  <dimension ref="A1:CJ67"/>
  <sheetViews>
    <sheetView zoomScale="80" zoomScaleNormal="8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R66" sqref="R66"/>
    </sheetView>
  </sheetViews>
  <sheetFormatPr defaultRowHeight="15" x14ac:dyDescent="0.25"/>
  <cols>
    <col min="1" max="1" width="22.85546875" customWidth="1"/>
    <col min="2" max="17" width="15.140625" customWidth="1"/>
    <col min="18" max="18" width="17.140625" style="3" customWidth="1"/>
    <col min="19" max="19" width="17.42578125" customWidth="1"/>
    <col min="20" max="20" width="17.140625" customWidth="1"/>
    <col min="21" max="21" width="15.5703125" customWidth="1"/>
    <col min="22" max="22" width="17.42578125" customWidth="1"/>
    <col min="31" max="31" width="9.140625" style="3"/>
    <col min="48" max="48" width="16.85546875" customWidth="1"/>
  </cols>
  <sheetData>
    <row r="1" spans="1:44" s="1" customFormat="1" x14ac:dyDescent="0.25">
      <c r="R1" s="7"/>
      <c r="AE1" s="7"/>
    </row>
    <row r="2" spans="1:44" s="8" customFormat="1" x14ac:dyDescent="0.25">
      <c r="A2" s="1"/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43</v>
      </c>
      <c r="K2" s="1" t="s">
        <v>34</v>
      </c>
      <c r="L2" s="1" t="s">
        <v>35</v>
      </c>
      <c r="M2" s="1" t="s">
        <v>36</v>
      </c>
      <c r="N2" s="8" t="s">
        <v>28</v>
      </c>
      <c r="O2" s="8" t="s">
        <v>29</v>
      </c>
      <c r="P2" s="8" t="s">
        <v>30</v>
      </c>
      <c r="Q2" s="8" t="s">
        <v>31</v>
      </c>
      <c r="R2" s="9" t="s">
        <v>6</v>
      </c>
      <c r="S2" s="8" t="s">
        <v>7</v>
      </c>
      <c r="T2" s="8" t="s">
        <v>8</v>
      </c>
      <c r="U2" s="8" t="s">
        <v>9</v>
      </c>
      <c r="W2" s="10">
        <v>2014</v>
      </c>
      <c r="X2" s="10">
        <v>2015</v>
      </c>
      <c r="Y2" s="10">
        <v>2016</v>
      </c>
      <c r="Z2" s="10">
        <v>2017</v>
      </c>
      <c r="AA2" s="10">
        <f t="shared" ref="AA2:AR2" si="0">+Z2+1</f>
        <v>2018</v>
      </c>
      <c r="AB2" s="10">
        <f t="shared" si="0"/>
        <v>2019</v>
      </c>
      <c r="AC2" s="10">
        <f t="shared" si="0"/>
        <v>2020</v>
      </c>
      <c r="AD2" s="10">
        <f t="shared" si="0"/>
        <v>2021</v>
      </c>
      <c r="AE2" s="11">
        <f t="shared" si="0"/>
        <v>2022</v>
      </c>
      <c r="AF2" s="10">
        <f t="shared" si="0"/>
        <v>2023</v>
      </c>
      <c r="AG2" s="10">
        <f t="shared" si="0"/>
        <v>2024</v>
      </c>
      <c r="AH2" s="10">
        <f t="shared" si="0"/>
        <v>2025</v>
      </c>
      <c r="AI2" s="10">
        <f t="shared" si="0"/>
        <v>2026</v>
      </c>
      <c r="AJ2" s="10">
        <f t="shared" si="0"/>
        <v>2027</v>
      </c>
      <c r="AK2" s="10">
        <f>+AJ2+1</f>
        <v>2028</v>
      </c>
      <c r="AL2" s="10">
        <f t="shared" si="0"/>
        <v>2029</v>
      </c>
      <c r="AM2" s="10">
        <f t="shared" si="0"/>
        <v>2030</v>
      </c>
      <c r="AN2" s="10">
        <f t="shared" si="0"/>
        <v>2031</v>
      </c>
      <c r="AO2" s="10">
        <f t="shared" si="0"/>
        <v>2032</v>
      </c>
      <c r="AP2" s="10">
        <f t="shared" si="0"/>
        <v>2033</v>
      </c>
      <c r="AQ2" s="10">
        <f t="shared" si="0"/>
        <v>2034</v>
      </c>
      <c r="AR2" s="10">
        <f t="shared" si="0"/>
        <v>2035</v>
      </c>
    </row>
    <row r="3" spans="1:44" s="1" customFormat="1" x14ac:dyDescent="0.25">
      <c r="A3" s="1" t="s">
        <v>37</v>
      </c>
      <c r="B3" s="1">
        <f>1394+312</f>
        <v>1706</v>
      </c>
      <c r="C3" s="1">
        <f>1382+327</f>
        <v>1709</v>
      </c>
      <c r="D3" s="1">
        <f>1341+294</f>
        <v>1635</v>
      </c>
      <c r="E3" s="1">
        <f>+AB3-D3-C3-B3</f>
        <v>1596</v>
      </c>
      <c r="F3" s="1">
        <f>1297+272</f>
        <v>1569</v>
      </c>
      <c r="G3" s="1">
        <f>1202+271</f>
        <v>1473</v>
      </c>
      <c r="H3" s="1">
        <f>1311+284</f>
        <v>1595</v>
      </c>
      <c r="I3" s="1">
        <v>1668</v>
      </c>
      <c r="J3" s="1">
        <f>1727+320</f>
        <v>2047</v>
      </c>
      <c r="K3" s="1">
        <v>2112</v>
      </c>
      <c r="L3" s="1">
        <v>2255</v>
      </c>
      <c r="M3" s="1">
        <v>2326</v>
      </c>
      <c r="N3" s="1">
        <v>2447</v>
      </c>
      <c r="O3" s="1">
        <v>2624</v>
      </c>
      <c r="P3" s="1">
        <v>1990</v>
      </c>
      <c r="Q3" s="1">
        <f>+AE3-SUM(N3:P3)</f>
        <v>1826</v>
      </c>
      <c r="R3" s="7">
        <v>1846</v>
      </c>
      <c r="S3" s="1">
        <f>+S8*0.69</f>
        <v>1805.4539999999997</v>
      </c>
      <c r="T3" s="1">
        <f t="shared" ref="T3:U3" si="1">+T8*0.69</f>
        <v>1769.3449199999998</v>
      </c>
      <c r="U3" s="1">
        <f t="shared" si="1"/>
        <v>1733.9580215999999</v>
      </c>
      <c r="Z3" s="1">
        <f>6168+1666</f>
        <v>7834</v>
      </c>
      <c r="AA3" s="1">
        <f>6787+1884</f>
        <v>8671</v>
      </c>
      <c r="AB3" s="1">
        <f>5426+1220</f>
        <v>6646</v>
      </c>
      <c r="AC3" s="1">
        <f>5190+1115</f>
        <v>6305</v>
      </c>
      <c r="AD3" s="1">
        <f>8420+320</f>
        <v>8740</v>
      </c>
      <c r="AE3" s="7">
        <v>8887</v>
      </c>
      <c r="AF3" s="1">
        <f>+SUM(R3:U3)</f>
        <v>7154.7569415999988</v>
      </c>
      <c r="AG3" s="1">
        <f>+AF3*1.03</f>
        <v>7369.3996498479992</v>
      </c>
      <c r="AH3" s="1">
        <f t="shared" ref="AH3:AR3" si="2">+AG3*1.03</f>
        <v>7590.4816393434394</v>
      </c>
      <c r="AI3" s="1">
        <f t="shared" si="2"/>
        <v>7818.1960885237431</v>
      </c>
      <c r="AJ3" s="1">
        <f t="shared" si="2"/>
        <v>8052.7419711794555</v>
      </c>
      <c r="AK3" s="1">
        <f t="shared" si="2"/>
        <v>8294.32423031484</v>
      </c>
      <c r="AL3" s="1">
        <f t="shared" si="2"/>
        <v>8543.1539572242855</v>
      </c>
      <c r="AM3" s="1">
        <f t="shared" si="2"/>
        <v>8799.4485759410145</v>
      </c>
      <c r="AN3" s="1">
        <f t="shared" si="2"/>
        <v>9063.4320332192456</v>
      </c>
      <c r="AO3" s="1">
        <f t="shared" si="2"/>
        <v>9335.3349942158238</v>
      </c>
      <c r="AP3" s="1">
        <f t="shared" si="2"/>
        <v>9615.3950440422996</v>
      </c>
      <c r="AQ3" s="1">
        <f t="shared" si="2"/>
        <v>9903.8568953635695</v>
      </c>
      <c r="AR3" s="1">
        <f t="shared" si="2"/>
        <v>10200.972602224478</v>
      </c>
    </row>
    <row r="4" spans="1:44" s="1" customFormat="1" x14ac:dyDescent="0.25">
      <c r="A4" s="1" t="s">
        <v>38</v>
      </c>
      <c r="B4" s="1">
        <v>897</v>
      </c>
      <c r="C4" s="1">
        <v>862</v>
      </c>
      <c r="D4" s="1">
        <v>770</v>
      </c>
      <c r="E4" s="1">
        <f>+AB4-D4-C4-B4</f>
        <v>717</v>
      </c>
      <c r="F4" s="1">
        <v>707</v>
      </c>
      <c r="G4" s="1">
        <v>600</v>
      </c>
      <c r="H4" s="1">
        <v>697</v>
      </c>
      <c r="I4" s="1">
        <v>620</v>
      </c>
      <c r="J4" s="1">
        <v>760</v>
      </c>
      <c r="K4" s="1">
        <v>684</v>
      </c>
      <c r="L4" s="1">
        <v>752</v>
      </c>
      <c r="M4" s="1">
        <v>929</v>
      </c>
      <c r="N4" s="1">
        <v>850</v>
      </c>
      <c r="O4" s="1">
        <v>1064</v>
      </c>
      <c r="P4" s="1">
        <v>821</v>
      </c>
      <c r="Q4" s="1">
        <f>+AE4-SUM(N4:P4)</f>
        <v>743</v>
      </c>
      <c r="R4" s="7">
        <v>714</v>
      </c>
      <c r="S4" s="1">
        <f>+S8*0.28</f>
        <v>732.64800000000002</v>
      </c>
      <c r="T4" s="1">
        <f t="shared" ref="T4:U4" si="3">+T8*0.28</f>
        <v>717.99504000000013</v>
      </c>
      <c r="U4" s="1">
        <f t="shared" si="3"/>
        <v>703.63513920000014</v>
      </c>
      <c r="Z4" s="1">
        <v>3121</v>
      </c>
      <c r="AA4" s="1">
        <v>4209</v>
      </c>
      <c r="AB4" s="1">
        <v>3246</v>
      </c>
      <c r="AC4" s="1">
        <v>2624</v>
      </c>
      <c r="AD4" s="1">
        <v>3125</v>
      </c>
      <c r="AE4" s="7">
        <v>3478</v>
      </c>
      <c r="AF4" s="1">
        <f t="shared" ref="AF4:AF7" si="4">+SUM(R4:U4)</f>
        <v>2868.2781792000005</v>
      </c>
      <c r="AG4" s="1">
        <f>+AF4*1.08</f>
        <v>3097.7404335360006</v>
      </c>
      <c r="AH4" s="1">
        <f t="shared" ref="AH4:AR4" si="5">+AG4*1.08</f>
        <v>3345.5596682188807</v>
      </c>
      <c r="AI4" s="1">
        <f t="shared" si="5"/>
        <v>3613.2044416763915</v>
      </c>
      <c r="AJ4" s="1">
        <f t="shared" si="5"/>
        <v>3902.2607970105032</v>
      </c>
      <c r="AK4" s="1">
        <f t="shared" si="5"/>
        <v>4214.4416607713438</v>
      </c>
      <c r="AL4" s="1">
        <f t="shared" si="5"/>
        <v>4551.5969936330512</v>
      </c>
      <c r="AM4" s="1">
        <f t="shared" si="5"/>
        <v>4915.7247531236953</v>
      </c>
      <c r="AN4" s="1">
        <f t="shared" si="5"/>
        <v>5308.9827333735911</v>
      </c>
      <c r="AO4" s="1">
        <f t="shared" si="5"/>
        <v>5733.7013520434784</v>
      </c>
      <c r="AP4" s="1">
        <f t="shared" si="5"/>
        <v>6192.3974602069575</v>
      </c>
      <c r="AQ4" s="1">
        <f t="shared" si="5"/>
        <v>6687.7892570235144</v>
      </c>
      <c r="AR4" s="1">
        <f t="shared" si="5"/>
        <v>7222.812397585396</v>
      </c>
    </row>
    <row r="5" spans="1:44" s="1" customFormat="1" x14ac:dyDescent="0.25">
      <c r="A5" s="1" t="s">
        <v>39</v>
      </c>
      <c r="B5" s="1">
        <v>69</v>
      </c>
      <c r="C5" s="1">
        <v>85</v>
      </c>
      <c r="D5" s="1">
        <v>71</v>
      </c>
      <c r="E5" s="1">
        <f>+AB5-D5-C5-B5</f>
        <v>65</v>
      </c>
      <c r="F5" s="1">
        <v>52</v>
      </c>
      <c r="G5" s="1">
        <v>22</v>
      </c>
      <c r="H5" s="1">
        <v>26</v>
      </c>
      <c r="I5" s="1">
        <v>41</v>
      </c>
      <c r="J5" s="1">
        <v>39</v>
      </c>
      <c r="K5" s="1">
        <v>49</v>
      </c>
      <c r="L5" s="1">
        <v>117</v>
      </c>
      <c r="M5" s="1">
        <v>81</v>
      </c>
      <c r="N5" s="1">
        <v>41</v>
      </c>
      <c r="O5" s="1">
        <v>40</v>
      </c>
      <c r="P5" s="1">
        <v>74</v>
      </c>
      <c r="Q5" s="1">
        <f>+AE5-SUM(N5:P5)</f>
        <v>46</v>
      </c>
      <c r="R5" s="7">
        <v>28</v>
      </c>
      <c r="S5" s="1">
        <f>+S8*0.02</f>
        <v>52.332000000000001</v>
      </c>
      <c r="T5" s="1">
        <f t="shared" ref="T5:U5" si="6">+T8*0.02</f>
        <v>51.285360000000004</v>
      </c>
      <c r="U5" s="1">
        <f t="shared" si="6"/>
        <v>50.259652800000005</v>
      </c>
      <c r="Z5" s="1">
        <v>446</v>
      </c>
      <c r="AA5" s="1">
        <v>335</v>
      </c>
      <c r="AB5" s="1">
        <v>290</v>
      </c>
      <c r="AC5" s="1">
        <v>141</v>
      </c>
      <c r="AD5" s="1">
        <v>286</v>
      </c>
      <c r="AE5" s="7">
        <v>201</v>
      </c>
      <c r="AF5" s="1">
        <f t="shared" si="4"/>
        <v>181.87701279999999</v>
      </c>
      <c r="AG5" s="1">
        <f>+AF5*0.86</f>
        <v>156.414231008</v>
      </c>
      <c r="AH5" s="1">
        <f t="shared" ref="AH5:AR5" si="7">+AG5*0.86</f>
        <v>134.51623866687999</v>
      </c>
      <c r="AI5" s="1">
        <f t="shared" si="7"/>
        <v>115.68396525351679</v>
      </c>
      <c r="AJ5" s="1">
        <f t="shared" si="7"/>
        <v>99.48821011802444</v>
      </c>
      <c r="AK5" s="1">
        <f t="shared" si="7"/>
        <v>85.559860701501023</v>
      </c>
      <c r="AL5" s="1">
        <f t="shared" si="7"/>
        <v>73.58148020329088</v>
      </c>
      <c r="AM5" s="1">
        <f t="shared" si="7"/>
        <v>63.280072974830155</v>
      </c>
      <c r="AN5" s="1">
        <f t="shared" si="7"/>
        <v>54.420862758353934</v>
      </c>
      <c r="AO5" s="1">
        <f t="shared" si="7"/>
        <v>46.80194197218438</v>
      </c>
      <c r="AP5" s="1">
        <f t="shared" si="7"/>
        <v>40.249670096078567</v>
      </c>
      <c r="AQ5" s="1">
        <f t="shared" si="7"/>
        <v>34.614716282627569</v>
      </c>
      <c r="AR5" s="1">
        <f t="shared" si="7"/>
        <v>29.768656003059707</v>
      </c>
    </row>
    <row r="6" spans="1:44" s="1" customFormat="1" x14ac:dyDescent="0.25">
      <c r="A6" s="1" t="s">
        <v>41</v>
      </c>
      <c r="B6" s="1">
        <v>58</v>
      </c>
      <c r="C6" s="1">
        <v>63</v>
      </c>
      <c r="D6" s="1">
        <v>95</v>
      </c>
      <c r="E6" s="1">
        <f>+AB6-D6-C6-B6</f>
        <v>60</v>
      </c>
      <c r="F6" s="1">
        <v>59</v>
      </c>
      <c r="G6" s="1">
        <v>61</v>
      </c>
      <c r="H6" s="1">
        <v>50</v>
      </c>
      <c r="I6" s="1">
        <v>68</v>
      </c>
      <c r="J6" s="1">
        <v>52</v>
      </c>
      <c r="K6" s="1">
        <v>34</v>
      </c>
      <c r="L6" s="1">
        <v>52</v>
      </c>
      <c r="M6" s="1">
        <v>69</v>
      </c>
      <c r="N6" s="1">
        <v>28</v>
      </c>
      <c r="O6" s="1">
        <v>27</v>
      </c>
      <c r="P6" s="1">
        <v>52</v>
      </c>
      <c r="Q6" s="1">
        <f>+AE6-SUM(N6:P6)</f>
        <v>61</v>
      </c>
      <c r="R6" s="7">
        <v>127</v>
      </c>
      <c r="S6" s="1">
        <f>+S8*0.02</f>
        <v>52.332000000000001</v>
      </c>
      <c r="T6" s="1">
        <f t="shared" ref="T6:U6" si="8">+T8*0.02</f>
        <v>51.285360000000004</v>
      </c>
      <c r="U6" s="1">
        <f t="shared" si="8"/>
        <v>50.259652800000005</v>
      </c>
      <c r="Z6" s="1">
        <v>333</v>
      </c>
      <c r="AA6" s="1">
        <v>254</v>
      </c>
      <c r="AB6" s="1">
        <v>276</v>
      </c>
      <c r="AC6" s="1">
        <v>238</v>
      </c>
      <c r="AD6" s="1">
        <v>207</v>
      </c>
      <c r="AE6" s="7">
        <v>168</v>
      </c>
      <c r="AF6" s="1">
        <f t="shared" si="4"/>
        <v>280.87701279999999</v>
      </c>
      <c r="AG6" s="1">
        <f>+AF6*0.87</f>
        <v>244.36300113599998</v>
      </c>
      <c r="AH6" s="1">
        <f t="shared" ref="AH6:AR6" si="9">+AG6*0.87</f>
        <v>212.59581098831998</v>
      </c>
      <c r="AI6" s="1">
        <f t="shared" si="9"/>
        <v>184.9583555598384</v>
      </c>
      <c r="AJ6" s="1">
        <f t="shared" si="9"/>
        <v>160.91376933705939</v>
      </c>
      <c r="AK6" s="1">
        <f t="shared" si="9"/>
        <v>139.99497932324167</v>
      </c>
      <c r="AL6" s="1">
        <f t="shared" si="9"/>
        <v>121.79563201122025</v>
      </c>
      <c r="AM6" s="1">
        <f t="shared" si="9"/>
        <v>105.96219984976162</v>
      </c>
      <c r="AN6" s="1">
        <f t="shared" si="9"/>
        <v>92.187113869292602</v>
      </c>
      <c r="AO6" s="1">
        <f t="shared" si="9"/>
        <v>80.202789066284566</v>
      </c>
      <c r="AP6" s="1">
        <f t="shared" si="9"/>
        <v>69.776426487667578</v>
      </c>
      <c r="AQ6" s="1">
        <f t="shared" si="9"/>
        <v>60.705491044270794</v>
      </c>
      <c r="AR6" s="1">
        <f t="shared" si="9"/>
        <v>52.813777208515589</v>
      </c>
    </row>
    <row r="7" spans="1:44" s="1" customFormat="1" x14ac:dyDescent="0.25">
      <c r="A7" s="1" t="s">
        <v>40</v>
      </c>
      <c r="B7" s="1">
        <v>-11</v>
      </c>
      <c r="C7" s="1">
        <v>-8</v>
      </c>
      <c r="D7" s="1">
        <v>-4</v>
      </c>
      <c r="E7" s="1">
        <f>+AB7-D7-C7-B7</f>
        <v>-2</v>
      </c>
      <c r="F7" s="1">
        <v>-6</v>
      </c>
      <c r="G7" s="1">
        <v>-8</v>
      </c>
      <c r="H7" s="1">
        <v>-3</v>
      </c>
      <c r="I7" s="1">
        <v>-5</v>
      </c>
      <c r="J7" s="1">
        <v>-28</v>
      </c>
      <c r="K7" s="1">
        <v>-46</v>
      </c>
      <c r="L7" s="1">
        <v>-67</v>
      </c>
      <c r="M7" s="1">
        <v>-65</v>
      </c>
      <c r="N7" s="1">
        <v>-73</v>
      </c>
      <c r="O7" s="1">
        <v>-111</v>
      </c>
      <c r="P7" s="1">
        <v>-86</v>
      </c>
      <c r="Q7" s="1">
        <f>+AE7-SUM(N7:P7)</f>
        <v>-13</v>
      </c>
      <c r="R7" s="7">
        <v>-45</v>
      </c>
      <c r="S7" s="1">
        <f>-0.01*S8</f>
        <v>-26.166</v>
      </c>
      <c r="T7" s="1">
        <f t="shared" ref="T7:U7" si="10">-0.01*T8</f>
        <v>-25.642680000000002</v>
      </c>
      <c r="U7" s="1">
        <f t="shared" si="10"/>
        <v>-25.129826400000002</v>
      </c>
      <c r="Z7" s="1">
        <v>-82</v>
      </c>
      <c r="AA7" s="1">
        <v>-66</v>
      </c>
      <c r="AB7" s="1">
        <v>-25</v>
      </c>
      <c r="AC7" s="1">
        <v>-22</v>
      </c>
      <c r="AD7" s="1">
        <v>-206</v>
      </c>
      <c r="AE7" s="7">
        <v>-283</v>
      </c>
      <c r="AF7" s="1">
        <f t="shared" si="4"/>
        <v>-121.93850639999999</v>
      </c>
      <c r="AG7" s="1">
        <f>+AF7*1.15</f>
        <v>-140.22928235999998</v>
      </c>
      <c r="AH7" s="1">
        <f t="shared" ref="AH7:AR7" si="11">+AG7*1.15</f>
        <v>-161.26367471399996</v>
      </c>
      <c r="AI7" s="1">
        <f t="shared" si="11"/>
        <v>-185.45322592109994</v>
      </c>
      <c r="AJ7" s="1">
        <f t="shared" si="11"/>
        <v>-213.27120980926492</v>
      </c>
      <c r="AK7" s="1">
        <f t="shared" si="11"/>
        <v>-245.26189128065462</v>
      </c>
      <c r="AL7" s="1">
        <f t="shared" si="11"/>
        <v>-282.05117497275279</v>
      </c>
      <c r="AM7" s="1">
        <f t="shared" si="11"/>
        <v>-324.35885121866568</v>
      </c>
      <c r="AN7" s="1">
        <f t="shared" si="11"/>
        <v>-373.01267890146551</v>
      </c>
      <c r="AO7" s="1">
        <f t="shared" si="11"/>
        <v>-428.96458073668532</v>
      </c>
      <c r="AP7" s="1">
        <f t="shared" si="11"/>
        <v>-493.3092678471881</v>
      </c>
      <c r="AQ7" s="1">
        <f t="shared" si="11"/>
        <v>-567.30565802426622</v>
      </c>
      <c r="AR7" s="1">
        <f t="shared" si="11"/>
        <v>-652.40150672790605</v>
      </c>
    </row>
    <row r="8" spans="1:44" s="1" customFormat="1" x14ac:dyDescent="0.25">
      <c r="A8" s="1" t="s">
        <v>32</v>
      </c>
      <c r="B8" s="1">
        <f t="shared" ref="B8:R8" si="12">SUM(B3:B7)</f>
        <v>2719</v>
      </c>
      <c r="C8" s="1">
        <f t="shared" si="12"/>
        <v>2711</v>
      </c>
      <c r="D8" s="1">
        <f t="shared" si="12"/>
        <v>2567</v>
      </c>
      <c r="E8" s="1">
        <f t="shared" si="12"/>
        <v>2436</v>
      </c>
      <c r="F8" s="1">
        <f t="shared" si="12"/>
        <v>2381</v>
      </c>
      <c r="G8" s="1">
        <f t="shared" si="12"/>
        <v>2148</v>
      </c>
      <c r="H8" s="1">
        <f t="shared" si="12"/>
        <v>2365</v>
      </c>
      <c r="I8" s="1">
        <f t="shared" si="12"/>
        <v>2392</v>
      </c>
      <c r="J8" s="1">
        <f t="shared" si="12"/>
        <v>2870</v>
      </c>
      <c r="K8" s="1">
        <f t="shared" si="12"/>
        <v>2833</v>
      </c>
      <c r="L8" s="1">
        <f t="shared" si="12"/>
        <v>3109</v>
      </c>
      <c r="M8" s="1">
        <f t="shared" si="12"/>
        <v>3340</v>
      </c>
      <c r="N8" s="1">
        <f t="shared" si="12"/>
        <v>3293</v>
      </c>
      <c r="O8" s="1">
        <f t="shared" si="12"/>
        <v>3644</v>
      </c>
      <c r="P8" s="1">
        <f t="shared" si="12"/>
        <v>2851</v>
      </c>
      <c r="Q8" s="1">
        <f t="shared" si="12"/>
        <v>2663</v>
      </c>
      <c r="R8" s="7">
        <f t="shared" si="12"/>
        <v>2670</v>
      </c>
      <c r="S8" s="1">
        <f>+R8*0.98</f>
        <v>2616.6</v>
      </c>
      <c r="T8" s="1">
        <f t="shared" ref="T8:U8" si="13">+S8*0.98</f>
        <v>2564.268</v>
      </c>
      <c r="U8" s="1">
        <f t="shared" si="13"/>
        <v>2512.9826400000002</v>
      </c>
      <c r="W8" s="1">
        <v>13147</v>
      </c>
      <c r="X8" s="1">
        <v>11199</v>
      </c>
      <c r="Y8" s="1">
        <v>9318</v>
      </c>
      <c r="Z8" s="1">
        <f t="shared" ref="Z8:AD8" si="14">+SUM(Z3:Z7)</f>
        <v>11652</v>
      </c>
      <c r="AA8" s="1">
        <f t="shared" si="14"/>
        <v>13403</v>
      </c>
      <c r="AB8" s="1">
        <f t="shared" si="14"/>
        <v>10433</v>
      </c>
      <c r="AC8" s="1">
        <f t="shared" si="14"/>
        <v>9286</v>
      </c>
      <c r="AD8" s="1">
        <f t="shared" si="14"/>
        <v>12152</v>
      </c>
      <c r="AE8" s="7">
        <f>+SUM(AE3:AE7)</f>
        <v>12451</v>
      </c>
      <c r="AF8" s="1">
        <f>+SUM(AF3:AF7)</f>
        <v>10363.850639999999</v>
      </c>
      <c r="AG8" s="1">
        <f>+SUM(AG3:AG7)</f>
        <v>10727.688033168</v>
      </c>
      <c r="AH8" s="1">
        <f t="shared" ref="AH8:AR8" si="15">+SUM(AH3:AH7)</f>
        <v>11121.889682503519</v>
      </c>
      <c r="AI8" s="1">
        <f t="shared" si="15"/>
        <v>11546.589625092391</v>
      </c>
      <c r="AJ8" s="1">
        <f t="shared" si="15"/>
        <v>12002.133537835778</v>
      </c>
      <c r="AK8" s="1">
        <f t="shared" si="15"/>
        <v>12489.058839830272</v>
      </c>
      <c r="AL8" s="1">
        <f t="shared" si="15"/>
        <v>13008.076888099096</v>
      </c>
      <c r="AM8" s="1">
        <f t="shared" si="15"/>
        <v>13560.056750670637</v>
      </c>
      <c r="AN8" s="1">
        <f t="shared" si="15"/>
        <v>14146.010064319018</v>
      </c>
      <c r="AO8" s="1">
        <f t="shared" si="15"/>
        <v>14767.076496561085</v>
      </c>
      <c r="AP8" s="1">
        <f t="shared" si="15"/>
        <v>15424.509332985815</v>
      </c>
      <c r="AQ8" s="1">
        <f t="shared" si="15"/>
        <v>16119.660701689714</v>
      </c>
      <c r="AR8" s="1">
        <f t="shared" si="15"/>
        <v>16853.965926293542</v>
      </c>
    </row>
    <row r="9" spans="1:44" s="1" customFormat="1" x14ac:dyDescent="0.25">
      <c r="A9" s="1" t="s">
        <v>10</v>
      </c>
      <c r="B9" s="1">
        <v>2180</v>
      </c>
      <c r="C9" s="1">
        <v>2189</v>
      </c>
      <c r="D9" s="1">
        <v>2120</v>
      </c>
      <c r="E9" s="1">
        <f>+AB9-D9-C9-B9</f>
        <v>2048</v>
      </c>
      <c r="F9" s="1">
        <v>2025</v>
      </c>
      <c r="G9" s="1">
        <v>1932</v>
      </c>
      <c r="H9" s="1">
        <v>2038</v>
      </c>
      <c r="I9" s="1">
        <f>+AC9-H9-G9-F9</f>
        <v>1974</v>
      </c>
      <c r="J9" s="1">
        <v>2292</v>
      </c>
      <c r="K9" s="1">
        <v>2156</v>
      </c>
      <c r="L9" s="1">
        <v>2322</v>
      </c>
      <c r="M9" s="1">
        <v>2383</v>
      </c>
      <c r="N9" s="1">
        <v>2181</v>
      </c>
      <c r="O9" s="1">
        <v>2767</v>
      </c>
      <c r="P9" s="1">
        <v>2668</v>
      </c>
      <c r="Q9" s="1">
        <v>2596</v>
      </c>
      <c r="R9" s="7">
        <v>2404</v>
      </c>
      <c r="S9" s="1">
        <f>+S8-S10</f>
        <v>2093.2799999999997</v>
      </c>
      <c r="T9" s="1">
        <f t="shared" ref="T9:U9" si="16">+T8-T10</f>
        <v>2051.4144000000001</v>
      </c>
      <c r="U9" s="1">
        <f t="shared" si="16"/>
        <v>2010.3861120000001</v>
      </c>
      <c r="W9" s="1">
        <v>10548</v>
      </c>
      <c r="X9" s="1">
        <v>9039</v>
      </c>
      <c r="Y9" s="1">
        <v>7898</v>
      </c>
      <c r="Z9" s="1">
        <v>8950</v>
      </c>
      <c r="AA9" s="1">
        <v>10053</v>
      </c>
      <c r="AB9" s="1">
        <v>8537</v>
      </c>
      <c r="AC9" s="1">
        <v>7969</v>
      </c>
      <c r="AD9" s="1">
        <v>9153</v>
      </c>
      <c r="AE9" s="7">
        <v>10212</v>
      </c>
      <c r="AF9" s="1">
        <f>+AF8-AF10</f>
        <v>8291.0805119999986</v>
      </c>
      <c r="AG9" s="1">
        <f>+AG8-AG10</f>
        <v>8582.150426534401</v>
      </c>
      <c r="AH9" s="1">
        <f t="shared" ref="AH9:AR9" si="17">+AH8-AH10</f>
        <v>8897.5117460028159</v>
      </c>
      <c r="AI9" s="1">
        <f t="shared" si="17"/>
        <v>9237.2717000739121</v>
      </c>
      <c r="AJ9" s="1">
        <f t="shared" si="17"/>
        <v>9601.7068302686221</v>
      </c>
      <c r="AK9" s="1">
        <f t="shared" si="17"/>
        <v>9991.247071864218</v>
      </c>
      <c r="AL9" s="1">
        <f t="shared" si="17"/>
        <v>10406.461510479277</v>
      </c>
      <c r="AM9" s="1">
        <f t="shared" si="17"/>
        <v>10848.04540053651</v>
      </c>
      <c r="AN9" s="1">
        <f t="shared" si="17"/>
        <v>11316.808051455215</v>
      </c>
      <c r="AO9" s="1">
        <f t="shared" si="17"/>
        <v>11813.661197248868</v>
      </c>
      <c r="AP9" s="1">
        <f t="shared" si="17"/>
        <v>12339.607466388652</v>
      </c>
      <c r="AQ9" s="1">
        <f t="shared" si="17"/>
        <v>12895.728561351771</v>
      </c>
      <c r="AR9" s="1">
        <f t="shared" si="17"/>
        <v>13483.172741034834</v>
      </c>
    </row>
    <row r="10" spans="1:44" s="1" customFormat="1" x14ac:dyDescent="0.25">
      <c r="A10" s="1" t="s">
        <v>15</v>
      </c>
      <c r="B10" s="1">
        <f t="shared" ref="B10" si="18">+B8-B9</f>
        <v>539</v>
      </c>
      <c r="C10" s="1">
        <f t="shared" ref="C10" si="19">+C8-C9</f>
        <v>522</v>
      </c>
      <c r="D10" s="1">
        <f t="shared" ref="D10" si="20">+D8-D9</f>
        <v>447</v>
      </c>
      <c r="E10" s="1">
        <f t="shared" ref="E10" si="21">+E8-E9</f>
        <v>388</v>
      </c>
      <c r="F10" s="1">
        <f t="shared" ref="F10" si="22">+F8-F9</f>
        <v>356</v>
      </c>
      <c r="G10" s="1">
        <f t="shared" ref="G10" si="23">+G8-G9</f>
        <v>216</v>
      </c>
      <c r="H10" s="1">
        <f t="shared" ref="H10" si="24">+H8-H9</f>
        <v>327</v>
      </c>
      <c r="I10" s="1">
        <f t="shared" ref="I10" si="25">+I8-I9</f>
        <v>418</v>
      </c>
      <c r="J10" s="1">
        <f t="shared" ref="J10" si="26">+J8-J9</f>
        <v>578</v>
      </c>
      <c r="K10" s="1">
        <f t="shared" ref="K10" si="27">+K8-K9</f>
        <v>677</v>
      </c>
      <c r="L10" s="1">
        <f t="shared" ref="L10" si="28">+L8-L9</f>
        <v>787</v>
      </c>
      <c r="M10" s="1">
        <f t="shared" ref="M10" si="29">+M8-M9</f>
        <v>957</v>
      </c>
      <c r="N10" s="1">
        <f t="shared" ref="N10:Q10" si="30">+N8-N9</f>
        <v>1112</v>
      </c>
      <c r="O10" s="1">
        <f t="shared" si="30"/>
        <v>877</v>
      </c>
      <c r="P10" s="1">
        <f t="shared" si="30"/>
        <v>183</v>
      </c>
      <c r="Q10" s="1">
        <f t="shared" si="30"/>
        <v>67</v>
      </c>
      <c r="R10" s="7">
        <f>+R8-R9</f>
        <v>266</v>
      </c>
      <c r="S10" s="1">
        <f>+S8*0.2</f>
        <v>523.32000000000005</v>
      </c>
      <c r="T10" s="1">
        <f t="shared" ref="T10:U10" si="31">+T8*0.2</f>
        <v>512.85360000000003</v>
      </c>
      <c r="U10" s="1">
        <f t="shared" si="31"/>
        <v>502.59652800000003</v>
      </c>
      <c r="W10" s="1">
        <f t="shared" ref="W10" si="32">+W8-W9</f>
        <v>2599</v>
      </c>
      <c r="X10" s="1">
        <f t="shared" ref="X10" si="33">+X8-X9</f>
        <v>2160</v>
      </c>
      <c r="Y10" s="1">
        <f t="shared" ref="Y10" si="34">+Y8-Y9</f>
        <v>1420</v>
      </c>
      <c r="Z10" s="1">
        <f t="shared" ref="Z10:AD10" si="35">+Z8-Z9</f>
        <v>2702</v>
      </c>
      <c r="AA10" s="1">
        <f t="shared" si="35"/>
        <v>3350</v>
      </c>
      <c r="AB10" s="1">
        <f t="shared" si="35"/>
        <v>1896</v>
      </c>
      <c r="AC10" s="1">
        <f t="shared" si="35"/>
        <v>1317</v>
      </c>
      <c r="AD10" s="1">
        <f t="shared" si="35"/>
        <v>2999</v>
      </c>
      <c r="AE10" s="7">
        <f>+AE8-AE9</f>
        <v>2239</v>
      </c>
      <c r="AF10" s="1">
        <f>+AF8*0.2</f>
        <v>2072.7701279999997</v>
      </c>
      <c r="AG10" s="1">
        <f>+AG8*0.2</f>
        <v>2145.5376066336003</v>
      </c>
      <c r="AH10" s="1">
        <f t="shared" ref="AH10:AR10" si="36">+AH8*0.2</f>
        <v>2224.377936500704</v>
      </c>
      <c r="AI10" s="1">
        <f t="shared" si="36"/>
        <v>2309.317925018478</v>
      </c>
      <c r="AJ10" s="1">
        <f t="shared" si="36"/>
        <v>2400.4267075671555</v>
      </c>
      <c r="AK10" s="1">
        <f t="shared" si="36"/>
        <v>2497.8117679660545</v>
      </c>
      <c r="AL10" s="1">
        <f t="shared" si="36"/>
        <v>2601.6153776198194</v>
      </c>
      <c r="AM10" s="1">
        <f t="shared" si="36"/>
        <v>2712.0113501341275</v>
      </c>
      <c r="AN10" s="1">
        <f t="shared" si="36"/>
        <v>2829.2020128638037</v>
      </c>
      <c r="AO10" s="1">
        <f t="shared" si="36"/>
        <v>2953.415299312217</v>
      </c>
      <c r="AP10" s="1">
        <f t="shared" si="36"/>
        <v>3084.9018665971635</v>
      </c>
      <c r="AQ10" s="1">
        <f t="shared" si="36"/>
        <v>3223.9321403379431</v>
      </c>
      <c r="AR10" s="1">
        <f t="shared" si="36"/>
        <v>3370.7931852587085</v>
      </c>
    </row>
    <row r="11" spans="1:44" s="1" customFormat="1" x14ac:dyDescent="0.25">
      <c r="A11" s="1" t="s">
        <v>11</v>
      </c>
      <c r="B11" s="1">
        <v>84</v>
      </c>
      <c r="C11" s="1">
        <v>68</v>
      </c>
      <c r="D11" s="1">
        <v>66</v>
      </c>
      <c r="E11" s="1">
        <f>+AB11-D11-C11-B11</f>
        <v>62</v>
      </c>
      <c r="F11" s="1">
        <v>60</v>
      </c>
      <c r="G11" s="1">
        <v>44</v>
      </c>
      <c r="H11" s="1">
        <v>47</v>
      </c>
      <c r="I11" s="1">
        <f>+AC11-H11-G11-F11</f>
        <v>55</v>
      </c>
      <c r="J11" s="1">
        <v>52</v>
      </c>
      <c r="K11" s="1">
        <v>54</v>
      </c>
      <c r="L11" s="1">
        <v>53</v>
      </c>
      <c r="M11" s="1">
        <v>68</v>
      </c>
      <c r="N11" s="1">
        <v>44</v>
      </c>
      <c r="O11" s="1">
        <v>52</v>
      </c>
      <c r="P11" s="1">
        <v>44</v>
      </c>
      <c r="Q11" s="1">
        <v>65</v>
      </c>
      <c r="R11" s="7">
        <v>54</v>
      </c>
      <c r="S11" s="1">
        <f>+S10*0.13</f>
        <v>68.031600000000012</v>
      </c>
      <c r="T11" s="1">
        <f t="shared" ref="T11:U11" si="37">+T10*0.13</f>
        <v>66.670968000000002</v>
      </c>
      <c r="U11" s="1">
        <f t="shared" si="37"/>
        <v>65.337548640000009</v>
      </c>
      <c r="W11" s="1">
        <v>383</v>
      </c>
      <c r="X11" s="1">
        <v>353</v>
      </c>
      <c r="Y11" s="1">
        <v>359</v>
      </c>
      <c r="Z11" s="1">
        <v>280</v>
      </c>
      <c r="AA11" s="1">
        <v>248</v>
      </c>
      <c r="AB11" s="1">
        <v>280</v>
      </c>
      <c r="AC11" s="1">
        <v>206</v>
      </c>
      <c r="AD11" s="1">
        <v>227</v>
      </c>
      <c r="AE11" s="7">
        <v>204</v>
      </c>
      <c r="AF11" s="1">
        <f>+AF10*0.13</f>
        <v>269.46011663999997</v>
      </c>
      <c r="AG11" s="1">
        <f>+AG10*0.13</f>
        <v>278.91988886236805</v>
      </c>
      <c r="AH11" s="1">
        <f t="shared" ref="AH11:AR11" si="38">+AH10*0.13</f>
        <v>289.16913174509153</v>
      </c>
      <c r="AI11" s="1">
        <f t="shared" si="38"/>
        <v>300.21133025240215</v>
      </c>
      <c r="AJ11" s="1">
        <f t="shared" si="38"/>
        <v>312.05547198373023</v>
      </c>
      <c r="AK11" s="1">
        <f t="shared" si="38"/>
        <v>324.71552983558712</v>
      </c>
      <c r="AL11" s="1">
        <f t="shared" si="38"/>
        <v>338.2099990905765</v>
      </c>
      <c r="AM11" s="1">
        <f t="shared" si="38"/>
        <v>352.56147551743658</v>
      </c>
      <c r="AN11" s="1">
        <f t="shared" si="38"/>
        <v>367.79626167229452</v>
      </c>
      <c r="AO11" s="1">
        <f t="shared" si="38"/>
        <v>383.94398891058825</v>
      </c>
      <c r="AP11" s="1">
        <f t="shared" si="38"/>
        <v>401.03724265763128</v>
      </c>
      <c r="AQ11" s="1">
        <f t="shared" si="38"/>
        <v>419.11117824393261</v>
      </c>
      <c r="AR11" s="1">
        <f t="shared" si="38"/>
        <v>438.2031140836321</v>
      </c>
    </row>
    <row r="12" spans="1:44" s="1" customFormat="1" x14ac:dyDescent="0.25">
      <c r="A12" s="1" t="s">
        <v>12</v>
      </c>
      <c r="B12" s="1">
        <v>7</v>
      </c>
      <c r="C12" s="1">
        <v>7</v>
      </c>
      <c r="D12" s="1">
        <v>7</v>
      </c>
      <c r="E12" s="1">
        <f>+AB12-D12-C12-B12</f>
        <v>6</v>
      </c>
      <c r="F12" s="1">
        <v>7</v>
      </c>
      <c r="G12" s="1">
        <v>5</v>
      </c>
      <c r="H12" s="1">
        <v>6</v>
      </c>
      <c r="I12" s="1">
        <f>+AC12-H12-G12-F12</f>
        <v>14</v>
      </c>
      <c r="J12" s="1">
        <v>7</v>
      </c>
      <c r="K12" s="1">
        <v>6</v>
      </c>
      <c r="L12" s="1">
        <v>8</v>
      </c>
      <c r="M12" s="1">
        <v>10</v>
      </c>
      <c r="N12" s="1">
        <v>9</v>
      </c>
      <c r="O12" s="1">
        <v>7</v>
      </c>
      <c r="P12" s="1">
        <v>7</v>
      </c>
      <c r="Q12" s="1">
        <v>9</v>
      </c>
      <c r="R12" s="7">
        <v>10</v>
      </c>
      <c r="S12" s="1">
        <f>+S10*0.02</f>
        <v>10.466400000000002</v>
      </c>
      <c r="T12" s="1">
        <f t="shared" ref="T12:U12" si="39">+T10*0.02</f>
        <v>10.257072000000001</v>
      </c>
      <c r="U12" s="1">
        <f t="shared" si="39"/>
        <v>10.051930560000001</v>
      </c>
      <c r="W12" s="1">
        <v>95</v>
      </c>
      <c r="X12" s="1">
        <v>69</v>
      </c>
      <c r="Y12" s="1">
        <v>33</v>
      </c>
      <c r="Z12" s="1">
        <v>32</v>
      </c>
      <c r="AA12" s="1">
        <v>31</v>
      </c>
      <c r="AB12" s="1">
        <v>27</v>
      </c>
      <c r="AC12" s="1">
        <v>32</v>
      </c>
      <c r="AD12" s="1">
        <v>31</v>
      </c>
      <c r="AE12" s="7">
        <v>27</v>
      </c>
      <c r="AF12" s="1">
        <f>+AF10*0.02</f>
        <v>41.455402559999996</v>
      </c>
      <c r="AG12" s="1">
        <f>+AG10*0.02</f>
        <v>42.910752132672009</v>
      </c>
      <c r="AH12" s="1">
        <f t="shared" ref="AH12:AR12" si="40">+AH10*0.02</f>
        <v>44.487558730014079</v>
      </c>
      <c r="AI12" s="1">
        <f t="shared" si="40"/>
        <v>46.186358500369565</v>
      </c>
      <c r="AJ12" s="1">
        <f t="shared" si="40"/>
        <v>48.008534151343113</v>
      </c>
      <c r="AK12" s="1">
        <f t="shared" si="40"/>
        <v>49.956235359321091</v>
      </c>
      <c r="AL12" s="1">
        <f t="shared" si="40"/>
        <v>52.032307552396389</v>
      </c>
      <c r="AM12" s="1">
        <f t="shared" si="40"/>
        <v>54.240227002682552</v>
      </c>
      <c r="AN12" s="1">
        <f t="shared" si="40"/>
        <v>56.584040257276072</v>
      </c>
      <c r="AO12" s="1">
        <f t="shared" si="40"/>
        <v>59.06830598624434</v>
      </c>
      <c r="AP12" s="1">
        <f t="shared" si="40"/>
        <v>61.698037331943269</v>
      </c>
      <c r="AQ12" s="1">
        <f t="shared" si="40"/>
        <v>64.47864280675887</v>
      </c>
      <c r="AR12" s="1">
        <f t="shared" si="40"/>
        <v>67.415863705174175</v>
      </c>
    </row>
    <row r="13" spans="1:44" s="1" customFormat="1" x14ac:dyDescent="0.25">
      <c r="A13" s="1" t="s">
        <v>14</v>
      </c>
      <c r="B13" s="1">
        <f t="shared" ref="B13" si="41">+B11+B12</f>
        <v>91</v>
      </c>
      <c r="C13" s="1">
        <f t="shared" ref="C13" si="42">+C11+C12</f>
        <v>75</v>
      </c>
      <c r="D13" s="1">
        <f t="shared" ref="D13" si="43">+D11+D12</f>
        <v>73</v>
      </c>
      <c r="E13" s="1">
        <f t="shared" ref="E13" si="44">+E11+E12</f>
        <v>68</v>
      </c>
      <c r="F13" s="1">
        <f t="shared" ref="F13" si="45">+F11+F12</f>
        <v>67</v>
      </c>
      <c r="G13" s="1">
        <f t="shared" ref="G13" si="46">+G11+G12</f>
        <v>49</v>
      </c>
      <c r="H13" s="1">
        <f t="shared" ref="H13" si="47">+H11+H12</f>
        <v>53</v>
      </c>
      <c r="I13" s="1">
        <f t="shared" ref="I13" si="48">+I11+I12</f>
        <v>69</v>
      </c>
      <c r="J13" s="1">
        <f t="shared" ref="J13" si="49">+J11+J12</f>
        <v>59</v>
      </c>
      <c r="K13" s="1">
        <f t="shared" ref="K13" si="50">+K11+K12</f>
        <v>60</v>
      </c>
      <c r="L13" s="1">
        <f t="shared" ref="L13" si="51">+L11+L12</f>
        <v>61</v>
      </c>
      <c r="M13" s="1">
        <f t="shared" ref="M13" si="52">+M11+M12</f>
        <v>78</v>
      </c>
      <c r="N13" s="1">
        <f t="shared" ref="N13:Q13" si="53">+N11+N12</f>
        <v>53</v>
      </c>
      <c r="O13" s="1">
        <f t="shared" si="53"/>
        <v>59</v>
      </c>
      <c r="P13" s="1">
        <f t="shared" si="53"/>
        <v>51</v>
      </c>
      <c r="Q13" s="1">
        <f t="shared" si="53"/>
        <v>74</v>
      </c>
      <c r="R13" s="7">
        <f>+R11+R12</f>
        <v>64</v>
      </c>
      <c r="S13" s="1">
        <f>+S12+S11</f>
        <v>78.498000000000019</v>
      </c>
      <c r="T13" s="1">
        <f t="shared" ref="T13:U13" si="54">+T12+T11</f>
        <v>76.92804000000001</v>
      </c>
      <c r="U13" s="1">
        <f t="shared" si="54"/>
        <v>75.389479200000011</v>
      </c>
      <c r="W13" s="1">
        <f t="shared" ref="W13" si="55">+W12+W11</f>
        <v>478</v>
      </c>
      <c r="X13" s="1">
        <f t="shared" ref="X13" si="56">+X12+X11</f>
        <v>422</v>
      </c>
      <c r="Y13" s="1">
        <f t="shared" ref="Y13" si="57">+Y12+Y11</f>
        <v>392</v>
      </c>
      <c r="Z13" s="1">
        <f t="shared" ref="Z13:AD13" si="58">+Z12+Z11</f>
        <v>312</v>
      </c>
      <c r="AA13" s="1">
        <f t="shared" si="58"/>
        <v>279</v>
      </c>
      <c r="AB13" s="1">
        <f t="shared" si="58"/>
        <v>307</v>
      </c>
      <c r="AC13" s="1">
        <f t="shared" si="58"/>
        <v>238</v>
      </c>
      <c r="AD13" s="1">
        <f t="shared" si="58"/>
        <v>258</v>
      </c>
      <c r="AE13" s="7">
        <f>+AE12+AE11</f>
        <v>231</v>
      </c>
      <c r="AF13" s="1">
        <f>+AF12+AF11</f>
        <v>310.91551919999995</v>
      </c>
      <c r="AG13" s="1">
        <f>+AG12+AG11</f>
        <v>321.83064099504008</v>
      </c>
      <c r="AH13" s="1">
        <f t="shared" ref="AH13:AR13" si="59">+AH12+AH11</f>
        <v>333.65669047510562</v>
      </c>
      <c r="AI13" s="1">
        <f t="shared" si="59"/>
        <v>346.39768875277173</v>
      </c>
      <c r="AJ13" s="1">
        <f t="shared" si="59"/>
        <v>360.06400613507333</v>
      </c>
      <c r="AK13" s="1">
        <f t="shared" si="59"/>
        <v>374.67176519490823</v>
      </c>
      <c r="AL13" s="1">
        <f t="shared" si="59"/>
        <v>390.24230664297289</v>
      </c>
      <c r="AM13" s="1">
        <f t="shared" si="59"/>
        <v>406.80170252011914</v>
      </c>
      <c r="AN13" s="1">
        <f t="shared" si="59"/>
        <v>424.38030192957058</v>
      </c>
      <c r="AO13" s="1">
        <f t="shared" si="59"/>
        <v>443.0122948968326</v>
      </c>
      <c r="AP13" s="1">
        <f t="shared" si="59"/>
        <v>462.73527998957456</v>
      </c>
      <c r="AQ13" s="1">
        <f t="shared" si="59"/>
        <v>483.58982105069151</v>
      </c>
      <c r="AR13" s="1">
        <f t="shared" si="59"/>
        <v>505.61897778880626</v>
      </c>
    </row>
    <row r="14" spans="1:44" s="1" customFormat="1" x14ac:dyDescent="0.25">
      <c r="A14" s="1" t="s">
        <v>13</v>
      </c>
      <c r="B14" s="1">
        <f t="shared" ref="B14" si="60">+B10-B13</f>
        <v>448</v>
      </c>
      <c r="C14" s="1">
        <f t="shared" ref="C14" si="61">+C10-C13</f>
        <v>447</v>
      </c>
      <c r="D14" s="1">
        <f t="shared" ref="D14" si="62">+D10-D13</f>
        <v>374</v>
      </c>
      <c r="E14" s="1">
        <f t="shared" ref="E14" si="63">+E10-E13</f>
        <v>320</v>
      </c>
      <c r="F14" s="1">
        <f t="shared" ref="F14" si="64">+F10-F13</f>
        <v>289</v>
      </c>
      <c r="G14" s="1">
        <f t="shared" ref="G14" si="65">+G10-G13</f>
        <v>167</v>
      </c>
      <c r="H14" s="1">
        <f t="shared" ref="H14" si="66">+H10-H13</f>
        <v>274</v>
      </c>
      <c r="I14" s="1">
        <f t="shared" ref="I14" si="67">+I10-I13</f>
        <v>349</v>
      </c>
      <c r="J14" s="1">
        <f t="shared" ref="J14" si="68">+J10-J13</f>
        <v>519</v>
      </c>
      <c r="K14" s="1">
        <f t="shared" ref="K14" si="69">+K10-K13</f>
        <v>617</v>
      </c>
      <c r="L14" s="1">
        <f t="shared" ref="L14" si="70">+L10-L13</f>
        <v>726</v>
      </c>
      <c r="M14" s="1">
        <f t="shared" ref="M14" si="71">+M10-M13</f>
        <v>879</v>
      </c>
      <c r="N14" s="1">
        <f t="shared" ref="N14:Q14" si="72">+N10-N13</f>
        <v>1059</v>
      </c>
      <c r="O14" s="1">
        <f t="shared" si="72"/>
        <v>818</v>
      </c>
      <c r="P14" s="1">
        <f t="shared" si="72"/>
        <v>132</v>
      </c>
      <c r="Q14" s="1">
        <f t="shared" si="72"/>
        <v>-7</v>
      </c>
      <c r="R14" s="7">
        <f>+R10-R13</f>
        <v>202</v>
      </c>
      <c r="S14" s="1">
        <f>+S8*0.17</f>
        <v>444.822</v>
      </c>
      <c r="T14" s="1">
        <f t="shared" ref="T14:U14" si="73">+T8*0.17</f>
        <v>435.92556000000002</v>
      </c>
      <c r="U14" s="1">
        <f t="shared" si="73"/>
        <v>427.20704880000005</v>
      </c>
      <c r="W14" s="1">
        <f t="shared" ref="W14" si="74">+W10-W13</f>
        <v>2121</v>
      </c>
      <c r="X14" s="1">
        <f t="shared" ref="X14" si="75">+X10-X13</f>
        <v>1738</v>
      </c>
      <c r="Y14" s="1">
        <f t="shared" ref="Y14" si="76">+Y10-Y13</f>
        <v>1028</v>
      </c>
      <c r="Z14" s="1">
        <f t="shared" ref="Z14:AD14" si="77">+Z10-Z13</f>
        <v>2390</v>
      </c>
      <c r="AA14" s="1">
        <f t="shared" si="77"/>
        <v>3071</v>
      </c>
      <c r="AB14" s="1">
        <f t="shared" si="77"/>
        <v>1589</v>
      </c>
      <c r="AC14" s="1">
        <f t="shared" si="77"/>
        <v>1079</v>
      </c>
      <c r="AD14" s="1">
        <f t="shared" si="77"/>
        <v>2741</v>
      </c>
      <c r="AE14" s="7">
        <f>+AE10-AE13</f>
        <v>2008</v>
      </c>
      <c r="AF14" s="1">
        <f>+AF8*0.17</f>
        <v>1761.8546087999998</v>
      </c>
      <c r="AG14" s="1">
        <f>+AG8*0.17</f>
        <v>1823.7069656385602</v>
      </c>
      <c r="AH14" s="1">
        <f t="shared" ref="AH14:AR14" si="78">+AH8*0.17</f>
        <v>1890.7212460255985</v>
      </c>
      <c r="AI14" s="1">
        <f t="shared" si="78"/>
        <v>1962.9202362657065</v>
      </c>
      <c r="AJ14" s="1">
        <f t="shared" si="78"/>
        <v>2040.3627014320823</v>
      </c>
      <c r="AK14" s="1">
        <f t="shared" si="78"/>
        <v>2123.1400027711461</v>
      </c>
      <c r="AL14" s="1">
        <f t="shared" si="78"/>
        <v>2211.3730709768465</v>
      </c>
      <c r="AM14" s="1">
        <f t="shared" si="78"/>
        <v>2305.2096476140086</v>
      </c>
      <c r="AN14" s="1">
        <f t="shared" si="78"/>
        <v>2404.8217109342331</v>
      </c>
      <c r="AO14" s="1">
        <f t="shared" si="78"/>
        <v>2510.4030044153847</v>
      </c>
      <c r="AP14" s="1">
        <f t="shared" si="78"/>
        <v>2622.1665866075887</v>
      </c>
      <c r="AQ14" s="1">
        <f t="shared" si="78"/>
        <v>2740.3423192872515</v>
      </c>
      <c r="AR14" s="1">
        <f t="shared" si="78"/>
        <v>2865.1742074699023</v>
      </c>
    </row>
    <row r="15" spans="1:44" s="1" customFormat="1" x14ac:dyDescent="0.25">
      <c r="A15" s="1" t="s">
        <v>42</v>
      </c>
      <c r="B15" s="1">
        <f>-30+41</f>
        <v>11</v>
      </c>
      <c r="C15" s="1">
        <f>-30+50</f>
        <v>20</v>
      </c>
      <c r="D15" s="1">
        <f>-30+27</f>
        <v>-3</v>
      </c>
      <c r="F15" s="1">
        <f>-30-132</f>
        <v>-162</v>
      </c>
      <c r="G15" s="1">
        <f>-32+51</f>
        <v>19</v>
      </c>
      <c r="H15" s="1">
        <f>-41+45</f>
        <v>4</v>
      </c>
      <c r="I15" s="1">
        <f>+AC15-H15-G15-F15</f>
        <v>1</v>
      </c>
      <c r="J15" s="1">
        <f>-42-24</f>
        <v>-66</v>
      </c>
      <c r="K15" s="1">
        <f>-67-105</f>
        <v>-172</v>
      </c>
      <c r="L15" s="1">
        <f>-58+18</f>
        <v>-40</v>
      </c>
      <c r="M15" s="1">
        <f>+AD15-SUM(J15:L15)</f>
        <v>-362</v>
      </c>
      <c r="N15" s="1">
        <f>-25+14</f>
        <v>-11</v>
      </c>
      <c r="O15" s="1">
        <f>-30-206</f>
        <v>-236</v>
      </c>
      <c r="P15" s="1">
        <f>-25-35</f>
        <v>-60</v>
      </c>
      <c r="Q15" s="1">
        <f>+AE15-SUM(N15:P15)</f>
        <v>83</v>
      </c>
      <c r="R15" s="7">
        <f>-26-54</f>
        <v>-80</v>
      </c>
      <c r="S15" s="1">
        <f>-(+S10*0.091)</f>
        <v>-47.622120000000002</v>
      </c>
      <c r="T15" s="1">
        <f t="shared" ref="T15:U15" si="79">-(+T10*0.091)</f>
        <v>-46.6696776</v>
      </c>
      <c r="U15" s="1">
        <f t="shared" si="79"/>
        <v>-45.736284048000002</v>
      </c>
      <c r="W15" s="1">
        <f>-309-58</f>
        <v>-367</v>
      </c>
      <c r="X15" s="1">
        <f>-270-42</f>
        <v>-312</v>
      </c>
      <c r="Y15" s="1">
        <f>-243+89</f>
        <v>-154</v>
      </c>
      <c r="Z15" s="1">
        <f>-104+27</f>
        <v>-77</v>
      </c>
      <c r="AA15" s="1">
        <f>-122+64</f>
        <v>-58</v>
      </c>
      <c r="AB15" s="1">
        <f>-121+162</f>
        <v>41</v>
      </c>
      <c r="AC15" s="1">
        <f>-146+8</f>
        <v>-138</v>
      </c>
      <c r="AD15" s="1">
        <f>-195-445</f>
        <v>-640</v>
      </c>
      <c r="AE15" s="7">
        <f>-106-118</f>
        <v>-224</v>
      </c>
      <c r="AF15" s="1">
        <f>-(+AF10*0.091)</f>
        <v>-188.62208164799998</v>
      </c>
      <c r="AG15" s="1">
        <f>-(+AG10*0.091)</f>
        <v>-195.24392220365763</v>
      </c>
      <c r="AH15" s="1">
        <f t="shared" ref="AH15:AR15" si="80">-(+AH10*0.091)</f>
        <v>-202.41839222156406</v>
      </c>
      <c r="AI15" s="1">
        <f t="shared" si="80"/>
        <v>-210.14793117668148</v>
      </c>
      <c r="AJ15" s="1">
        <f t="shared" si="80"/>
        <v>-218.43883038861114</v>
      </c>
      <c r="AK15" s="1">
        <f t="shared" si="80"/>
        <v>-227.30087088491095</v>
      </c>
      <c r="AL15" s="1">
        <f t="shared" si="80"/>
        <v>-236.74699936340355</v>
      </c>
      <c r="AM15" s="1">
        <f t="shared" si="80"/>
        <v>-246.79303286220559</v>
      </c>
      <c r="AN15" s="1">
        <f t="shared" si="80"/>
        <v>-257.45738317060614</v>
      </c>
      <c r="AO15" s="1">
        <f t="shared" si="80"/>
        <v>-268.76079223741175</v>
      </c>
      <c r="AP15" s="1">
        <f t="shared" si="80"/>
        <v>-280.72606986034185</v>
      </c>
      <c r="AQ15" s="1">
        <f t="shared" si="80"/>
        <v>-293.3778247707528</v>
      </c>
      <c r="AR15" s="1">
        <f t="shared" si="80"/>
        <v>-306.74217985854244</v>
      </c>
    </row>
    <row r="16" spans="1:44" s="1" customFormat="1" x14ac:dyDescent="0.25">
      <c r="A16" s="1" t="s">
        <v>16</v>
      </c>
      <c r="B16" s="1">
        <f t="shared" ref="B16" si="81">+B15+B14</f>
        <v>459</v>
      </c>
      <c r="C16" s="1">
        <f t="shared" ref="C16" si="82">+C15+C14</f>
        <v>467</v>
      </c>
      <c r="D16" s="1">
        <f t="shared" ref="D16" si="83">+D15+D14</f>
        <v>371</v>
      </c>
      <c r="E16" s="1">
        <f t="shared" ref="E16" si="84">+E15+E14</f>
        <v>320</v>
      </c>
      <c r="F16" s="1">
        <f t="shared" ref="F16" si="85">+F15+F14</f>
        <v>127</v>
      </c>
      <c r="G16" s="1">
        <f t="shared" ref="G16" si="86">+G15+G14</f>
        <v>186</v>
      </c>
      <c r="H16" s="1">
        <f t="shared" ref="H16" si="87">+H15+H14</f>
        <v>278</v>
      </c>
      <c r="I16" s="1">
        <f t="shared" ref="I16" si="88">+I15+I14</f>
        <v>350</v>
      </c>
      <c r="J16" s="1">
        <f t="shared" ref="J16" si="89">+J15+J14</f>
        <v>453</v>
      </c>
      <c r="K16" s="1">
        <f t="shared" ref="K16" si="90">+K15+K14</f>
        <v>445</v>
      </c>
      <c r="L16" s="1">
        <f t="shared" ref="L16" si="91">+L15+L14</f>
        <v>686</v>
      </c>
      <c r="M16" s="1">
        <f t="shared" ref="M16" si="92">+M15+M14</f>
        <v>517</v>
      </c>
      <c r="N16" s="1">
        <f t="shared" ref="N16:Q16" si="93">+N15+N14</f>
        <v>1048</v>
      </c>
      <c r="O16" s="1">
        <f t="shared" si="93"/>
        <v>582</v>
      </c>
      <c r="P16" s="1">
        <f t="shared" si="93"/>
        <v>72</v>
      </c>
      <c r="Q16" s="1">
        <f t="shared" si="93"/>
        <v>76</v>
      </c>
      <c r="R16" s="7">
        <f>+R15+R14</f>
        <v>122</v>
      </c>
      <c r="S16" s="1">
        <f>+S15+S14</f>
        <v>397.19988000000001</v>
      </c>
      <c r="T16" s="1">
        <f t="shared" ref="T16:U16" si="94">+T15+T14</f>
        <v>389.25588240000002</v>
      </c>
      <c r="U16" s="1">
        <f t="shared" si="94"/>
        <v>381.47076475200004</v>
      </c>
      <c r="W16" s="1">
        <f t="shared" ref="W16" si="95">+W15+W14</f>
        <v>1754</v>
      </c>
      <c r="X16" s="1">
        <f t="shared" ref="X16" si="96">+X15+X14</f>
        <v>1426</v>
      </c>
      <c r="Y16" s="1">
        <f t="shared" ref="Y16" si="97">+Y15+Y14</f>
        <v>874</v>
      </c>
      <c r="Z16" s="1">
        <f t="shared" ref="Z16:AD16" si="98">+Z15+Z14</f>
        <v>2313</v>
      </c>
      <c r="AA16" s="1">
        <f t="shared" si="98"/>
        <v>3013</v>
      </c>
      <c r="AB16" s="1">
        <f t="shared" si="98"/>
        <v>1630</v>
      </c>
      <c r="AC16" s="1">
        <f t="shared" si="98"/>
        <v>941</v>
      </c>
      <c r="AD16" s="1">
        <f t="shared" si="98"/>
        <v>2101</v>
      </c>
      <c r="AE16" s="7">
        <f>+AE15+AE14</f>
        <v>1784</v>
      </c>
      <c r="AF16" s="1">
        <f>+AF15+AF14</f>
        <v>1573.2325271519999</v>
      </c>
      <c r="AG16" s="1">
        <f>+AG15+AG14</f>
        <v>1628.4630434349026</v>
      </c>
      <c r="AH16" s="1">
        <f t="shared" ref="AH16:AR16" si="99">+AH15+AH14</f>
        <v>1688.3028538040344</v>
      </c>
      <c r="AI16" s="1">
        <f t="shared" si="99"/>
        <v>1752.7723050890249</v>
      </c>
      <c r="AJ16" s="1">
        <f t="shared" si="99"/>
        <v>1821.9238710434711</v>
      </c>
      <c r="AK16" s="1">
        <f t="shared" si="99"/>
        <v>1895.8391318862352</v>
      </c>
      <c r="AL16" s="1">
        <f t="shared" si="99"/>
        <v>1974.6260716134429</v>
      </c>
      <c r="AM16" s="1">
        <f t="shared" si="99"/>
        <v>2058.4166147518031</v>
      </c>
      <c r="AN16" s="1">
        <f t="shared" si="99"/>
        <v>2147.364327763627</v>
      </c>
      <c r="AO16" s="1">
        <f t="shared" si="99"/>
        <v>2241.6422121779729</v>
      </c>
      <c r="AP16" s="1">
        <f t="shared" si="99"/>
        <v>2341.4405167472469</v>
      </c>
      <c r="AQ16" s="1">
        <f t="shared" si="99"/>
        <v>2446.9644945164987</v>
      </c>
      <c r="AR16" s="1">
        <f t="shared" si="99"/>
        <v>2558.4320276113599</v>
      </c>
    </row>
    <row r="17" spans="1:88" s="1" customFormat="1" x14ac:dyDescent="0.25">
      <c r="A17" s="1" t="s">
        <v>17</v>
      </c>
      <c r="B17" s="1">
        <v>150</v>
      </c>
      <c r="C17" s="1">
        <v>116</v>
      </c>
      <c r="D17" s="1">
        <v>95</v>
      </c>
      <c r="E17" s="1">
        <f>+AB17-D17-C17-B17</f>
        <v>54</v>
      </c>
      <c r="F17" s="1">
        <v>80</v>
      </c>
      <c r="G17" s="1">
        <v>45</v>
      </c>
      <c r="H17" s="1">
        <v>42</v>
      </c>
      <c r="I17" s="1">
        <f t="shared" ref="I17" si="100">+I15+I16</f>
        <v>351</v>
      </c>
      <c r="J17" s="1">
        <v>93</v>
      </c>
      <c r="K17" s="1">
        <v>111</v>
      </c>
      <c r="L17" s="1">
        <v>127</v>
      </c>
      <c r="M17" s="1">
        <v>298</v>
      </c>
      <c r="N17" s="1">
        <v>210</v>
      </c>
      <c r="O17" s="1">
        <v>234</v>
      </c>
      <c r="P17" s="1">
        <v>40</v>
      </c>
      <c r="Q17" s="1">
        <v>180</v>
      </c>
      <c r="R17" s="7">
        <v>52</v>
      </c>
      <c r="S17" s="1">
        <f>+S16*0.25</f>
        <v>99.299970000000002</v>
      </c>
      <c r="T17" s="1">
        <f t="shared" ref="T17:U17" si="101">+T16*0.25</f>
        <v>97.313970600000005</v>
      </c>
      <c r="U17" s="1">
        <f t="shared" si="101"/>
        <v>95.367691188000009</v>
      </c>
      <c r="W17" s="1">
        <v>284</v>
      </c>
      <c r="X17" s="1">
        <v>402</v>
      </c>
      <c r="Y17" s="1">
        <v>184</v>
      </c>
      <c r="Z17" s="1">
        <v>592</v>
      </c>
      <c r="AA17" s="1">
        <v>732</v>
      </c>
      <c r="AB17" s="1">
        <v>415</v>
      </c>
      <c r="AC17" s="1">
        <v>187</v>
      </c>
      <c r="AD17" s="1">
        <v>629</v>
      </c>
      <c r="AE17" s="7">
        <v>664</v>
      </c>
      <c r="AF17" s="1">
        <f>+AF16*0.25</f>
        <v>393.30813178799997</v>
      </c>
      <c r="AG17" s="1">
        <f>+AG16*0.25</f>
        <v>407.11576085872565</v>
      </c>
      <c r="AH17" s="1">
        <f t="shared" ref="AH17:AR17" si="102">+AH16*0.25</f>
        <v>422.0757134510086</v>
      </c>
      <c r="AI17" s="1">
        <f t="shared" si="102"/>
        <v>438.19307627225623</v>
      </c>
      <c r="AJ17" s="1">
        <f t="shared" si="102"/>
        <v>455.48096776086777</v>
      </c>
      <c r="AK17" s="1">
        <f t="shared" si="102"/>
        <v>473.95978297155881</v>
      </c>
      <c r="AL17" s="1">
        <f t="shared" si="102"/>
        <v>493.65651790336074</v>
      </c>
      <c r="AM17" s="1">
        <f t="shared" si="102"/>
        <v>514.60415368795077</v>
      </c>
      <c r="AN17" s="1">
        <f t="shared" si="102"/>
        <v>536.84108194090675</v>
      </c>
      <c r="AO17" s="1">
        <f t="shared" si="102"/>
        <v>560.41055304449321</v>
      </c>
      <c r="AP17" s="1">
        <f t="shared" si="102"/>
        <v>585.36012918681172</v>
      </c>
      <c r="AQ17" s="1">
        <f t="shared" si="102"/>
        <v>611.74112362912467</v>
      </c>
      <c r="AR17" s="1">
        <f t="shared" si="102"/>
        <v>639.60800690283997</v>
      </c>
    </row>
    <row r="18" spans="1:88" s="8" customFormat="1" x14ac:dyDescent="0.25">
      <c r="A18" s="8" t="s">
        <v>18</v>
      </c>
      <c r="B18" s="8">
        <f t="shared" ref="B18" si="103">+B16-B17</f>
        <v>309</v>
      </c>
      <c r="C18" s="8">
        <f t="shared" ref="C18" si="104">+C16-C17</f>
        <v>351</v>
      </c>
      <c r="D18" s="8">
        <f t="shared" ref="D18" si="105">+D16-D17</f>
        <v>276</v>
      </c>
      <c r="E18" s="8">
        <f t="shared" ref="E18" si="106">+E16-E17</f>
        <v>266</v>
      </c>
      <c r="F18" s="8">
        <f t="shared" ref="F18" si="107">+F16-F17</f>
        <v>47</v>
      </c>
      <c r="G18" s="8">
        <f t="shared" ref="G18" si="108">+G16-G17</f>
        <v>141</v>
      </c>
      <c r="H18" s="8">
        <f t="shared" ref="H18" si="109">+H16-H17</f>
        <v>236</v>
      </c>
      <c r="I18" s="8">
        <f t="shared" ref="I18" si="110">+I16-I17</f>
        <v>-1</v>
      </c>
      <c r="J18" s="8">
        <f t="shared" ref="J18" si="111">+J16-J17</f>
        <v>360</v>
      </c>
      <c r="K18" s="8">
        <f t="shared" ref="K18" si="112">+K16-K17</f>
        <v>334</v>
      </c>
      <c r="L18" s="8">
        <f t="shared" ref="L18" si="113">+L16-L17</f>
        <v>559</v>
      </c>
      <c r="M18" s="8">
        <f t="shared" ref="M18" si="114">+M16-M17</f>
        <v>219</v>
      </c>
      <c r="N18" s="8">
        <f t="shared" ref="N18:Q18" si="115">+N16-N17</f>
        <v>838</v>
      </c>
      <c r="O18" s="8">
        <f t="shared" si="115"/>
        <v>348</v>
      </c>
      <c r="P18" s="8">
        <f t="shared" si="115"/>
        <v>32</v>
      </c>
      <c r="Q18" s="8">
        <f t="shared" si="115"/>
        <v>-104</v>
      </c>
      <c r="R18" s="9">
        <f>+R16-R17</f>
        <v>70</v>
      </c>
      <c r="S18" s="8">
        <f t="shared" ref="S18" si="116">+S16-S17</f>
        <v>297.89990999999998</v>
      </c>
      <c r="T18" s="8">
        <f t="shared" ref="T18" si="117">+T16-T17</f>
        <v>291.94191180000001</v>
      </c>
      <c r="U18" s="8">
        <f t="shared" ref="U18" si="118">+U16-U17</f>
        <v>286.10307356400006</v>
      </c>
      <c r="W18" s="8">
        <v>284</v>
      </c>
      <c r="X18" s="8">
        <v>402</v>
      </c>
      <c r="Y18" s="8">
        <v>184</v>
      </c>
      <c r="Z18" s="8">
        <f t="shared" ref="Z18" si="119">+Z16-Z17</f>
        <v>1721</v>
      </c>
      <c r="AA18" s="8">
        <f t="shared" ref="AA18" si="120">+AA16-AA17</f>
        <v>2281</v>
      </c>
      <c r="AB18" s="8">
        <f t="shared" ref="AB18" si="121">+AB16-AB17</f>
        <v>1215</v>
      </c>
      <c r="AC18" s="8">
        <f t="shared" ref="AC18:AG18" si="122">+AC16-AC17</f>
        <v>754</v>
      </c>
      <c r="AD18" s="8">
        <f t="shared" si="122"/>
        <v>1472</v>
      </c>
      <c r="AE18" s="9">
        <f t="shared" si="122"/>
        <v>1120</v>
      </c>
      <c r="AF18" s="8">
        <f t="shared" si="122"/>
        <v>1179.9243953639998</v>
      </c>
      <c r="AG18" s="8">
        <f t="shared" si="122"/>
        <v>1221.3472825761769</v>
      </c>
      <c r="AH18" s="8">
        <f t="shared" ref="AH18" si="123">+AH16-AH17</f>
        <v>1266.2271403530258</v>
      </c>
      <c r="AI18" s="8">
        <f t="shared" ref="AI18" si="124">+AI16-AI17</f>
        <v>1314.5792288167686</v>
      </c>
      <c r="AJ18" s="8">
        <f t="shared" ref="AJ18" si="125">+AJ16-AJ17</f>
        <v>1366.4429032826033</v>
      </c>
      <c r="AK18" s="8">
        <f t="shared" ref="AK18" si="126">+AK16-AK17</f>
        <v>1421.8793489146765</v>
      </c>
      <c r="AL18" s="8">
        <f t="shared" ref="AL18" si="127">+AL16-AL17</f>
        <v>1480.9695537100822</v>
      </c>
      <c r="AM18" s="8">
        <f t="shared" ref="AM18" si="128">+AM16-AM17</f>
        <v>1543.8124610638524</v>
      </c>
      <c r="AN18" s="8">
        <f t="shared" ref="AN18" si="129">+AN16-AN17</f>
        <v>1610.5232458227201</v>
      </c>
      <c r="AO18" s="8">
        <f t="shared" ref="AO18" si="130">+AO16-AO17</f>
        <v>1681.2316591334798</v>
      </c>
      <c r="AP18" s="8">
        <f t="shared" ref="AP18" si="131">+AP16-AP17</f>
        <v>1756.0803875604352</v>
      </c>
      <c r="AQ18" s="8">
        <f t="shared" ref="AQ18" si="132">+AQ16-AQ17</f>
        <v>1835.2233708873741</v>
      </c>
      <c r="AR18" s="8">
        <f t="shared" ref="AR18" si="133">+AR16-AR17</f>
        <v>1918.82402070852</v>
      </c>
      <c r="AS18" s="8">
        <f>+AR18*(1+$AW$24)</f>
        <v>1880.4475402943497</v>
      </c>
      <c r="AT18" s="8">
        <f t="shared" ref="AT18:CJ18" si="134">+AS18*(1+$AW$24)</f>
        <v>1842.8385894884627</v>
      </c>
      <c r="AU18" s="8">
        <f t="shared" si="134"/>
        <v>1805.9818176986935</v>
      </c>
      <c r="AV18" s="8">
        <f t="shared" si="134"/>
        <v>1769.8621813447196</v>
      </c>
      <c r="AW18" s="8">
        <f t="shared" si="134"/>
        <v>1734.4649377178253</v>
      </c>
      <c r="AX18" s="8">
        <f t="shared" si="134"/>
        <v>1699.7756389634687</v>
      </c>
      <c r="AY18" s="8">
        <f t="shared" si="134"/>
        <v>1665.7801261841994</v>
      </c>
      <c r="AZ18" s="8">
        <f t="shared" si="134"/>
        <v>1632.4645236605154</v>
      </c>
      <c r="BA18" s="8">
        <f t="shared" si="134"/>
        <v>1599.815233187305</v>
      </c>
      <c r="BB18" s="8">
        <f t="shared" si="134"/>
        <v>1567.818928523559</v>
      </c>
      <c r="BC18" s="8">
        <f t="shared" si="134"/>
        <v>1536.4625499530878</v>
      </c>
      <c r="BD18" s="8">
        <f t="shared" si="134"/>
        <v>1505.7332989540259</v>
      </c>
      <c r="BE18" s="8">
        <f t="shared" si="134"/>
        <v>1475.6186329749453</v>
      </c>
      <c r="BF18" s="8">
        <f t="shared" si="134"/>
        <v>1446.1062603154464</v>
      </c>
      <c r="BG18" s="8">
        <f t="shared" si="134"/>
        <v>1417.1841351091375</v>
      </c>
      <c r="BH18" s="8">
        <f t="shared" si="134"/>
        <v>1388.8404524069547</v>
      </c>
      <c r="BI18" s="8">
        <f t="shared" si="134"/>
        <v>1361.0636433588156</v>
      </c>
      <c r="BJ18" s="8">
        <f t="shared" si="134"/>
        <v>1333.8423704916393</v>
      </c>
      <c r="BK18" s="8">
        <f t="shared" si="134"/>
        <v>1307.1655230818064</v>
      </c>
      <c r="BL18" s="8">
        <f t="shared" si="134"/>
        <v>1281.0222126201702</v>
      </c>
      <c r="BM18" s="8">
        <f t="shared" si="134"/>
        <v>1255.4017683677669</v>
      </c>
      <c r="BN18" s="8">
        <f t="shared" si="134"/>
        <v>1230.2937330004115</v>
      </c>
      <c r="BO18" s="8">
        <f t="shared" si="134"/>
        <v>1205.6878583404032</v>
      </c>
      <c r="BP18" s="8">
        <f t="shared" si="134"/>
        <v>1181.5741011735952</v>
      </c>
      <c r="BQ18" s="8">
        <f t="shared" si="134"/>
        <v>1157.9426191501232</v>
      </c>
      <c r="BR18" s="8">
        <f t="shared" si="134"/>
        <v>1134.7837667671206</v>
      </c>
      <c r="BS18" s="8">
        <f t="shared" si="134"/>
        <v>1112.0880914317781</v>
      </c>
      <c r="BT18" s="8">
        <f t="shared" si="134"/>
        <v>1089.8463296031425</v>
      </c>
      <c r="BU18" s="8">
        <f t="shared" si="134"/>
        <v>1068.0494030110797</v>
      </c>
      <c r="BV18" s="8">
        <f t="shared" si="134"/>
        <v>1046.688414950858</v>
      </c>
      <c r="BW18" s="8">
        <f t="shared" si="134"/>
        <v>1025.7546466518409</v>
      </c>
      <c r="BX18" s="8">
        <f t="shared" si="134"/>
        <v>1005.239553718804</v>
      </c>
      <c r="BY18" s="8">
        <f t="shared" si="134"/>
        <v>985.13476264442795</v>
      </c>
      <c r="BZ18" s="8">
        <f t="shared" si="134"/>
        <v>965.43206739153936</v>
      </c>
      <c r="CA18" s="8">
        <f t="shared" si="134"/>
        <v>946.1234260437086</v>
      </c>
      <c r="CB18" s="8">
        <f t="shared" si="134"/>
        <v>927.20095752283441</v>
      </c>
      <c r="CC18" s="8">
        <f t="shared" si="134"/>
        <v>908.65693837237768</v>
      </c>
      <c r="CD18" s="8">
        <f t="shared" si="134"/>
        <v>890.48379960493014</v>
      </c>
      <c r="CE18" s="8">
        <f t="shared" si="134"/>
        <v>872.67412361283152</v>
      </c>
      <c r="CF18" s="8">
        <f t="shared" si="134"/>
        <v>855.22064114057491</v>
      </c>
      <c r="CG18" s="8">
        <f t="shared" si="134"/>
        <v>838.11622831776344</v>
      </c>
      <c r="CH18" s="8">
        <f t="shared" si="134"/>
        <v>821.35390375140821</v>
      </c>
      <c r="CI18" s="8">
        <f t="shared" si="134"/>
        <v>804.92682567638008</v>
      </c>
      <c r="CJ18" s="8">
        <f t="shared" si="134"/>
        <v>788.82828916285246</v>
      </c>
    </row>
    <row r="19" spans="1:88" s="2" customFormat="1" x14ac:dyDescent="0.25">
      <c r="A19" s="2" t="s">
        <v>19</v>
      </c>
      <c r="B19" s="2">
        <f t="shared" ref="B19" si="135">+B18/B20</f>
        <v>1.6657681940700808</v>
      </c>
      <c r="C19" s="2">
        <f t="shared" ref="C19" si="136">+C18/C20</f>
        <v>1.8921832884097034</v>
      </c>
      <c r="D19" s="2">
        <f t="shared" ref="D19" si="137">+D18/D20</f>
        <v>1.4878706199460916</v>
      </c>
      <c r="E19" s="2">
        <f t="shared" ref="E19" si="138">+E18/E20</f>
        <v>1.4339622641509433</v>
      </c>
      <c r="F19" s="2">
        <f t="shared" ref="F19" si="139">+F18/F20</f>
        <v>0.25282409897794511</v>
      </c>
      <c r="G19" s="2">
        <f t="shared" ref="G19" si="140">+G18/G20</f>
        <v>0.75847229693383533</v>
      </c>
      <c r="H19" s="2">
        <f t="shared" ref="H19" si="141">+H18/H20</f>
        <v>1.2694997310381926</v>
      </c>
      <c r="I19" s="2">
        <f t="shared" ref="I19" si="142">+I18/I20</f>
        <v>-5.3792361484669175E-3</v>
      </c>
      <c r="J19" s="2">
        <f t="shared" ref="J19" si="143">+J18/J20</f>
        <v>1.9282271023031603</v>
      </c>
      <c r="K19" s="2">
        <f t="shared" ref="K19" si="144">+K18/K20</f>
        <v>1.7874344428984266</v>
      </c>
      <c r="L19" s="2">
        <f t="shared" ref="L19" si="145">+L18/L20</f>
        <v>2.9877071084981295</v>
      </c>
      <c r="M19" s="2">
        <f t="shared" ref="M19" si="146">+M18/M20</f>
        <v>1.1704970603955105</v>
      </c>
      <c r="N19" s="2">
        <f t="shared" ref="N19:Q19" si="147">+N18/N20</f>
        <v>4.5543478260869561</v>
      </c>
      <c r="O19" s="2">
        <f t="shared" si="147"/>
        <v>1.9333333333333333</v>
      </c>
      <c r="P19" s="2">
        <f t="shared" si="147"/>
        <v>0.1807909604519774</v>
      </c>
      <c r="Q19" s="2">
        <f t="shared" si="147"/>
        <v>-0.58757062146892658</v>
      </c>
      <c r="R19" s="4">
        <f>+R18/R20</f>
        <v>0.39237668161434974</v>
      </c>
      <c r="S19" s="2">
        <f t="shared" ref="S19" si="148">+S18/S20</f>
        <v>1.6698425448430492</v>
      </c>
      <c r="T19" s="2">
        <f t="shared" ref="T19" si="149">+T18/T20</f>
        <v>1.6364456939461884</v>
      </c>
      <c r="U19" s="2">
        <f t="shared" ref="U19" si="150">+U18/U20</f>
        <v>1.6037167800672649</v>
      </c>
      <c r="W19" s="2">
        <f t="shared" ref="W19" si="151">+W18/W20</f>
        <v>1.5418023887079262</v>
      </c>
      <c r="X19" s="2">
        <f t="shared" ref="X19" si="152">+X18/X20</f>
        <v>2.1824104234527688</v>
      </c>
      <c r="Y19" s="2">
        <f t="shared" ref="Y19" si="153">+Y18/Y20</f>
        <v>0.99891422366992411</v>
      </c>
      <c r="Z19" s="2">
        <f t="shared" ref="Z19:AG19" si="154">+Z18/Z20</f>
        <v>9.2477162815690495</v>
      </c>
      <c r="AA19" s="2">
        <f t="shared" si="154"/>
        <v>12.296495956873315</v>
      </c>
      <c r="AB19" s="2">
        <f t="shared" si="154"/>
        <v>6.5357719203873046</v>
      </c>
      <c r="AC19" s="2">
        <f t="shared" si="154"/>
        <v>4.0494092373791624</v>
      </c>
      <c r="AD19" s="2">
        <f t="shared" si="154"/>
        <v>7.9395900755124051</v>
      </c>
      <c r="AE19" s="4">
        <f t="shared" si="154"/>
        <v>6.2815479528883902</v>
      </c>
      <c r="AF19" s="2">
        <f t="shared" si="154"/>
        <v>6.6176354198766107</v>
      </c>
      <c r="AG19" s="2">
        <f t="shared" si="154"/>
        <v>6.8499567166358766</v>
      </c>
      <c r="AH19" s="2">
        <f t="shared" ref="AH19" si="155">+AH18/AH20</f>
        <v>7.1016665190859545</v>
      </c>
      <c r="AI19" s="2">
        <f t="shared" ref="AI19" si="156">+AI18/AI20</f>
        <v>7.3728504140031887</v>
      </c>
      <c r="AJ19" s="2">
        <f t="shared" ref="AJ19" si="157">+AJ18/AJ20</f>
        <v>7.6637291266550935</v>
      </c>
      <c r="AK19" s="2">
        <f t="shared" ref="AK19" si="158">+AK18/AK20</f>
        <v>7.9746458155618418</v>
      </c>
      <c r="AL19" s="2">
        <f t="shared" ref="AL19" si="159">+AL18/AL20</f>
        <v>8.3060547039264279</v>
      </c>
      <c r="AM19" s="2">
        <f t="shared" ref="AM19" si="160">+AM18/AM20</f>
        <v>8.6585107182493122</v>
      </c>
      <c r="AN19" s="2">
        <f t="shared" ref="AN19" si="161">+AN18/AN20</f>
        <v>9.0326598195329222</v>
      </c>
      <c r="AO19" s="2">
        <f t="shared" ref="AO19" si="162">+AO18/AO20</f>
        <v>9.4292297203223754</v>
      </c>
      <c r="AP19" s="2">
        <f t="shared" ref="AP19" si="163">+AP18/AP20</f>
        <v>9.8490206817747339</v>
      </c>
      <c r="AQ19" s="2">
        <f t="shared" ref="AQ19" si="164">+AQ18/AQ20</f>
        <v>10.292896079009388</v>
      </c>
      <c r="AR19" s="2">
        <f t="shared" ref="AR19" si="165">+AR18/AR20</f>
        <v>10.761772410030959</v>
      </c>
    </row>
    <row r="20" spans="1:88" s="1" customFormat="1" x14ac:dyDescent="0.25">
      <c r="A20" s="1" t="s">
        <v>20</v>
      </c>
      <c r="B20" s="1">
        <v>185.5</v>
      </c>
      <c r="C20" s="1">
        <v>185.5</v>
      </c>
      <c r="D20" s="1">
        <v>185.5</v>
      </c>
      <c r="E20" s="1">
        <v>185.5</v>
      </c>
      <c r="F20" s="1">
        <v>185.9</v>
      </c>
      <c r="G20" s="1">
        <v>185.9</v>
      </c>
      <c r="H20" s="1">
        <v>185.9</v>
      </c>
      <c r="I20" s="1">
        <v>185.9</v>
      </c>
      <c r="J20" s="1">
        <v>186.7</v>
      </c>
      <c r="K20" s="1">
        <v>186.86</v>
      </c>
      <c r="L20" s="1">
        <v>187.1</v>
      </c>
      <c r="M20" s="1">
        <v>187.1</v>
      </c>
      <c r="N20" s="1">
        <v>184</v>
      </c>
      <c r="O20" s="1">
        <v>180</v>
      </c>
      <c r="P20" s="1">
        <v>177</v>
      </c>
      <c r="Q20" s="1">
        <v>177</v>
      </c>
      <c r="R20" s="7">
        <v>178.4</v>
      </c>
      <c r="S20" s="1">
        <v>178.4</v>
      </c>
      <c r="T20" s="1">
        <v>178.4</v>
      </c>
      <c r="U20" s="1">
        <v>178.4</v>
      </c>
      <c r="W20" s="1">
        <v>184.2</v>
      </c>
      <c r="X20" s="1">
        <v>184.2</v>
      </c>
      <c r="Y20" s="1">
        <v>184.2</v>
      </c>
      <c r="Z20" s="1">
        <v>186.1</v>
      </c>
      <c r="AA20" s="1">
        <v>185.5</v>
      </c>
      <c r="AB20" s="1">
        <v>185.9</v>
      </c>
      <c r="AC20" s="1">
        <v>186.2</v>
      </c>
      <c r="AD20" s="1">
        <v>185.4</v>
      </c>
      <c r="AE20" s="7">
        <v>178.3</v>
      </c>
      <c r="AF20" s="1">
        <v>178.3</v>
      </c>
      <c r="AG20" s="1">
        <v>178.3</v>
      </c>
      <c r="AH20" s="1">
        <v>178.3</v>
      </c>
      <c r="AI20" s="1">
        <v>178.3</v>
      </c>
      <c r="AJ20" s="1">
        <v>178.3</v>
      </c>
      <c r="AK20" s="1">
        <v>178.3</v>
      </c>
      <c r="AL20" s="1">
        <v>178.3</v>
      </c>
      <c r="AM20" s="1">
        <v>178.3</v>
      </c>
      <c r="AN20" s="1">
        <v>178.3</v>
      </c>
      <c r="AO20" s="1">
        <v>178.3</v>
      </c>
      <c r="AP20" s="1">
        <v>178.3</v>
      </c>
      <c r="AQ20" s="1">
        <v>178.3</v>
      </c>
      <c r="AR20" s="1">
        <v>178.3</v>
      </c>
    </row>
    <row r="21" spans="1:88" s="1" customFormat="1" x14ac:dyDescent="0.25">
      <c r="R21" s="7"/>
      <c r="AE21" s="7"/>
    </row>
    <row r="22" spans="1:88" s="1" customFormat="1" x14ac:dyDescent="0.25">
      <c r="A22" s="1" t="s">
        <v>118</v>
      </c>
      <c r="R22" s="7"/>
      <c r="X22" s="1">
        <v>9442</v>
      </c>
      <c r="Y22" s="1">
        <v>5654</v>
      </c>
      <c r="Z22" s="1">
        <v>4523</v>
      </c>
      <c r="AA22" s="1">
        <v>5618</v>
      </c>
      <c r="AB22" s="1">
        <v>4112</v>
      </c>
      <c r="AC22" s="1">
        <v>3311</v>
      </c>
      <c r="AD22" s="1">
        <v>4672</v>
      </c>
      <c r="AE22" s="7">
        <v>5076</v>
      </c>
    </row>
    <row r="23" spans="1:88" x14ac:dyDescent="0.25">
      <c r="A23" s="1" t="s">
        <v>117</v>
      </c>
      <c r="W23" s="1">
        <v>-256</v>
      </c>
      <c r="X23" s="1">
        <v>-863</v>
      </c>
      <c r="Y23" s="1">
        <v>-4</v>
      </c>
      <c r="Z23" s="1">
        <v>279</v>
      </c>
      <c r="AA23" s="1">
        <v>250</v>
      </c>
      <c r="AB23" s="1">
        <v>-1125</v>
      </c>
      <c r="AC23" s="1">
        <v>-170</v>
      </c>
      <c r="AD23" s="1">
        <v>429</v>
      </c>
      <c r="AE23" s="7">
        <v>-123</v>
      </c>
    </row>
    <row r="24" spans="1:88" s="1" customFormat="1" x14ac:dyDescent="0.25">
      <c r="A24" s="1" t="s">
        <v>112</v>
      </c>
      <c r="R24" s="7"/>
      <c r="Z24" s="1">
        <f>4238-3252</f>
        <v>986</v>
      </c>
      <c r="AA24" s="1">
        <f>4328-2919</f>
        <v>1409</v>
      </c>
      <c r="AB24" s="1">
        <f>3530-2563</f>
        <v>967</v>
      </c>
      <c r="AC24" s="1">
        <f>4520-2761</f>
        <v>1759</v>
      </c>
      <c r="AD24" s="1">
        <f>5026-3223</f>
        <v>1803</v>
      </c>
      <c r="AE24" s="7">
        <f>5250-3004</f>
        <v>2246</v>
      </c>
      <c r="AF24" s="17"/>
      <c r="AG24" s="17"/>
      <c r="AV24" s="1" t="s">
        <v>57</v>
      </c>
      <c r="AW24" s="12">
        <v>-0.02</v>
      </c>
    </row>
    <row r="25" spans="1:88" s="1" customFormat="1" x14ac:dyDescent="0.25">
      <c r="A25" s="1" t="s">
        <v>24</v>
      </c>
      <c r="B25" s="1">
        <v>168</v>
      </c>
      <c r="C25" s="1">
        <v>250</v>
      </c>
      <c r="D25" s="1">
        <v>424</v>
      </c>
      <c r="E25" s="1">
        <f>+AB25-D25-C25-B25</f>
        <v>-156</v>
      </c>
      <c r="F25" s="1">
        <v>-90</v>
      </c>
      <c r="G25" s="1">
        <v>198</v>
      </c>
      <c r="H25" s="1">
        <v>356</v>
      </c>
      <c r="I25" s="1">
        <f>+AC25-H25-G25-F25</f>
        <v>-70</v>
      </c>
      <c r="J25" s="1">
        <v>6</v>
      </c>
      <c r="K25" s="1">
        <v>-80</v>
      </c>
      <c r="L25" s="1">
        <v>355</v>
      </c>
      <c r="M25" s="1">
        <v>920</v>
      </c>
      <c r="N25" s="1">
        <v>34</v>
      </c>
      <c r="O25" s="1">
        <v>570</v>
      </c>
      <c r="P25" s="1">
        <v>704</v>
      </c>
      <c r="Q25" s="1">
        <v>822</v>
      </c>
      <c r="R25" s="7">
        <v>-163</v>
      </c>
      <c r="W25" s="1">
        <v>842</v>
      </c>
      <c r="X25" s="1">
        <v>875</v>
      </c>
      <c r="Y25" s="1">
        <v>-311</v>
      </c>
      <c r="Z25" s="1">
        <v>1224</v>
      </c>
      <c r="AA25" s="1">
        <v>448</v>
      </c>
      <c r="AB25" s="1">
        <v>686</v>
      </c>
      <c r="AC25" s="1">
        <v>394</v>
      </c>
      <c r="AD25" s="1">
        <v>920</v>
      </c>
      <c r="AE25" s="7">
        <v>822</v>
      </c>
      <c r="AV25" s="1" t="s">
        <v>63</v>
      </c>
      <c r="AW25" s="13">
        <v>9.6000000000000002E-2</v>
      </c>
    </row>
    <row r="26" spans="1:88" s="1" customFormat="1" x14ac:dyDescent="0.25">
      <c r="A26" s="1" t="s">
        <v>23</v>
      </c>
      <c r="B26" s="1">
        <v>69</v>
      </c>
      <c r="C26" s="1">
        <v>158</v>
      </c>
      <c r="D26" s="1">
        <v>245</v>
      </c>
      <c r="E26" s="1">
        <f>+AB26-D26-C26-B26</f>
        <v>-93</v>
      </c>
      <c r="F26" s="1">
        <v>91</v>
      </c>
      <c r="G26" s="1">
        <v>168</v>
      </c>
      <c r="H26" s="1">
        <v>242</v>
      </c>
      <c r="I26" s="1">
        <f>+AC26-H26-G26-F26</f>
        <v>-148</v>
      </c>
      <c r="J26" s="1">
        <v>75</v>
      </c>
      <c r="K26" s="1">
        <v>154</v>
      </c>
      <c r="L26" s="1">
        <v>237</v>
      </c>
      <c r="M26" s="1">
        <v>390</v>
      </c>
      <c r="N26" s="1">
        <v>74</v>
      </c>
      <c r="O26" s="1">
        <v>181</v>
      </c>
      <c r="P26" s="1">
        <v>309</v>
      </c>
      <c r="Q26" s="1">
        <v>480</v>
      </c>
      <c r="R26" s="7">
        <v>83</v>
      </c>
      <c r="W26" s="1">
        <v>444</v>
      </c>
      <c r="X26" s="1">
        <v>391</v>
      </c>
      <c r="Y26" s="1">
        <v>404</v>
      </c>
      <c r="Z26" s="1">
        <v>405</v>
      </c>
      <c r="AA26" s="1">
        <v>399</v>
      </c>
      <c r="AB26" s="1">
        <v>379</v>
      </c>
      <c r="AC26" s="1">
        <v>353</v>
      </c>
      <c r="AD26" s="1">
        <v>390</v>
      </c>
      <c r="AE26" s="7">
        <v>480</v>
      </c>
      <c r="AV26" s="1" t="s">
        <v>58</v>
      </c>
      <c r="AW26" s="1">
        <f>+NPV(AW25,W18:CJ18)</f>
        <v>12356.862897596648</v>
      </c>
    </row>
    <row r="27" spans="1:88" s="1" customFormat="1" x14ac:dyDescent="0.25">
      <c r="A27" s="1" t="s">
        <v>33</v>
      </c>
      <c r="B27" s="1">
        <f t="shared" ref="B27" si="166">+B25-B26</f>
        <v>99</v>
      </c>
      <c r="C27" s="1">
        <f t="shared" ref="C27" si="167">+C25-C26</f>
        <v>92</v>
      </c>
      <c r="D27" s="1">
        <f t="shared" ref="D27" si="168">+D25-D26</f>
        <v>179</v>
      </c>
      <c r="E27" s="1">
        <f t="shared" ref="E27" si="169">+E25-E26</f>
        <v>-63</v>
      </c>
      <c r="F27" s="1">
        <f t="shared" ref="F27" si="170">+F25-F26</f>
        <v>-181</v>
      </c>
      <c r="G27" s="1">
        <f>+G25-G26</f>
        <v>30</v>
      </c>
      <c r="H27" s="1">
        <f t="shared" ref="H27" si="171">+H25-H26</f>
        <v>114</v>
      </c>
      <c r="I27" s="1">
        <f t="shared" ref="I27" si="172">+I25-I26</f>
        <v>78</v>
      </c>
      <c r="J27" s="1">
        <f t="shared" ref="J27" si="173">+J25-J26</f>
        <v>-69</v>
      </c>
      <c r="K27" s="1">
        <f t="shared" ref="K27" si="174">+K25-K26</f>
        <v>-234</v>
      </c>
      <c r="L27" s="1">
        <f t="shared" ref="L27" si="175">+L25-L26</f>
        <v>118</v>
      </c>
      <c r="M27" s="1">
        <f t="shared" ref="M27" si="176">+M25-M26</f>
        <v>530</v>
      </c>
      <c r="N27" s="1">
        <f t="shared" ref="N27:Q27" si="177">+N25-N26</f>
        <v>-40</v>
      </c>
      <c r="O27" s="1">
        <f t="shared" si="177"/>
        <v>389</v>
      </c>
      <c r="P27" s="1">
        <f t="shared" si="177"/>
        <v>395</v>
      </c>
      <c r="Q27" s="1">
        <f t="shared" si="177"/>
        <v>342</v>
      </c>
      <c r="R27" s="7">
        <f>+R25-R26</f>
        <v>-246</v>
      </c>
      <c r="W27" s="1">
        <f t="shared" ref="W27" si="178">+W25-W26</f>
        <v>398</v>
      </c>
      <c r="X27" s="1">
        <f t="shared" ref="X27" si="179">+X25-X26</f>
        <v>484</v>
      </c>
      <c r="Y27" s="1">
        <f t="shared" ref="Y27:Z27" si="180">+Y25-Y26</f>
        <v>-715</v>
      </c>
      <c r="Z27" s="1">
        <f t="shared" si="180"/>
        <v>819</v>
      </c>
      <c r="AA27" s="1">
        <f t="shared" ref="AA27" si="181">+AA25-AA26</f>
        <v>49</v>
      </c>
      <c r="AB27" s="1">
        <f t="shared" ref="AB27" si="182">+AB25-AB26</f>
        <v>307</v>
      </c>
      <c r="AC27" s="1">
        <f t="shared" ref="AC27" si="183">+AC25-AC26</f>
        <v>41</v>
      </c>
      <c r="AD27" s="1">
        <f t="shared" ref="AD27" si="184">+AD25-AD26</f>
        <v>530</v>
      </c>
      <c r="AE27" s="7">
        <f t="shared" ref="AE27" si="185">+AE25-AE26</f>
        <v>342</v>
      </c>
      <c r="AV27" s="1" t="s">
        <v>59</v>
      </c>
      <c r="AW27" s="1">
        <f>1363-3004</f>
        <v>-1641</v>
      </c>
    </row>
    <row r="28" spans="1:88" x14ac:dyDescent="0.25">
      <c r="AV28" s="1" t="s">
        <v>60</v>
      </c>
      <c r="AW28" s="1">
        <f>+AW27+AW26</f>
        <v>10715.862897596648</v>
      </c>
    </row>
    <row r="29" spans="1:88" x14ac:dyDescent="0.25">
      <c r="A29" t="s">
        <v>21</v>
      </c>
      <c r="F29" s="6">
        <f t="shared" ref="F29:P29" si="186">+F8/B8-1</f>
        <v>-0.12431040823832296</v>
      </c>
      <c r="G29" s="6">
        <f t="shared" si="186"/>
        <v>-0.20767244559203246</v>
      </c>
      <c r="H29" s="5">
        <f t="shared" si="186"/>
        <v>-7.8691079080638882E-2</v>
      </c>
      <c r="I29" s="5">
        <f t="shared" si="186"/>
        <v>-1.8062397372742178E-2</v>
      </c>
      <c r="J29" s="5">
        <f t="shared" si="186"/>
        <v>0.20537589248215027</v>
      </c>
      <c r="K29" s="5">
        <f t="shared" si="186"/>
        <v>0.31890130353817514</v>
      </c>
      <c r="L29" s="5">
        <f t="shared" si="186"/>
        <v>0.31458773784355176</v>
      </c>
      <c r="M29" s="5">
        <f t="shared" si="186"/>
        <v>0.39632107023411378</v>
      </c>
      <c r="N29" s="5">
        <f t="shared" si="186"/>
        <v>0.14738675958188163</v>
      </c>
      <c r="O29" s="5">
        <f t="shared" si="186"/>
        <v>0.28626897282033181</v>
      </c>
      <c r="P29" s="5">
        <f t="shared" si="186"/>
        <v>-8.2984882598906351E-2</v>
      </c>
      <c r="Q29" s="5">
        <f>+Q8/M8-1</f>
        <v>-0.20269461077844309</v>
      </c>
      <c r="R29" s="6">
        <f>+R8/N8-1</f>
        <v>-0.18918918918918914</v>
      </c>
      <c r="S29" s="5">
        <f t="shared" ref="S29" si="187">+S8/O8-1</f>
        <v>-0.28194291986827669</v>
      </c>
      <c r="T29" s="5">
        <f t="shared" ref="T29" si="188">+T8/P8-1</f>
        <v>-0.10057243072606104</v>
      </c>
      <c r="U29" s="5">
        <f t="shared" ref="U29" si="189">+U8/Q8-1</f>
        <v>-5.6333969207660428E-2</v>
      </c>
      <c r="X29" s="5">
        <f>+X8/W8-1</f>
        <v>-0.14817068532745115</v>
      </c>
      <c r="Y29" s="5">
        <f t="shared" ref="Y29:AE29" si="190">+Y8/X8-1</f>
        <v>-0.16796142512724355</v>
      </c>
      <c r="Z29" s="5">
        <f t="shared" si="190"/>
        <v>0.25048293625241458</v>
      </c>
      <c r="AA29" s="5">
        <f t="shared" si="190"/>
        <v>0.15027463096464122</v>
      </c>
      <c r="AB29" s="5">
        <f t="shared" si="190"/>
        <v>-0.22159218085503241</v>
      </c>
      <c r="AC29" s="5">
        <f t="shared" si="190"/>
        <v>-0.10993961468417524</v>
      </c>
      <c r="AD29" s="5">
        <f t="shared" si="190"/>
        <v>0.30863665733362056</v>
      </c>
      <c r="AE29" s="6">
        <f t="shared" si="190"/>
        <v>2.4605003291639171E-2</v>
      </c>
      <c r="AF29" s="5">
        <f t="shared" ref="AF29" si="191">+AF8/AE8-1</f>
        <v>-0.16762905469440215</v>
      </c>
      <c r="AG29" s="5">
        <f t="shared" ref="AG29:AR29" si="192">+AG8/AF8-1</f>
        <v>3.5106391032281525E-2</v>
      </c>
      <c r="AH29" s="5">
        <f t="shared" si="192"/>
        <v>3.6746188751641595E-2</v>
      </c>
      <c r="AI29" s="5">
        <f t="shared" si="192"/>
        <v>3.8185951732374379E-2</v>
      </c>
      <c r="AJ29" s="5">
        <f t="shared" si="192"/>
        <v>3.9452680621248071E-2</v>
      </c>
      <c r="AK29" s="5">
        <f t="shared" si="192"/>
        <v>4.0569895382308596E-2</v>
      </c>
      <c r="AL29" s="5">
        <f t="shared" si="192"/>
        <v>4.1557819121931461E-2</v>
      </c>
      <c r="AM29" s="5">
        <f t="shared" si="192"/>
        <v>4.2433625455930324E-2</v>
      </c>
      <c r="AN29" s="5">
        <f t="shared" si="192"/>
        <v>4.3211715439126053E-2</v>
      </c>
      <c r="AO29" s="5">
        <f t="shared" si="192"/>
        <v>4.3904000450883718E-2</v>
      </c>
      <c r="AP29" s="5">
        <f t="shared" si="192"/>
        <v>4.4520175444193733E-2</v>
      </c>
      <c r="AQ29" s="5">
        <f t="shared" si="192"/>
        <v>4.5067972905776355E-2</v>
      </c>
      <c r="AR29" s="5">
        <f t="shared" si="192"/>
        <v>4.5553392108734325E-2</v>
      </c>
      <c r="AV29" s="1" t="s">
        <v>71</v>
      </c>
      <c r="AW29" s="1">
        <f>+AW28/Main!L3</f>
        <v>60.066496062761473</v>
      </c>
    </row>
    <row r="30" spans="1:88" x14ac:dyDescent="0.25">
      <c r="A30" t="s">
        <v>22</v>
      </c>
      <c r="B30" s="5">
        <f t="shared" ref="B30:E30" si="193">+B10/B8</f>
        <v>0.19823464509010666</v>
      </c>
      <c r="C30" s="5">
        <f t="shared" si="193"/>
        <v>0.19254887495389156</v>
      </c>
      <c r="D30" s="5">
        <f t="shared" si="193"/>
        <v>0.17413322945072068</v>
      </c>
      <c r="E30" s="5">
        <f t="shared" si="193"/>
        <v>0.15927750410509031</v>
      </c>
      <c r="F30" s="5">
        <f t="shared" ref="F30:J30" si="194">+F10/F8</f>
        <v>0.1495170096598068</v>
      </c>
      <c r="G30" s="5">
        <f t="shared" si="194"/>
        <v>0.1005586592178771</v>
      </c>
      <c r="H30" s="5">
        <f t="shared" si="194"/>
        <v>0.13826638477801267</v>
      </c>
      <c r="I30" s="5">
        <f t="shared" si="194"/>
        <v>0.17474916387959866</v>
      </c>
      <c r="J30" s="5">
        <f t="shared" si="194"/>
        <v>0.2013937282229965</v>
      </c>
      <c r="K30" s="5">
        <f>+K10/K8</f>
        <v>0.23896929050476526</v>
      </c>
      <c r="L30" s="5">
        <f t="shared" ref="L30:R30" si="195">+L10/L8</f>
        <v>0.2531360566098424</v>
      </c>
      <c r="M30" s="5">
        <f t="shared" si="195"/>
        <v>0.28652694610778445</v>
      </c>
      <c r="N30" s="5">
        <f t="shared" si="195"/>
        <v>0.33768600060734894</v>
      </c>
      <c r="O30" s="5">
        <f t="shared" si="195"/>
        <v>0.2406695938529089</v>
      </c>
      <c r="P30" s="5">
        <f t="shared" si="195"/>
        <v>6.4188004209049451E-2</v>
      </c>
      <c r="Q30" s="5">
        <f t="shared" si="195"/>
        <v>2.5159594442358244E-2</v>
      </c>
      <c r="R30" s="6">
        <f t="shared" si="195"/>
        <v>9.9625468164794007E-2</v>
      </c>
      <c r="S30" s="5">
        <f t="shared" ref="S30:U30" si="196">+S10/S8</f>
        <v>0.20000000000000004</v>
      </c>
      <c r="T30" s="5">
        <f t="shared" si="196"/>
        <v>0.2</v>
      </c>
      <c r="U30" s="5">
        <f t="shared" si="196"/>
        <v>0.2</v>
      </c>
      <c r="W30" s="5">
        <f t="shared" ref="W30" si="197">+W10/W8</f>
        <v>0.19768768540351411</v>
      </c>
      <c r="X30" s="5">
        <f t="shared" ref="X30:AD30" si="198">+X10/X8</f>
        <v>0.19287436378248057</v>
      </c>
      <c r="Y30" s="5">
        <f t="shared" si="198"/>
        <v>0.15239321742863277</v>
      </c>
      <c r="Z30" s="5">
        <f t="shared" si="198"/>
        <v>0.23189152076896671</v>
      </c>
      <c r="AA30" s="5">
        <f t="shared" si="198"/>
        <v>0.24994404237857196</v>
      </c>
      <c r="AB30" s="5">
        <f t="shared" si="198"/>
        <v>0.18173104572031054</v>
      </c>
      <c r="AC30" s="5">
        <f t="shared" si="198"/>
        <v>0.14182640534137411</v>
      </c>
      <c r="AD30" s="5">
        <f t="shared" si="198"/>
        <v>0.2467906517445688</v>
      </c>
      <c r="AE30" s="6">
        <f>+AE10/AE8</f>
        <v>0.17982491366155329</v>
      </c>
      <c r="AF30" s="5">
        <f t="shared" ref="AF30" si="199">+AF10/AF8</f>
        <v>0.19999999999999998</v>
      </c>
      <c r="AG30" s="5">
        <f t="shared" ref="AG30:AR30" si="200">+AG10/AG8</f>
        <v>0.2</v>
      </c>
      <c r="AH30" s="5">
        <f t="shared" si="200"/>
        <v>0.2</v>
      </c>
      <c r="AI30" s="5">
        <f t="shared" si="200"/>
        <v>0.19999999999999998</v>
      </c>
      <c r="AJ30" s="5">
        <f t="shared" si="200"/>
        <v>0.19999999999999998</v>
      </c>
      <c r="AK30" s="5">
        <f t="shared" si="200"/>
        <v>0.2</v>
      </c>
      <c r="AL30" s="5">
        <f t="shared" si="200"/>
        <v>0.2</v>
      </c>
      <c r="AM30" s="5">
        <f t="shared" si="200"/>
        <v>0.2</v>
      </c>
      <c r="AN30" s="5">
        <f t="shared" si="200"/>
        <v>0.2</v>
      </c>
      <c r="AO30" s="5">
        <f t="shared" si="200"/>
        <v>0.2</v>
      </c>
      <c r="AP30" s="5">
        <f t="shared" si="200"/>
        <v>0.2</v>
      </c>
      <c r="AQ30" s="5">
        <f t="shared" si="200"/>
        <v>0.2</v>
      </c>
      <c r="AR30" s="5">
        <f t="shared" si="200"/>
        <v>0.2</v>
      </c>
      <c r="AV30" s="2" t="s">
        <v>61</v>
      </c>
      <c r="AW30" s="2">
        <f>+Main!$L$2</f>
        <v>34.5</v>
      </c>
    </row>
    <row r="31" spans="1:88" x14ac:dyDescent="0.25">
      <c r="A31" t="s">
        <v>25</v>
      </c>
      <c r="B31" s="5">
        <f t="shared" ref="B31:E31" si="201">+B14/B8</f>
        <v>0.16476645825671202</v>
      </c>
      <c r="C31" s="5">
        <f t="shared" si="201"/>
        <v>0.1648838067133899</v>
      </c>
      <c r="D31" s="5">
        <f t="shared" si="201"/>
        <v>0.14569536423841059</v>
      </c>
      <c r="E31" s="5">
        <f t="shared" si="201"/>
        <v>0.13136288998357964</v>
      </c>
      <c r="F31" s="5">
        <f t="shared" ref="F31:J31" si="202">+F14/F8</f>
        <v>0.12137757244855103</v>
      </c>
      <c r="G31" s="5">
        <f t="shared" si="202"/>
        <v>7.7746741154562385E-2</v>
      </c>
      <c r="H31" s="5">
        <f t="shared" si="202"/>
        <v>0.11585623678646935</v>
      </c>
      <c r="I31" s="5">
        <f t="shared" si="202"/>
        <v>0.14590301003344483</v>
      </c>
      <c r="J31" s="5">
        <f t="shared" si="202"/>
        <v>0.18083623693379791</v>
      </c>
      <c r="K31" s="5">
        <f>+K14/K8</f>
        <v>0.21779032827391459</v>
      </c>
      <c r="L31" s="5">
        <f t="shared" ref="L31:R31" si="203">+L14/L8</f>
        <v>0.23351559987134127</v>
      </c>
      <c r="M31" s="5">
        <f t="shared" si="203"/>
        <v>0.26317365269461079</v>
      </c>
      <c r="N31" s="5">
        <f t="shared" si="203"/>
        <v>0.32159125417552381</v>
      </c>
      <c r="O31" s="5">
        <f t="shared" si="203"/>
        <v>0.22447859495060374</v>
      </c>
      <c r="P31" s="5">
        <f t="shared" si="203"/>
        <v>4.629954401964223E-2</v>
      </c>
      <c r="Q31" s="5">
        <f t="shared" si="203"/>
        <v>-2.6286143447239955E-3</v>
      </c>
      <c r="R31" s="6">
        <f t="shared" si="203"/>
        <v>7.5655430711610488E-2</v>
      </c>
      <c r="S31" s="5">
        <f t="shared" ref="S31:U31" si="204">+S14/S8</f>
        <v>0.17</v>
      </c>
      <c r="T31" s="5">
        <f t="shared" si="204"/>
        <v>0.17</v>
      </c>
      <c r="U31" s="5">
        <f t="shared" si="204"/>
        <v>0.17</v>
      </c>
      <c r="W31" s="5">
        <f t="shared" ref="W31" si="205">+W14/W8</f>
        <v>0.16132958089297939</v>
      </c>
      <c r="X31" s="5">
        <f t="shared" ref="X31:AE31" si="206">+X14/X8</f>
        <v>0.15519242789534779</v>
      </c>
      <c r="Y31" s="5">
        <f t="shared" si="206"/>
        <v>0.11032410388495385</v>
      </c>
      <c r="Z31" s="5">
        <f t="shared" si="206"/>
        <v>0.20511500171644353</v>
      </c>
      <c r="AA31" s="5">
        <f t="shared" si="206"/>
        <v>0.22912780720734163</v>
      </c>
      <c r="AB31" s="5">
        <f t="shared" si="206"/>
        <v>0.15230518546918431</v>
      </c>
      <c r="AC31" s="5">
        <f t="shared" si="206"/>
        <v>0.11619642472539307</v>
      </c>
      <c r="AD31" s="5">
        <f t="shared" si="206"/>
        <v>0.22555957867017776</v>
      </c>
      <c r="AE31" s="6">
        <f t="shared" si="206"/>
        <v>0.16127218697293391</v>
      </c>
      <c r="AF31" s="5">
        <f t="shared" ref="AF31" si="207">+AF14/AF8</f>
        <v>0.17</v>
      </c>
      <c r="AG31" s="5">
        <f t="shared" ref="AG31:AR31" si="208">+AG14/AG8</f>
        <v>0.17</v>
      </c>
      <c r="AH31" s="5">
        <f t="shared" si="208"/>
        <v>0.17</v>
      </c>
      <c r="AI31" s="5">
        <f t="shared" si="208"/>
        <v>0.17</v>
      </c>
      <c r="AJ31" s="5">
        <f t="shared" si="208"/>
        <v>0.17</v>
      </c>
      <c r="AK31" s="5">
        <f t="shared" si="208"/>
        <v>0.16999999999999998</v>
      </c>
      <c r="AL31" s="5">
        <f t="shared" si="208"/>
        <v>0.17</v>
      </c>
      <c r="AM31" s="5">
        <f t="shared" si="208"/>
        <v>0.17</v>
      </c>
      <c r="AN31" s="5">
        <f t="shared" si="208"/>
        <v>0.17</v>
      </c>
      <c r="AO31" s="5">
        <f t="shared" si="208"/>
        <v>0.17</v>
      </c>
      <c r="AP31" s="5">
        <f t="shared" si="208"/>
        <v>0.17</v>
      </c>
      <c r="AQ31" s="5">
        <f t="shared" si="208"/>
        <v>0.17</v>
      </c>
      <c r="AR31" s="5">
        <f t="shared" si="208"/>
        <v>0.17</v>
      </c>
      <c r="AV31" s="1"/>
      <c r="AW31" s="12">
        <f>+AW29/AW30-1</f>
        <v>0.74105785689163683</v>
      </c>
    </row>
    <row r="32" spans="1:88" x14ac:dyDescent="0.25">
      <c r="A32" t="s">
        <v>26</v>
      </c>
      <c r="B32" s="5">
        <f t="shared" ref="B32:E32" si="209">+B18/B8</f>
        <v>0.11364472232438397</v>
      </c>
      <c r="C32" s="5">
        <f t="shared" si="209"/>
        <v>0.12947251936554777</v>
      </c>
      <c r="D32" s="5">
        <f t="shared" si="209"/>
        <v>0.10751850409037787</v>
      </c>
      <c r="E32" s="5">
        <f t="shared" si="209"/>
        <v>0.10919540229885058</v>
      </c>
      <c r="F32" s="5">
        <f t="shared" ref="F32:J32" si="210">+F18/F8</f>
        <v>1.9739605207895843E-2</v>
      </c>
      <c r="G32" s="5">
        <f t="shared" si="210"/>
        <v>6.5642458100558659E-2</v>
      </c>
      <c r="H32" s="5">
        <f t="shared" si="210"/>
        <v>9.9788583509513737E-2</v>
      </c>
      <c r="I32" s="5">
        <f t="shared" si="210"/>
        <v>-4.1806020066889631E-4</v>
      </c>
      <c r="J32" s="5">
        <f t="shared" si="210"/>
        <v>0.12543554006968641</v>
      </c>
      <c r="K32" s="5">
        <f>+K18/K8</f>
        <v>0.11789622308506884</v>
      </c>
      <c r="L32" s="5">
        <f t="shared" ref="L32:R32" si="211">+L18/L8</f>
        <v>0.17980057896429721</v>
      </c>
      <c r="M32" s="5">
        <f t="shared" si="211"/>
        <v>6.55688622754491E-2</v>
      </c>
      <c r="N32" s="5">
        <f t="shared" si="211"/>
        <v>0.254479198299423</v>
      </c>
      <c r="O32" s="5">
        <f t="shared" si="211"/>
        <v>9.5499451152579587E-2</v>
      </c>
      <c r="P32" s="5">
        <f t="shared" si="211"/>
        <v>1.1224131883549631E-2</v>
      </c>
      <c r="Q32" s="5">
        <f t="shared" si="211"/>
        <v>-3.9053698835899361E-2</v>
      </c>
      <c r="R32" s="6">
        <f t="shared" si="211"/>
        <v>2.6217228464419477E-2</v>
      </c>
      <c r="S32" s="5">
        <f t="shared" ref="S32:U32" si="212">+S18/S8</f>
        <v>0.11384999999999999</v>
      </c>
      <c r="T32" s="5">
        <f t="shared" si="212"/>
        <v>0.11385000000000001</v>
      </c>
      <c r="U32" s="5">
        <f t="shared" si="212"/>
        <v>0.11385000000000002</v>
      </c>
      <c r="W32" s="5">
        <f t="shared" ref="W32" si="213">+W18/W8</f>
        <v>2.1601886361907661E-2</v>
      </c>
      <c r="X32" s="5">
        <f t="shared" ref="X32:AE32" si="214">+X18/X8</f>
        <v>3.5896062148406106E-2</v>
      </c>
      <c r="Y32" s="5">
        <f t="shared" si="214"/>
        <v>1.9746726765400301E-2</v>
      </c>
      <c r="Z32" s="5">
        <f t="shared" si="214"/>
        <v>0.14769996567112942</v>
      </c>
      <c r="AA32" s="5">
        <f t="shared" si="214"/>
        <v>0.17018577930314108</v>
      </c>
      <c r="AB32" s="5">
        <f t="shared" si="214"/>
        <v>0.11645739480494585</v>
      </c>
      <c r="AC32" s="5">
        <f t="shared" si="214"/>
        <v>8.1197501615334913E-2</v>
      </c>
      <c r="AD32" s="5">
        <f t="shared" si="214"/>
        <v>0.12113232389730086</v>
      </c>
      <c r="AE32" s="6">
        <f t="shared" si="214"/>
        <v>8.9952614247851573E-2</v>
      </c>
      <c r="AF32" s="5">
        <f t="shared" ref="AF32" si="215">+AF18/AF8</f>
        <v>0.11384999999999999</v>
      </c>
      <c r="AG32" s="5">
        <f t="shared" ref="AG32:AR32" si="216">+AG18/AG8</f>
        <v>0.11385000000000001</v>
      </c>
      <c r="AH32" s="5">
        <f t="shared" si="216"/>
        <v>0.11385000000000001</v>
      </c>
      <c r="AI32" s="5">
        <f t="shared" si="216"/>
        <v>0.11384999999999999</v>
      </c>
      <c r="AJ32" s="5">
        <f t="shared" si="216"/>
        <v>0.11384999999999999</v>
      </c>
      <c r="AK32" s="5">
        <f t="shared" si="216"/>
        <v>0.11385000000000001</v>
      </c>
      <c r="AL32" s="5">
        <f t="shared" si="216"/>
        <v>0.11385000000000001</v>
      </c>
      <c r="AM32" s="5">
        <f t="shared" si="216"/>
        <v>0.11385000000000002</v>
      </c>
      <c r="AN32" s="5">
        <f t="shared" si="216"/>
        <v>0.11384999999999999</v>
      </c>
      <c r="AO32" s="5">
        <f t="shared" si="216"/>
        <v>0.11385000000000002</v>
      </c>
      <c r="AP32" s="5">
        <f t="shared" si="216"/>
        <v>0.11385000000000001</v>
      </c>
      <c r="AQ32" s="5">
        <f t="shared" si="216"/>
        <v>0.11385000000000001</v>
      </c>
      <c r="AR32" s="5">
        <f t="shared" si="216"/>
        <v>0.11385000000000002</v>
      </c>
    </row>
    <row r="33" spans="1:44" x14ac:dyDescent="0.25">
      <c r="A33" t="s">
        <v>27</v>
      </c>
      <c r="B33" s="5">
        <f t="shared" ref="B33:E33" si="217">+B17/B16</f>
        <v>0.32679738562091504</v>
      </c>
      <c r="C33" s="5">
        <f t="shared" si="217"/>
        <v>0.24839400428265523</v>
      </c>
      <c r="D33" s="5">
        <f t="shared" si="217"/>
        <v>0.2560646900269542</v>
      </c>
      <c r="E33" s="5">
        <f t="shared" si="217"/>
        <v>0.16875000000000001</v>
      </c>
      <c r="F33" s="5">
        <f t="shared" ref="F33:J33" si="218">+F17/F16</f>
        <v>0.62992125984251968</v>
      </c>
      <c r="G33" s="5">
        <f t="shared" si="218"/>
        <v>0.24193548387096775</v>
      </c>
      <c r="H33" s="5">
        <f t="shared" si="218"/>
        <v>0.15107913669064749</v>
      </c>
      <c r="I33" s="5">
        <f t="shared" si="218"/>
        <v>1.0028571428571429</v>
      </c>
      <c r="J33" s="5">
        <f t="shared" si="218"/>
        <v>0.20529801324503311</v>
      </c>
      <c r="K33" s="5">
        <f>+K17/K16</f>
        <v>0.24943820224719102</v>
      </c>
      <c r="L33" s="5">
        <f t="shared" ref="L33:R33" si="219">+L17/L16</f>
        <v>0.18513119533527697</v>
      </c>
      <c r="M33" s="5">
        <f t="shared" si="219"/>
        <v>0.57640232108317213</v>
      </c>
      <c r="N33" s="5">
        <f t="shared" si="219"/>
        <v>0.20038167938931298</v>
      </c>
      <c r="O33" s="5">
        <f t="shared" si="219"/>
        <v>0.40206185567010311</v>
      </c>
      <c r="P33" s="5">
        <f t="shared" si="219"/>
        <v>0.55555555555555558</v>
      </c>
      <c r="Q33" s="5">
        <f t="shared" si="219"/>
        <v>2.3684210526315788</v>
      </c>
      <c r="R33" s="6">
        <f t="shared" si="219"/>
        <v>0.42622950819672129</v>
      </c>
      <c r="S33" s="5">
        <f t="shared" ref="S33:U33" si="220">+S17/S16</f>
        <v>0.25</v>
      </c>
      <c r="T33" s="5">
        <f t="shared" si="220"/>
        <v>0.25</v>
      </c>
      <c r="U33" s="5">
        <f t="shared" si="220"/>
        <v>0.25</v>
      </c>
      <c r="W33" s="5">
        <f t="shared" ref="W33" si="221">+W17/W16</f>
        <v>0.16191562143671609</v>
      </c>
      <c r="X33" s="5">
        <f t="shared" ref="X33:AE33" si="222">+X17/X16</f>
        <v>0.28190743338008417</v>
      </c>
      <c r="Y33" s="5">
        <f t="shared" si="222"/>
        <v>0.21052631578947367</v>
      </c>
      <c r="Z33" s="5">
        <f t="shared" si="222"/>
        <v>0.25594466061392129</v>
      </c>
      <c r="AA33" s="5">
        <f t="shared" si="222"/>
        <v>0.24294722867573848</v>
      </c>
      <c r="AB33" s="5">
        <f t="shared" si="222"/>
        <v>0.254601226993865</v>
      </c>
      <c r="AC33" s="5">
        <f t="shared" si="222"/>
        <v>0.19872476089266738</v>
      </c>
      <c r="AD33" s="5">
        <f t="shared" si="222"/>
        <v>0.29938124702522606</v>
      </c>
      <c r="AE33" s="6">
        <f t="shared" si="222"/>
        <v>0.37219730941704038</v>
      </c>
      <c r="AF33" s="5">
        <f t="shared" ref="AF33" si="223">+AF17/AF16</f>
        <v>0.25</v>
      </c>
      <c r="AG33" s="5">
        <f t="shared" ref="AG33:AR33" si="224">+AG17/AG16</f>
        <v>0.25</v>
      </c>
      <c r="AH33" s="5">
        <f t="shared" si="224"/>
        <v>0.25</v>
      </c>
      <c r="AI33" s="5">
        <f t="shared" si="224"/>
        <v>0.25</v>
      </c>
      <c r="AJ33" s="5">
        <f t="shared" si="224"/>
        <v>0.25</v>
      </c>
      <c r="AK33" s="5">
        <f t="shared" si="224"/>
        <v>0.25</v>
      </c>
      <c r="AL33" s="5">
        <f t="shared" si="224"/>
        <v>0.25</v>
      </c>
      <c r="AM33" s="5">
        <f t="shared" si="224"/>
        <v>0.25</v>
      </c>
      <c r="AN33" s="5">
        <f t="shared" si="224"/>
        <v>0.25</v>
      </c>
      <c r="AO33" s="5">
        <f t="shared" si="224"/>
        <v>0.25</v>
      </c>
      <c r="AP33" s="5">
        <f t="shared" si="224"/>
        <v>0.25</v>
      </c>
      <c r="AQ33" s="5">
        <f t="shared" si="224"/>
        <v>0.25</v>
      </c>
      <c r="AR33" s="5">
        <f t="shared" si="224"/>
        <v>0.25</v>
      </c>
    </row>
    <row r="34" spans="1:44" x14ac:dyDescent="0.25">
      <c r="W34" s="14"/>
    </row>
    <row r="35" spans="1:44" x14ac:dyDescent="0.25">
      <c r="A35" s="1" t="s">
        <v>53</v>
      </c>
      <c r="B35" s="5">
        <f>+B3/B$8</f>
        <v>0.62743655755792571</v>
      </c>
      <c r="C35" s="5">
        <f t="shared" ref="C35:R35" si="225">+C3/C$8</f>
        <v>0.63039468830689782</v>
      </c>
      <c r="D35" s="5">
        <f t="shared" si="225"/>
        <v>0.63693026879626025</v>
      </c>
      <c r="E35" s="5">
        <f t="shared" si="225"/>
        <v>0.65517241379310343</v>
      </c>
      <c r="F35" s="5">
        <f t="shared" si="225"/>
        <v>0.65896682066358669</v>
      </c>
      <c r="G35" s="5">
        <f t="shared" si="225"/>
        <v>0.68575418994413406</v>
      </c>
      <c r="H35" s="5">
        <f t="shared" si="225"/>
        <v>0.67441860465116277</v>
      </c>
      <c r="I35" s="5">
        <f t="shared" si="225"/>
        <v>0.69732441471571904</v>
      </c>
      <c r="J35" s="5">
        <f t="shared" si="225"/>
        <v>0.71324041811846695</v>
      </c>
      <c r="K35" s="5">
        <f t="shared" si="225"/>
        <v>0.74549947052594423</v>
      </c>
      <c r="L35" s="5">
        <f t="shared" si="225"/>
        <v>0.72531360566098424</v>
      </c>
      <c r="M35" s="5">
        <f t="shared" si="225"/>
        <v>0.69640718562874249</v>
      </c>
      <c r="N35" s="5">
        <f t="shared" si="225"/>
        <v>0.74309140601275436</v>
      </c>
      <c r="O35" s="5">
        <f t="shared" si="225"/>
        <v>0.72008781558726676</v>
      </c>
      <c r="P35" s="5">
        <f t="shared" si="225"/>
        <v>0.69800070150824267</v>
      </c>
      <c r="Q35" s="5">
        <f t="shared" si="225"/>
        <v>0.68569282763800221</v>
      </c>
      <c r="R35" s="6">
        <f t="shared" si="225"/>
        <v>0.69138576779026217</v>
      </c>
      <c r="S35" s="5">
        <f t="shared" ref="S35:U35" si="226">+S3/S$8</f>
        <v>0.69</v>
      </c>
      <c r="T35" s="5">
        <f t="shared" si="226"/>
        <v>0.69</v>
      </c>
      <c r="U35" s="5">
        <f t="shared" si="226"/>
        <v>0.69</v>
      </c>
      <c r="W35" s="5"/>
      <c r="X35" s="5"/>
      <c r="Y35" s="5"/>
      <c r="Z35" s="5">
        <f t="shared" ref="Z35:AE35" si="227">+Z3/Z$8</f>
        <v>0.67233093031239277</v>
      </c>
      <c r="AA35" s="5">
        <f t="shared" si="227"/>
        <v>0.64694471387002905</v>
      </c>
      <c r="AB35" s="5">
        <f t="shared" si="227"/>
        <v>0.63701715709767082</v>
      </c>
      <c r="AC35" s="5">
        <f t="shared" si="227"/>
        <v>0.6789791083351282</v>
      </c>
      <c r="AD35" s="5">
        <f t="shared" si="227"/>
        <v>0.71922317314022388</v>
      </c>
      <c r="AE35" s="6">
        <f t="shared" si="227"/>
        <v>0.71375793108987229</v>
      </c>
      <c r="AF35" s="5">
        <f t="shared" ref="AF35:AR35" si="228">+AF3/AF$8</f>
        <v>0.6903570101623927</v>
      </c>
      <c r="AG35" s="5">
        <f t="shared" si="228"/>
        <v>0.6869513381693424</v>
      </c>
      <c r="AH35" s="5">
        <f t="shared" si="228"/>
        <v>0.68248129194128404</v>
      </c>
      <c r="AI35" s="5">
        <f t="shared" si="228"/>
        <v>0.67710002194359487</v>
      </c>
      <c r="AJ35" s="5">
        <f t="shared" si="228"/>
        <v>0.67094254082358129</v>
      </c>
      <c r="AK35" s="5">
        <f t="shared" si="228"/>
        <v>0.66412724422936265</v>
      </c>
      <c r="AL35" s="5">
        <f t="shared" si="228"/>
        <v>0.65675764609296672</v>
      </c>
      <c r="AM35" s="5">
        <f t="shared" si="228"/>
        <v>0.6489241702845987</v>
      </c>
      <c r="AN35" s="5">
        <f t="shared" si="228"/>
        <v>0.64070589459569671</v>
      </c>
      <c r="AO35" s="5">
        <f t="shared" si="228"/>
        <v>0.63217218359976735</v>
      </c>
      <c r="AP35" s="5">
        <f t="shared" si="228"/>
        <v>0.62338417621359687</v>
      </c>
      <c r="AQ35" s="5">
        <f t="shared" si="228"/>
        <v>0.61439611407735251</v>
      </c>
      <c r="AR35" s="5">
        <f t="shared" si="228"/>
        <v>0.60525651035701578</v>
      </c>
    </row>
    <row r="36" spans="1:44" x14ac:dyDescent="0.25">
      <c r="A36" s="1" t="s">
        <v>52</v>
      </c>
      <c r="B36" s="5">
        <f t="shared" ref="B36:R36" si="229">+B4/B$8</f>
        <v>0.3299006987863185</v>
      </c>
      <c r="C36" s="5">
        <f t="shared" si="229"/>
        <v>0.31796385097749907</v>
      </c>
      <c r="D36" s="5">
        <f t="shared" si="229"/>
        <v>0.29996104402025708</v>
      </c>
      <c r="E36" s="5">
        <f t="shared" si="229"/>
        <v>0.29433497536945813</v>
      </c>
      <c r="F36" s="5">
        <f t="shared" si="229"/>
        <v>0.29693406131877365</v>
      </c>
      <c r="G36" s="5">
        <f t="shared" si="229"/>
        <v>0.27932960893854747</v>
      </c>
      <c r="H36" s="5">
        <f t="shared" si="229"/>
        <v>0.29471458773784354</v>
      </c>
      <c r="I36" s="5">
        <f t="shared" si="229"/>
        <v>0.25919732441471571</v>
      </c>
      <c r="J36" s="5">
        <f t="shared" si="229"/>
        <v>0.26480836236933797</v>
      </c>
      <c r="K36" s="5">
        <f t="shared" si="229"/>
        <v>0.24144016943169785</v>
      </c>
      <c r="L36" s="5">
        <f t="shared" si="229"/>
        <v>0.24187841749758765</v>
      </c>
      <c r="M36" s="5">
        <f t="shared" si="229"/>
        <v>0.27814371257485032</v>
      </c>
      <c r="N36" s="5">
        <f t="shared" si="229"/>
        <v>0.25812329183115701</v>
      </c>
      <c r="O36" s="5">
        <f t="shared" si="229"/>
        <v>0.29198682766190998</v>
      </c>
      <c r="P36" s="5">
        <f t="shared" si="229"/>
        <v>0.28796913363732024</v>
      </c>
      <c r="Q36" s="5">
        <f t="shared" si="229"/>
        <v>0.2790086368757041</v>
      </c>
      <c r="R36" s="6">
        <f t="shared" si="229"/>
        <v>0.26741573033707866</v>
      </c>
      <c r="S36" s="5">
        <f t="shared" ref="S36:U36" si="230">+S4/S$8</f>
        <v>0.28000000000000003</v>
      </c>
      <c r="T36" s="5">
        <f t="shared" si="230"/>
        <v>0.28000000000000003</v>
      </c>
      <c r="U36" s="5">
        <f t="shared" si="230"/>
        <v>0.28000000000000003</v>
      </c>
      <c r="W36" s="5"/>
      <c r="X36" s="5"/>
      <c r="Y36" s="5"/>
      <c r="Z36" s="5">
        <f t="shared" ref="Z36:AE36" si="231">+Z4/Z$8</f>
        <v>0.2678510127016821</v>
      </c>
      <c r="AA36" s="5">
        <f t="shared" si="231"/>
        <v>0.31403417145415208</v>
      </c>
      <c r="AB36" s="5">
        <f t="shared" si="231"/>
        <v>0.31112815105913927</v>
      </c>
      <c r="AC36" s="5">
        <f t="shared" si="231"/>
        <v>0.28257592074090027</v>
      </c>
      <c r="AD36" s="5">
        <f t="shared" si="231"/>
        <v>0.25715931533903885</v>
      </c>
      <c r="AE36" s="6">
        <f t="shared" si="231"/>
        <v>0.27933499317323912</v>
      </c>
      <c r="AF36" s="5">
        <f t="shared" ref="AF36:AR36" si="232">+AF4/AF$8</f>
        <v>0.27675796176854212</v>
      </c>
      <c r="AG36" s="5">
        <f t="shared" si="232"/>
        <v>0.28876123391716535</v>
      </c>
      <c r="AH36" s="5">
        <f t="shared" si="232"/>
        <v>0.30080856434693576</v>
      </c>
      <c r="AI36" s="5">
        <f t="shared" si="232"/>
        <v>0.3129239506203963</v>
      </c>
      <c r="AJ36" s="5">
        <f t="shared" si="232"/>
        <v>0.32513059321569238</v>
      </c>
      <c r="AK36" s="5">
        <f t="shared" si="232"/>
        <v>0.33745070103526059</v>
      </c>
      <c r="AL36" s="5">
        <f t="shared" si="232"/>
        <v>0.34990544972848692</v>
      </c>
      <c r="AM36" s="5">
        <f t="shared" si="232"/>
        <v>0.3625150575332643</v>
      </c>
      <c r="AN36" s="5">
        <f t="shared" si="232"/>
        <v>0.37529895067476493</v>
      </c>
      <c r="AO36" s="5">
        <f t="shared" si="232"/>
        <v>0.38827599717376193</v>
      </c>
      <c r="AP36" s="5">
        <f t="shared" si="232"/>
        <v>0.40146479388905509</v>
      </c>
      <c r="AQ36" s="5">
        <f t="shared" si="232"/>
        <v>0.41488399667881837</v>
      </c>
      <c r="AR36" s="5">
        <f t="shared" si="232"/>
        <v>0.42855268778710581</v>
      </c>
    </row>
    <row r="37" spans="1:44" x14ac:dyDescent="0.25">
      <c r="A37" s="1" t="s">
        <v>54</v>
      </c>
      <c r="B37" s="5">
        <f t="shared" ref="B37:R37" si="233">+B5/B$8</f>
        <v>2.5376976829716808E-2</v>
      </c>
      <c r="C37" s="5">
        <f t="shared" si="233"/>
        <v>3.1353744005901879E-2</v>
      </c>
      <c r="D37" s="5">
        <f t="shared" si="233"/>
        <v>2.7658745617452279E-2</v>
      </c>
      <c r="E37" s="5">
        <f t="shared" si="233"/>
        <v>2.6683087027914613E-2</v>
      </c>
      <c r="F37" s="5">
        <f t="shared" si="233"/>
        <v>2.1839563208735827E-2</v>
      </c>
      <c r="G37" s="5">
        <f t="shared" si="233"/>
        <v>1.0242085661080074E-2</v>
      </c>
      <c r="H37" s="5">
        <f t="shared" si="233"/>
        <v>1.0993657505285413E-2</v>
      </c>
      <c r="I37" s="5">
        <f t="shared" si="233"/>
        <v>1.7140468227424748E-2</v>
      </c>
      <c r="J37" s="5">
        <f t="shared" si="233"/>
        <v>1.3588850174216028E-2</v>
      </c>
      <c r="K37" s="5">
        <f t="shared" si="233"/>
        <v>1.729615248852806E-2</v>
      </c>
      <c r="L37" s="5">
        <f t="shared" si="233"/>
        <v>3.7632679318108715E-2</v>
      </c>
      <c r="M37" s="5">
        <f t="shared" si="233"/>
        <v>2.4251497005988023E-2</v>
      </c>
      <c r="N37" s="5">
        <f t="shared" si="233"/>
        <v>1.2450652900091102E-2</v>
      </c>
      <c r="O37" s="5">
        <f t="shared" si="233"/>
        <v>1.0976948408342482E-2</v>
      </c>
      <c r="P37" s="5">
        <f t="shared" si="233"/>
        <v>2.5955804980708524E-2</v>
      </c>
      <c r="Q37" s="5">
        <f t="shared" si="233"/>
        <v>1.7273751408186256E-2</v>
      </c>
      <c r="R37" s="6">
        <f t="shared" si="233"/>
        <v>1.0486891385767791E-2</v>
      </c>
      <c r="S37" s="5">
        <f t="shared" ref="S37:U37" si="234">+S5/S$8</f>
        <v>0.02</v>
      </c>
      <c r="T37" s="5">
        <f t="shared" si="234"/>
        <v>0.02</v>
      </c>
      <c r="U37" s="5">
        <f t="shared" si="234"/>
        <v>0.02</v>
      </c>
      <c r="W37" s="5"/>
      <c r="X37" s="5"/>
      <c r="Y37" s="5"/>
      <c r="Z37" s="5">
        <f t="shared" ref="Z37:AE37" si="235">+Z5/Z$8</f>
        <v>3.8276690696876073E-2</v>
      </c>
      <c r="AA37" s="5">
        <f t="shared" si="235"/>
        <v>2.4994404237857197E-2</v>
      </c>
      <c r="AB37" s="5">
        <f t="shared" si="235"/>
        <v>2.7796415220933575E-2</v>
      </c>
      <c r="AC37" s="5">
        <f t="shared" si="235"/>
        <v>1.5184148180055998E-2</v>
      </c>
      <c r="AD37" s="5">
        <f t="shared" si="235"/>
        <v>2.3535220539828833E-2</v>
      </c>
      <c r="AE37" s="6">
        <f t="shared" si="235"/>
        <v>1.6143281664123363E-2</v>
      </c>
      <c r="AF37" s="5">
        <f t="shared" ref="AF37:AR37" si="236">+AF5/AF$8</f>
        <v>1.7549173479790712E-2</v>
      </c>
      <c r="AG37" s="5">
        <f t="shared" si="236"/>
        <v>1.4580423155893099E-2</v>
      </c>
      <c r="AH37" s="5">
        <f t="shared" si="236"/>
        <v>1.2094728729281965E-2</v>
      </c>
      <c r="AI37" s="5">
        <f t="shared" si="236"/>
        <v>1.0018886009607458E-2</v>
      </c>
      <c r="AJ37" s="5">
        <f t="shared" si="236"/>
        <v>8.289210397834328E-3</v>
      </c>
      <c r="AK37" s="5">
        <f t="shared" si="236"/>
        <v>6.8507852992598919E-3</v>
      </c>
      <c r="AL37" s="5">
        <f t="shared" si="236"/>
        <v>5.656599421749231E-3</v>
      </c>
      <c r="AM37" s="5">
        <f t="shared" si="236"/>
        <v>4.6666525176379163E-3</v>
      </c>
      <c r="AN37" s="5">
        <f t="shared" si="236"/>
        <v>3.8470821461962339E-3</v>
      </c>
      <c r="AO37" s="5">
        <f t="shared" si="236"/>
        <v>3.1693437751936534E-3</v>
      </c>
      <c r="AP37" s="5">
        <f t="shared" si="236"/>
        <v>2.6094619431428745E-3</v>
      </c>
      <c r="AQ37" s="5">
        <f t="shared" si="236"/>
        <v>2.1473601041118156E-3</v>
      </c>
      <c r="AR37" s="5">
        <f t="shared" si="236"/>
        <v>1.7662700953143741E-3</v>
      </c>
    </row>
    <row r="38" spans="1:44" x14ac:dyDescent="0.25">
      <c r="A38" s="1" t="s">
        <v>55</v>
      </c>
      <c r="B38" s="5">
        <f t="shared" ref="B38:R38" si="237">+B6/B$8</f>
        <v>2.1331371827877896E-2</v>
      </c>
      <c r="C38" s="5">
        <f t="shared" si="237"/>
        <v>2.3238657322021395E-2</v>
      </c>
      <c r="D38" s="5">
        <f t="shared" si="237"/>
        <v>3.7008180755746009E-2</v>
      </c>
      <c r="E38" s="5">
        <f t="shared" si="237"/>
        <v>2.4630541871921183E-2</v>
      </c>
      <c r="F38" s="5">
        <f t="shared" si="237"/>
        <v>2.4779504409911803E-2</v>
      </c>
      <c r="G38" s="5">
        <f t="shared" si="237"/>
        <v>2.8398510242085662E-2</v>
      </c>
      <c r="H38" s="5">
        <f t="shared" si="237"/>
        <v>2.1141649048625793E-2</v>
      </c>
      <c r="I38" s="5">
        <f t="shared" si="237"/>
        <v>2.8428093645484948E-2</v>
      </c>
      <c r="J38" s="5">
        <f t="shared" si="237"/>
        <v>1.8118466898954706E-2</v>
      </c>
      <c r="K38" s="5">
        <f t="shared" si="237"/>
        <v>1.200141193081539E-2</v>
      </c>
      <c r="L38" s="5">
        <f t="shared" si="237"/>
        <v>1.6725635252492762E-2</v>
      </c>
      <c r="M38" s="5">
        <f t="shared" si="237"/>
        <v>2.065868263473054E-2</v>
      </c>
      <c r="N38" s="5">
        <f t="shared" si="237"/>
        <v>8.5028849073792902E-3</v>
      </c>
      <c r="O38" s="5">
        <f t="shared" si="237"/>
        <v>7.4094401756311743E-3</v>
      </c>
      <c r="P38" s="5">
        <f t="shared" si="237"/>
        <v>1.8239214310768151E-2</v>
      </c>
      <c r="Q38" s="5">
        <f t="shared" si="237"/>
        <v>2.2906496432594819E-2</v>
      </c>
      <c r="R38" s="6">
        <f t="shared" si="237"/>
        <v>4.7565543071161051E-2</v>
      </c>
      <c r="S38" s="5">
        <f t="shared" ref="S38:U38" si="238">+S6/S$8</f>
        <v>0.02</v>
      </c>
      <c r="T38" s="5">
        <f t="shared" si="238"/>
        <v>0.02</v>
      </c>
      <c r="U38" s="5">
        <f t="shared" si="238"/>
        <v>0.02</v>
      </c>
      <c r="W38" s="5"/>
      <c r="X38" s="5"/>
      <c r="Y38" s="5"/>
      <c r="Z38" s="5">
        <f t="shared" ref="Z38:AE38" si="239">+Z6/Z$8</f>
        <v>2.8578784757981462E-2</v>
      </c>
      <c r="AA38" s="5">
        <f t="shared" si="239"/>
        <v>1.895098112362904E-2</v>
      </c>
      <c r="AB38" s="5">
        <f t="shared" si="239"/>
        <v>2.6454519313716094E-2</v>
      </c>
      <c r="AC38" s="5">
        <f t="shared" si="239"/>
        <v>2.5629980615981048E-2</v>
      </c>
      <c r="AD38" s="5">
        <f t="shared" si="239"/>
        <v>1.7034233048057932E-2</v>
      </c>
      <c r="AE38" s="6">
        <f t="shared" si="239"/>
        <v>1.3492892137177737E-2</v>
      </c>
      <c r="AF38" s="5">
        <f t="shared" ref="AF38:AR38" si="240">+AF6/AF$8</f>
        <v>2.7101607554622192E-2</v>
      </c>
      <c r="AG38" s="5">
        <f t="shared" si="240"/>
        <v>2.2778719923666254E-2</v>
      </c>
      <c r="AH38" s="5">
        <f t="shared" si="240"/>
        <v>1.9115079996051984E-2</v>
      </c>
      <c r="AI38" s="5">
        <f t="shared" si="240"/>
        <v>1.6018440211809159E-2</v>
      </c>
      <c r="AJ38" s="5">
        <f t="shared" si="240"/>
        <v>1.3407097065683484E-2</v>
      </c>
      <c r="AK38" s="5">
        <f t="shared" si="240"/>
        <v>1.1209409861755781E-2</v>
      </c>
      <c r="AL38" s="5">
        <f t="shared" si="240"/>
        <v>9.3630774986154432E-3</v>
      </c>
      <c r="AM38" s="5">
        <f t="shared" si="240"/>
        <v>7.8142888188518136E-3</v>
      </c>
      <c r="AN38" s="5">
        <f t="shared" si="240"/>
        <v>6.5168279571509299E-3</v>
      </c>
      <c r="AO38" s="5">
        <f t="shared" si="240"/>
        <v>5.4311893816600711E-3</v>
      </c>
      <c r="AP38" s="5">
        <f t="shared" si="240"/>
        <v>4.5237371887382125E-3</v>
      </c>
      <c r="AQ38" s="5">
        <f t="shared" si="240"/>
        <v>3.7659285866921163E-3</v>
      </c>
      <c r="AR38" s="5">
        <f t="shared" si="240"/>
        <v>3.1336112485027545E-3</v>
      </c>
    </row>
    <row r="39" spans="1:44" x14ac:dyDescent="0.25">
      <c r="A39" s="1" t="s">
        <v>56</v>
      </c>
      <c r="B39" s="5">
        <f t="shared" ref="B39:R39" si="241">+B7/B$8</f>
        <v>-4.0456050018389117E-3</v>
      </c>
      <c r="C39" s="5">
        <f t="shared" si="241"/>
        <v>-2.9509406123201772E-3</v>
      </c>
      <c r="D39" s="5">
        <f t="shared" si="241"/>
        <v>-1.5582391897156214E-3</v>
      </c>
      <c r="E39" s="5">
        <f t="shared" si="241"/>
        <v>-8.2101806239737272E-4</v>
      </c>
      <c r="F39" s="5">
        <f t="shared" si="241"/>
        <v>-2.51994960100798E-3</v>
      </c>
      <c r="G39" s="5">
        <f t="shared" si="241"/>
        <v>-3.7243947858472998E-3</v>
      </c>
      <c r="H39" s="5">
        <f t="shared" si="241"/>
        <v>-1.2684989429175475E-3</v>
      </c>
      <c r="I39" s="5">
        <f t="shared" si="241"/>
        <v>-2.0903010033444815E-3</v>
      </c>
      <c r="J39" s="5">
        <f t="shared" si="241"/>
        <v>-9.7560975609756097E-3</v>
      </c>
      <c r="K39" s="5">
        <f t="shared" si="241"/>
        <v>-1.6237204376985528E-2</v>
      </c>
      <c r="L39" s="5">
        <f t="shared" si="241"/>
        <v>-2.1550337729173367E-2</v>
      </c>
      <c r="M39" s="5">
        <f t="shared" si="241"/>
        <v>-1.9461077844311378E-2</v>
      </c>
      <c r="N39" s="5">
        <f t="shared" si="241"/>
        <v>-2.2168235651381717E-2</v>
      </c>
      <c r="O39" s="5">
        <f t="shared" si="241"/>
        <v>-3.0461031833150385E-2</v>
      </c>
      <c r="P39" s="5">
        <f t="shared" si="241"/>
        <v>-3.0164854437039635E-2</v>
      </c>
      <c r="Q39" s="5">
        <f t="shared" si="241"/>
        <v>-4.8817123544874202E-3</v>
      </c>
      <c r="R39" s="6">
        <f t="shared" si="241"/>
        <v>-1.6853932584269662E-2</v>
      </c>
      <c r="S39" s="5">
        <f t="shared" ref="S39:U39" si="242">+S7/S$8</f>
        <v>-0.01</v>
      </c>
      <c r="T39" s="5">
        <f t="shared" si="242"/>
        <v>-0.01</v>
      </c>
      <c r="U39" s="5">
        <f t="shared" si="242"/>
        <v>-0.01</v>
      </c>
      <c r="W39" s="5"/>
      <c r="X39" s="5"/>
      <c r="Y39" s="5"/>
      <c r="Z39" s="5">
        <f t="shared" ref="Z39:AE39" si="243">+Z7/Z$8</f>
        <v>-7.0374184689323722E-3</v>
      </c>
      <c r="AA39" s="5">
        <f t="shared" si="243"/>
        <v>-4.924270685667388E-3</v>
      </c>
      <c r="AB39" s="5">
        <f t="shared" si="243"/>
        <v>-2.3962426914597912E-3</v>
      </c>
      <c r="AC39" s="5">
        <f t="shared" si="243"/>
        <v>-2.3691578720654747E-3</v>
      </c>
      <c r="AD39" s="5">
        <f t="shared" si="243"/>
        <v>-1.695194206714944E-2</v>
      </c>
      <c r="AE39" s="6">
        <f t="shared" si="243"/>
        <v>-2.2729098064412496E-2</v>
      </c>
      <c r="AF39" s="5">
        <f t="shared" ref="AF39:AR39" si="244">+AF7/AF$8</f>
        <v>-1.1765752965347638E-2</v>
      </c>
      <c r="AG39" s="5">
        <f t="shared" si="244"/>
        <v>-1.307171516606722E-2</v>
      </c>
      <c r="AH39" s="5">
        <f t="shared" si="244"/>
        <v>-1.4499665013553684E-2</v>
      </c>
      <c r="AI39" s="5">
        <f t="shared" si="244"/>
        <v>-1.6061298785407907E-2</v>
      </c>
      <c r="AJ39" s="5">
        <f t="shared" si="244"/>
        <v>-1.7769441502791507E-2</v>
      </c>
      <c r="AK39" s="5">
        <f t="shared" si="244"/>
        <v>-1.9638140425638974E-2</v>
      </c>
      <c r="AL39" s="5">
        <f t="shared" si="244"/>
        <v>-2.1682772741818384E-2</v>
      </c>
      <c r="AM39" s="5">
        <f t="shared" si="244"/>
        <v>-2.3920169154352831E-2</v>
      </c>
      <c r="AN39" s="5">
        <f t="shared" si="244"/>
        <v>-2.6368755373808801E-2</v>
      </c>
      <c r="AO39" s="5">
        <f t="shared" si="244"/>
        <v>-2.9048713930382997E-2</v>
      </c>
      <c r="AP39" s="5">
        <f t="shared" si="244"/>
        <v>-3.1982169234533134E-2</v>
      </c>
      <c r="AQ39" s="5">
        <f t="shared" si="244"/>
        <v>-3.519339944697468E-2</v>
      </c>
      <c r="AR39" s="5">
        <f t="shared" si="244"/>
        <v>-3.8709079487938634E-2</v>
      </c>
    </row>
    <row r="40" spans="1:44" x14ac:dyDescent="0.25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  <c r="S40" s="5"/>
      <c r="T40" s="5"/>
      <c r="U40" s="5"/>
      <c r="W40" s="5"/>
      <c r="X40" s="5"/>
      <c r="Y40" s="5"/>
      <c r="Z40" s="5"/>
      <c r="AA40" s="5"/>
      <c r="AB40" s="5"/>
      <c r="AC40" s="5"/>
      <c r="AD40" s="5"/>
      <c r="AE40" s="6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2" spans="1:44" x14ac:dyDescent="0.25">
      <c r="A42" s="8" t="s">
        <v>70</v>
      </c>
    </row>
    <row r="43" spans="1:44" x14ac:dyDescent="0.25">
      <c r="A43" s="1" t="s">
        <v>64</v>
      </c>
      <c r="W43" s="1">
        <v>6096</v>
      </c>
      <c r="X43" s="1">
        <v>5386</v>
      </c>
      <c r="Y43" s="1">
        <v>4365</v>
      </c>
      <c r="Z43" s="1">
        <v>5313</v>
      </c>
      <c r="AA43" s="1">
        <v>5887</v>
      </c>
      <c r="AB43" s="1">
        <v>4606</v>
      </c>
      <c r="AC43" s="1">
        <v>4246</v>
      </c>
      <c r="AD43" s="1">
        <v>5290</v>
      </c>
      <c r="AE43" s="7">
        <v>5462</v>
      </c>
      <c r="AF43" s="1"/>
    </row>
    <row r="44" spans="1:44" x14ac:dyDescent="0.25">
      <c r="A44" s="1" t="s">
        <v>65</v>
      </c>
      <c r="W44" s="1">
        <v>2663</v>
      </c>
      <c r="X44" s="1">
        <v>2852</v>
      </c>
      <c r="Y44" s="1">
        <v>2663</v>
      </c>
      <c r="Z44" s="1">
        <v>3303</v>
      </c>
      <c r="AA44" s="1">
        <v>3806</v>
      </c>
      <c r="AB44" s="1">
        <v>3077</v>
      </c>
      <c r="AC44" s="1">
        <v>2766</v>
      </c>
      <c r="AD44" s="1">
        <v>1465</v>
      </c>
      <c r="AE44" s="7">
        <v>618</v>
      </c>
      <c r="AF44" s="1"/>
    </row>
    <row r="45" spans="1:44" x14ac:dyDescent="0.25">
      <c r="A45" s="1" t="s">
        <v>66</v>
      </c>
      <c r="W45" s="1">
        <v>2656</v>
      </c>
      <c r="X45" s="1">
        <v>2147</v>
      </c>
      <c r="Y45" s="1">
        <v>1644</v>
      </c>
      <c r="Z45" s="1">
        <v>2266</v>
      </c>
      <c r="AA45" s="1">
        <v>2930</v>
      </c>
      <c r="AB45" s="1">
        <v>2249</v>
      </c>
      <c r="AC45" s="1">
        <v>1884</v>
      </c>
      <c r="AD45" s="1">
        <v>2092</v>
      </c>
      <c r="AE45" s="7">
        <v>2742</v>
      </c>
      <c r="AF45" s="1"/>
    </row>
    <row r="46" spans="1:44" x14ac:dyDescent="0.25">
      <c r="A46" s="1" t="s">
        <v>67</v>
      </c>
      <c r="W46" s="1">
        <v>1025</v>
      </c>
      <c r="X46" s="1">
        <v>562</v>
      </c>
      <c r="Y46" s="1">
        <v>432</v>
      </c>
      <c r="Z46" s="1">
        <v>569</v>
      </c>
      <c r="AA46" s="1">
        <v>498</v>
      </c>
      <c r="AB46" s="1">
        <v>428</v>
      </c>
      <c r="AC46" s="1">
        <v>346</v>
      </c>
      <c r="AD46" s="1">
        <v>610</v>
      </c>
      <c r="AE46" s="7">
        <v>527</v>
      </c>
      <c r="AF46" s="1"/>
    </row>
    <row r="47" spans="1:44" x14ac:dyDescent="0.25">
      <c r="A47" s="1" t="s">
        <v>68</v>
      </c>
      <c r="W47" s="1">
        <v>18</v>
      </c>
      <c r="X47" s="1">
        <v>132</v>
      </c>
      <c r="Y47" s="1">
        <v>141</v>
      </c>
      <c r="Z47" s="1">
        <v>150</v>
      </c>
      <c r="AA47" s="1">
        <v>216</v>
      </c>
      <c r="AB47" s="1">
        <v>5</v>
      </c>
      <c r="AC47" s="1">
        <v>31</v>
      </c>
      <c r="AD47" s="1">
        <v>11</v>
      </c>
      <c r="AE47" s="7">
        <v>1</v>
      </c>
      <c r="AF47" s="1"/>
    </row>
    <row r="48" spans="1:44" x14ac:dyDescent="0.25">
      <c r="A48" s="1" t="s">
        <v>69</v>
      </c>
      <c r="W48" s="1"/>
      <c r="X48" s="1"/>
      <c r="Y48" s="1"/>
      <c r="Z48" s="1"/>
      <c r="AA48" s="1"/>
      <c r="AB48" s="1"/>
      <c r="AC48" s="1"/>
      <c r="AD48" s="1">
        <v>2644</v>
      </c>
      <c r="AE48" s="7">
        <v>3031</v>
      </c>
      <c r="AF48" s="1"/>
    </row>
    <row r="50" spans="1:32" x14ac:dyDescent="0.25">
      <c r="A50" s="8" t="s">
        <v>114</v>
      </c>
    </row>
    <row r="51" spans="1:32" x14ac:dyDescent="0.25">
      <c r="A51" s="1" t="s">
        <v>106</v>
      </c>
      <c r="Z51" s="2">
        <f>1404/4523</f>
        <v>0.31041344240548308</v>
      </c>
      <c r="AA51" s="2">
        <f>1802/5618</f>
        <v>0.32075471698113206</v>
      </c>
      <c r="AB51" s="2">
        <f>1800/4112</f>
        <v>0.4377431906614786</v>
      </c>
      <c r="AC51" s="2">
        <f>2465/3311</f>
        <v>0.74448807006946538</v>
      </c>
      <c r="AD51" s="2">
        <f>1727/4672</f>
        <v>0.36964897260273971</v>
      </c>
      <c r="AE51" s="4">
        <f>1807/5076</f>
        <v>0.35598896769109534</v>
      </c>
    </row>
    <row r="52" spans="1:32" x14ac:dyDescent="0.25">
      <c r="A52" s="1" t="s">
        <v>102</v>
      </c>
      <c r="W52" s="23">
        <f t="shared" ref="W52:AD52" si="245">+W$14/(-W$15)</f>
        <v>5.7792915531335147</v>
      </c>
      <c r="X52" s="23">
        <f t="shared" si="245"/>
        <v>5.5705128205128203</v>
      </c>
      <c r="Y52" s="23">
        <f t="shared" si="245"/>
        <v>6.6753246753246751</v>
      </c>
      <c r="Z52" s="23">
        <f t="shared" si="245"/>
        <v>31.038961038961038</v>
      </c>
      <c r="AA52" s="23">
        <f>+AA$14/(-AA$15)</f>
        <v>52.948275862068968</v>
      </c>
      <c r="AB52" s="23">
        <f>+AB$14/(AB$15)</f>
        <v>38.756097560975611</v>
      </c>
      <c r="AC52" s="23">
        <f t="shared" si="245"/>
        <v>7.8188405797101446</v>
      </c>
      <c r="AD52" s="23">
        <f t="shared" si="245"/>
        <v>4.2828125000000004</v>
      </c>
      <c r="AE52" s="24">
        <f>+AE$14/(-AE$15)</f>
        <v>8.9642857142857135</v>
      </c>
      <c r="AF52" s="21"/>
    </row>
    <row r="53" spans="1:32" x14ac:dyDescent="0.25">
      <c r="A53" s="1" t="s">
        <v>103</v>
      </c>
      <c r="Z53" s="20">
        <f>4238/3252</f>
        <v>1.3031980319803198</v>
      </c>
      <c r="AA53" s="20">
        <f>4328/2919</f>
        <v>1.4826995546420008</v>
      </c>
      <c r="AB53" s="20">
        <f>3530/2563</f>
        <v>1.3772922356613344</v>
      </c>
      <c r="AC53" s="20">
        <f>4520/2761</f>
        <v>1.6370880115900037</v>
      </c>
      <c r="AD53" s="20">
        <f>5026/3223</f>
        <v>1.5594166925224946</v>
      </c>
      <c r="AE53" s="25">
        <f>5250/3004</f>
        <v>1.7476697736351532</v>
      </c>
    </row>
    <row r="54" spans="1:32" x14ac:dyDescent="0.25">
      <c r="A54" s="1" t="s">
        <v>104</v>
      </c>
      <c r="Z54" s="18">
        <f>+(1358+811)/3252</f>
        <v>0.66697416974169743</v>
      </c>
      <c r="AA54" s="18">
        <f>+(1113+830)/2919</f>
        <v>0.66563891743747861</v>
      </c>
      <c r="AB54" s="18">
        <f>+(879+546)/2563</f>
        <v>0.55598907530238006</v>
      </c>
      <c r="AC54" s="18">
        <f>+(1607+471)/2761</f>
        <v>0.75262586019558131</v>
      </c>
      <c r="AD54" s="18">
        <f>+(1814+757)/3223</f>
        <v>0.79770400248215945</v>
      </c>
      <c r="AE54" s="19">
        <f>+(1363+778)/3004</f>
        <v>0.71271637816245004</v>
      </c>
    </row>
    <row r="55" spans="1:32" x14ac:dyDescent="0.25">
      <c r="A55" s="1" t="s">
        <v>105</v>
      </c>
      <c r="Z55" s="26">
        <f>+Z24/17447</f>
        <v>5.6514013870579471E-2</v>
      </c>
      <c r="AA55" s="26">
        <f>+AA24/16132</f>
        <v>8.7341929085048356E-2</v>
      </c>
      <c r="AB55" s="26">
        <f>+AB24/14631</f>
        <v>6.6092543230127809E-2</v>
      </c>
      <c r="AC55" s="26">
        <f>+AC24/14860</f>
        <v>0.11837146702557201</v>
      </c>
      <c r="AD55" s="26">
        <f>+AD24/15025</f>
        <v>0.12</v>
      </c>
      <c r="AE55" s="27">
        <f>+AE24/14756</f>
        <v>0.15220927080509622</v>
      </c>
    </row>
    <row r="56" spans="1:32" x14ac:dyDescent="0.25">
      <c r="A56" s="1" t="s">
        <v>107</v>
      </c>
      <c r="Z56" s="18">
        <f>4523/184</f>
        <v>24.581521739130434</v>
      </c>
      <c r="AA56" s="18">
        <f>5618/184</f>
        <v>30.532608695652176</v>
      </c>
      <c r="AB56" s="18">
        <f>4112/184</f>
        <v>22.347826086956523</v>
      </c>
      <c r="AC56" s="18">
        <f>3311/184</f>
        <v>17.994565217391305</v>
      </c>
      <c r="AD56" s="18">
        <f>4672/184</f>
        <v>25.391304347826086</v>
      </c>
      <c r="AE56" s="19">
        <f>5076/184</f>
        <v>27.586956521739129</v>
      </c>
    </row>
    <row r="57" spans="1:32" x14ac:dyDescent="0.25">
      <c r="A57" s="1" t="s">
        <v>113</v>
      </c>
      <c r="Z57" s="23">
        <f>53.87/Model!Z56</f>
        <v>2.1914835286314394</v>
      </c>
      <c r="AA57" s="23">
        <f>26.58/Model!AA56</f>
        <v>0.87054467782128864</v>
      </c>
      <c r="AB57" s="23">
        <f>21.51/Model!AB56</f>
        <v>0.96250972762645914</v>
      </c>
      <c r="AC57" s="23">
        <f>23.05/Model!AC56</f>
        <v>1.280942313500453</v>
      </c>
      <c r="AD57" s="23">
        <f>59.58/Model!AD56</f>
        <v>2.346472602739726</v>
      </c>
      <c r="AE57" s="24">
        <f>+Main!$L$2/Model!AE56</f>
        <v>1.2505910165484635</v>
      </c>
    </row>
    <row r="58" spans="1:32" x14ac:dyDescent="0.25">
      <c r="A58" s="1"/>
      <c r="Z58" s="23"/>
      <c r="AA58" s="23"/>
      <c r="AB58" s="23"/>
      <c r="AC58" s="23"/>
      <c r="AD58" s="23"/>
      <c r="AE58" s="24"/>
    </row>
    <row r="59" spans="1:32" x14ac:dyDescent="0.25">
      <c r="A59" s="1" t="s">
        <v>115</v>
      </c>
      <c r="X59" s="1">
        <v>16413</v>
      </c>
      <c r="Y59" s="1">
        <v>16741</v>
      </c>
      <c r="Z59" s="1">
        <v>17447</v>
      </c>
      <c r="AA59" s="1">
        <v>16132</v>
      </c>
      <c r="AB59" s="1">
        <v>14631</v>
      </c>
      <c r="AC59" s="1">
        <v>14860</v>
      </c>
      <c r="AD59" s="1">
        <v>15025</v>
      </c>
      <c r="AE59" s="7">
        <v>14756</v>
      </c>
    </row>
    <row r="60" spans="1:32" x14ac:dyDescent="0.25">
      <c r="A60" s="1" t="s">
        <v>116</v>
      </c>
      <c r="X60" s="1"/>
      <c r="Y60" s="1">
        <f>+(X59+Y59)/2</f>
        <v>16577</v>
      </c>
      <c r="Z60" s="1">
        <f t="shared" ref="Z60:AE60" si="246">+(Y59+Z59)/2</f>
        <v>17094</v>
      </c>
      <c r="AA60" s="1">
        <f t="shared" si="246"/>
        <v>16789.5</v>
      </c>
      <c r="AB60" s="1">
        <f t="shared" si="246"/>
        <v>15381.5</v>
      </c>
      <c r="AC60" s="1">
        <f t="shared" si="246"/>
        <v>14745.5</v>
      </c>
      <c r="AD60" s="1">
        <f t="shared" si="246"/>
        <v>14942.5</v>
      </c>
      <c r="AE60" s="7">
        <f t="shared" si="246"/>
        <v>14890.5</v>
      </c>
    </row>
    <row r="61" spans="1:32" x14ac:dyDescent="0.25">
      <c r="A61" s="1" t="s">
        <v>108</v>
      </c>
      <c r="Y61" s="5">
        <f>+Y$8/Y$60</f>
        <v>0.5621041201664958</v>
      </c>
      <c r="Z61" s="5">
        <f>+Z$8/Z$60</f>
        <v>0.6816426816426816</v>
      </c>
      <c r="AA61" s="5">
        <f>+AA$8/AA$60</f>
        <v>0.7982965543941154</v>
      </c>
      <c r="AB61" s="5">
        <f>+AB$8/AB$60</f>
        <v>0.67828235217631572</v>
      </c>
      <c r="AC61" s="5">
        <f>+AC$8/AC$60</f>
        <v>0.62975144959479168</v>
      </c>
      <c r="AD61" s="5">
        <f t="shared" ref="AD61:AE61" si="247">+AD$8/AD$60</f>
        <v>0.81325079471306672</v>
      </c>
      <c r="AE61" s="6">
        <f t="shared" si="247"/>
        <v>0.83617071287062217</v>
      </c>
    </row>
    <row r="62" spans="1:32" x14ac:dyDescent="0.25">
      <c r="A62" s="1" t="s">
        <v>109</v>
      </c>
      <c r="X62" s="29">
        <f>+X$23/X$59</f>
        <v>-5.2580271735819167E-2</v>
      </c>
      <c r="Y62" s="29">
        <f>+Y$23/Y$59</f>
        <v>-2.389343527865719E-4</v>
      </c>
      <c r="Z62" s="29">
        <f>+Z$23/Z$59</f>
        <v>1.5991287900498655E-2</v>
      </c>
      <c r="AA62" s="29">
        <f>+AA$23/AA$59</f>
        <v>1.5497148524671461E-2</v>
      </c>
      <c r="AB62" s="29">
        <f>+AB$23/AB$59</f>
        <v>-7.6891531679311051E-2</v>
      </c>
      <c r="AC62" s="29">
        <f>+AC$23/AC$59</f>
        <v>-1.1440107671601614E-2</v>
      </c>
      <c r="AD62" s="29">
        <f>+AD$23/AD$59</f>
        <v>2.8552412645590681E-2</v>
      </c>
      <c r="AE62" s="28">
        <f>+AE$23/AE$59</f>
        <v>-8.335592301436703E-3</v>
      </c>
    </row>
    <row r="63" spans="1:32" x14ac:dyDescent="0.25">
      <c r="A63" s="1" t="s">
        <v>110</v>
      </c>
      <c r="X63" s="30">
        <f t="shared" ref="X63:AE63" si="248">+X$23/X$22</f>
        <v>-9.1400127091717853E-2</v>
      </c>
      <c r="Y63" s="30">
        <f t="shared" si="248"/>
        <v>-7.0746374248319773E-4</v>
      </c>
      <c r="Z63" s="30">
        <f t="shared" si="248"/>
        <v>6.1684722529294717E-2</v>
      </c>
      <c r="AA63" s="30">
        <f t="shared" si="248"/>
        <v>4.4499822000711994E-2</v>
      </c>
      <c r="AB63" s="30">
        <f t="shared" si="248"/>
        <v>-0.27358949416342415</v>
      </c>
      <c r="AC63" s="30">
        <f t="shared" si="248"/>
        <v>-5.1344004832376923E-2</v>
      </c>
      <c r="AD63" s="30">
        <f t="shared" si="248"/>
        <v>9.1823630136986301E-2</v>
      </c>
      <c r="AE63" s="27">
        <f>+AE$23/AE$22</f>
        <v>-2.4231678486997636E-2</v>
      </c>
    </row>
    <row r="64" spans="1:32" x14ac:dyDescent="0.25">
      <c r="A64" s="1"/>
      <c r="X64" s="30"/>
      <c r="Y64" s="30"/>
      <c r="Z64" s="30"/>
      <c r="AA64" s="30"/>
      <c r="AB64" s="30"/>
      <c r="AC64" s="30"/>
      <c r="AD64" s="30"/>
      <c r="AE64" s="27"/>
    </row>
    <row r="65" spans="1:31" x14ac:dyDescent="0.25">
      <c r="A65" s="1" t="s">
        <v>120</v>
      </c>
      <c r="B65" s="22">
        <f t="shared" ref="B65:Q65" si="249">+(B$27/B$20)*4</f>
        <v>2.1347708894878705</v>
      </c>
      <c r="C65" s="22">
        <f t="shared" si="249"/>
        <v>1.9838274932614555</v>
      </c>
      <c r="D65" s="22">
        <f t="shared" si="249"/>
        <v>3.8598382749326148</v>
      </c>
      <c r="E65" s="22">
        <f t="shared" si="249"/>
        <v>-1.3584905660377358</v>
      </c>
      <c r="F65" s="22">
        <f t="shared" si="249"/>
        <v>-3.8945669714900482</v>
      </c>
      <c r="G65" s="22">
        <f t="shared" si="249"/>
        <v>0.64550833781603012</v>
      </c>
      <c r="H65" s="22">
        <f t="shared" si="249"/>
        <v>2.4529316837009145</v>
      </c>
      <c r="I65" s="22">
        <f t="shared" si="249"/>
        <v>1.6783216783216783</v>
      </c>
      <c r="J65" s="22">
        <f t="shared" si="249"/>
        <v>-1.4783074450990896</v>
      </c>
      <c r="K65" s="22">
        <f t="shared" si="249"/>
        <v>-5.0090977202183451</v>
      </c>
      <c r="L65" s="22">
        <f t="shared" si="249"/>
        <v>2.522715125601283</v>
      </c>
      <c r="M65" s="22">
        <f t="shared" si="249"/>
        <v>11.330839123463388</v>
      </c>
      <c r="N65" s="22">
        <f t="shared" si="249"/>
        <v>-0.86956521739130432</v>
      </c>
      <c r="O65" s="22">
        <f>+(O$27/O$20)*4</f>
        <v>8.6444444444444439</v>
      </c>
      <c r="P65" s="22">
        <f t="shared" si="249"/>
        <v>8.9265536723163841</v>
      </c>
      <c r="Q65" s="22">
        <f t="shared" si="249"/>
        <v>7.7288135593220337</v>
      </c>
      <c r="R65" s="19">
        <f>+(R$27/R$20)*4</f>
        <v>-5.5156950672645735</v>
      </c>
      <c r="W65" s="22">
        <f t="shared" ref="W65:AD65" si="250">+W$27/W$20</f>
        <v>2.1606948968512487</v>
      </c>
      <c r="X65" s="22">
        <f t="shared" si="250"/>
        <v>2.6275787187839308</v>
      </c>
      <c r="Y65" s="22">
        <f t="shared" si="250"/>
        <v>-3.8816503800217159</v>
      </c>
      <c r="Z65" s="22">
        <f t="shared" si="250"/>
        <v>4.4008597528210638</v>
      </c>
      <c r="AA65" s="22">
        <f t="shared" si="250"/>
        <v>0.26415094339622641</v>
      </c>
      <c r="AB65" s="22">
        <f t="shared" si="250"/>
        <v>1.6514254975793436</v>
      </c>
      <c r="AC65" s="22">
        <f t="shared" si="250"/>
        <v>0.22019334049409239</v>
      </c>
      <c r="AD65" s="22">
        <f t="shared" si="250"/>
        <v>2.8586839266450914</v>
      </c>
      <c r="AE65" s="19">
        <f>+AE$27/AE$20</f>
        <v>1.9181155356141333</v>
      </c>
    </row>
    <row r="66" spans="1:31" x14ac:dyDescent="0.25">
      <c r="A66" s="1" t="s">
        <v>119</v>
      </c>
      <c r="B66" s="18">
        <f>+Main!$L$2/Model!B65</f>
        <v>16.160984848484848</v>
      </c>
      <c r="C66" s="18">
        <f>+Main!$L$2/Model!C65</f>
        <v>17.390625</v>
      </c>
      <c r="D66" s="18">
        <f>+Main!$L$2/Model!D65</f>
        <v>8.9381983240223466</v>
      </c>
      <c r="E66" s="18">
        <f>+Main!$L$2/Model!E65</f>
        <v>-25.395833333333336</v>
      </c>
      <c r="F66" s="18">
        <f>+Main!$L$2/Model!F65</f>
        <v>-8.8584944751381229</v>
      </c>
      <c r="G66" s="18">
        <f>+Main!$L$2/Model!G65</f>
        <v>53.446249999999999</v>
      </c>
      <c r="H66" s="18">
        <f>+Main!$L$2/Model!H65</f>
        <v>14.064802631578948</v>
      </c>
      <c r="I66" s="18">
        <f>+Main!$L$2/Model!I65</f>
        <v>20.556249999999999</v>
      </c>
      <c r="J66" s="18">
        <f>+Main!$L$2/Model!J65</f>
        <v>-23.337499999999999</v>
      </c>
      <c r="K66" s="18">
        <f>+Main!$L$2/Model!K65</f>
        <v>-6.8874679487179487</v>
      </c>
      <c r="L66" s="18">
        <f>+Main!$L$2/Model!L65</f>
        <v>13.675741525423728</v>
      </c>
      <c r="M66" s="18">
        <f>+Main!$L$2/Model!M65</f>
        <v>3.0447877358490567</v>
      </c>
      <c r="N66" s="18">
        <f>+Main!$L$2/Model!N65</f>
        <v>-39.675000000000004</v>
      </c>
      <c r="O66" s="18">
        <f>+Main!$L$2/Model!O65</f>
        <v>3.9910025706940875</v>
      </c>
      <c r="P66" s="18">
        <f>+Main!$L$2/Model!P65</f>
        <v>3.8648734177215189</v>
      </c>
      <c r="Q66" s="18">
        <f>+Main!$L$2/Model!Q65</f>
        <v>4.4638157894736841</v>
      </c>
      <c r="R66" s="19">
        <f>+Main!$L$2/Model!R65</f>
        <v>-6.2548780487804887</v>
      </c>
      <c r="W66" s="18">
        <f>+Main!$L$2/Model!W65</f>
        <v>15.967085427135677</v>
      </c>
      <c r="X66" s="18">
        <f>+Main!$L$2/Model!X65</f>
        <v>13.129958677685948</v>
      </c>
      <c r="Y66" s="18">
        <f>+Main!$L$2/Model!Y65</f>
        <v>-8.8879720279720278</v>
      </c>
      <c r="Z66" s="18">
        <f>+Main!$L$2/Model!Z65</f>
        <v>7.8393772893772899</v>
      </c>
      <c r="AA66" s="18">
        <f>+Main!$L$2/Model!AA65</f>
        <v>130.60714285714286</v>
      </c>
      <c r="AB66" s="18">
        <f>+Main!$L$2/Model!AB65</f>
        <v>20.891042345276873</v>
      </c>
      <c r="AC66" s="18">
        <f>+Main!$L$2/Model!AC65</f>
        <v>156.68048780487803</v>
      </c>
      <c r="AD66" s="18">
        <f>+Main!$L$2/Model!AD65</f>
        <v>12.068490566037736</v>
      </c>
      <c r="AE66" s="19">
        <f>+Main!$L$2/Model!AE65</f>
        <v>17.986403508771932</v>
      </c>
    </row>
    <row r="67" spans="1:31" x14ac:dyDescent="0.25">
      <c r="A67" s="1" t="s">
        <v>111</v>
      </c>
      <c r="B67" s="26">
        <f>+B65/Main!$L$2</f>
        <v>6.1877417086604942E-2</v>
      </c>
      <c r="C67" s="26">
        <f>+C65/Main!$L$2</f>
        <v>5.7502246181491461E-2</v>
      </c>
      <c r="D67" s="26">
        <f>+D65/Main!$L$2</f>
        <v>0.11187937028790187</v>
      </c>
      <c r="E67" s="26">
        <f>+E65/Main!$L$2</f>
        <v>-3.937653814602133E-2</v>
      </c>
      <c r="F67" s="26">
        <f>+F65/Main!$L$2</f>
        <v>-0.11288599917362459</v>
      </c>
      <c r="G67" s="26">
        <f>+G65/Main!$L$2</f>
        <v>1.8710386603363192E-2</v>
      </c>
      <c r="H67" s="26">
        <f>+H65/Main!$L$2</f>
        <v>7.1099469092780129E-2</v>
      </c>
      <c r="I67" s="26">
        <f>+I65/Main!$L$2</f>
        <v>4.8647005168744296E-2</v>
      </c>
      <c r="J67" s="26">
        <f>+J65/Main!$L$2</f>
        <v>-4.2849491162292454E-2</v>
      </c>
      <c r="K67" s="26">
        <f>+K65/Main!$L$2</f>
        <v>-0.1451912382671984</v>
      </c>
      <c r="L67" s="26">
        <f>+L65/Main!$L$2</f>
        <v>7.3122177553660378E-2</v>
      </c>
      <c r="M67" s="26">
        <f>+M65/Main!$L$2</f>
        <v>0.32843011952067791</v>
      </c>
      <c r="N67" s="26">
        <f>+N65/Main!$L$2</f>
        <v>-2.5204788909892879E-2</v>
      </c>
      <c r="O67" s="26">
        <f>+O65/Main!$L$2</f>
        <v>0.2505636070853462</v>
      </c>
      <c r="P67" s="26">
        <f>+P65/Main!$L$2</f>
        <v>0.25874068615409807</v>
      </c>
      <c r="Q67" s="26">
        <f>+Q65/Main!$L$2</f>
        <v>0.22402358142962417</v>
      </c>
      <c r="R67" s="27">
        <f>+R65/Main!$L$2</f>
        <v>-0.15987521934100213</v>
      </c>
      <c r="W67" s="26">
        <f>+W65/Main!$L$2</f>
        <v>6.2628837589891267E-2</v>
      </c>
      <c r="X67" s="26">
        <f>+X65/Main!$L$2</f>
        <v>7.6161701993737119E-2</v>
      </c>
      <c r="Y67" s="26">
        <f>+Y65/Main!$L$2</f>
        <v>-0.11251160521802075</v>
      </c>
      <c r="Z67" s="26">
        <f>+Z65/Main!$L$2</f>
        <v>0.12756115225568301</v>
      </c>
      <c r="AA67" s="26">
        <f>+AA65/Main!$L$2</f>
        <v>7.6565490839485915E-3</v>
      </c>
      <c r="AB67" s="26">
        <f>+AB65/Main!$L$2</f>
        <v>4.7867405726937498E-2</v>
      </c>
      <c r="AC67" s="26">
        <f>+AC65/Main!$L$2</f>
        <v>6.3824156664954316E-3</v>
      </c>
      <c r="AD67" s="26">
        <f>+AD65/Main!$L$2</f>
        <v>8.2860403670872218E-2</v>
      </c>
      <c r="AE67" s="27">
        <f>+AE65/Main!$L$2</f>
        <v>5.5597551756931402E-2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Oyima</dc:creator>
  <cp:lastModifiedBy>Rohan Oyima</cp:lastModifiedBy>
  <dcterms:created xsi:type="dcterms:W3CDTF">2023-05-21T18:56:57Z</dcterms:created>
  <dcterms:modified xsi:type="dcterms:W3CDTF">2023-05-25T10:24:18Z</dcterms:modified>
</cp:coreProperties>
</file>