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3820" windowHeight="14445"/>
  </bookViews>
  <sheets>
    <sheet name="EPA Monthly Summary" sheetId="1" r:id="rId1"/>
    <sheet name="Turbidity Daily Data Sheet" sheetId="2" r:id="rId2"/>
    <sheet name="Unit(1) DI Testing" sheetId="3" r:id="rId3"/>
    <sheet name="Unit(2) DI Testing" sheetId="4" r:id="rId4"/>
    <sheet name="Unit(3) DI Testing" sheetId="5" r:id="rId5"/>
    <sheet name="Unit(4) DI Testing" sheetId="6" r:id="rId6"/>
    <sheet name="Operational Worksheet" sheetId="7" r:id="rId7"/>
    <sheet name="Disinfection Report" sheetId="8" r:id="rId8"/>
    <sheet name="Sequence 1" sheetId="9" r:id="rId9"/>
    <sheet name="Sequence 2" sheetId="10" r:id="rId10"/>
    <sheet name="CT Description" sheetId="14" r:id="rId11"/>
  </sheets>
  <externalReferences>
    <externalReference r:id="rId12"/>
  </externalReferences>
  <definedNames>
    <definedName name="_xlnm.Print_Area" localSheetId="6">'Operational Worksheet'!$B$1:$O$206</definedName>
  </definedNames>
  <calcPr calcId="144525"/>
</workbook>
</file>

<file path=xl/calcChain.xml><?xml version="1.0" encoding="utf-8"?>
<calcChain xmlns="http://schemas.openxmlformats.org/spreadsheetml/2006/main">
  <c r="H29" i="8" l="1"/>
  <c r="F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B15" i="8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H14" i="8"/>
  <c r="D14" i="8"/>
  <c r="B14" i="8"/>
  <c r="E51" i="8"/>
  <c r="I47" i="10"/>
  <c r="H47" i="10"/>
  <c r="G47" i="10"/>
  <c r="F47" i="10"/>
  <c r="D47" i="10"/>
  <c r="C47" i="10"/>
  <c r="H46" i="10"/>
  <c r="F46" i="10"/>
  <c r="D46" i="10"/>
  <c r="C46" i="10"/>
  <c r="G46" i="10" s="1"/>
  <c r="I46" i="10" s="1"/>
  <c r="H45" i="10"/>
  <c r="G45" i="10"/>
  <c r="I45" i="10" s="1"/>
  <c r="F45" i="10"/>
  <c r="D45" i="10"/>
  <c r="C45" i="10"/>
  <c r="H44" i="10"/>
  <c r="F44" i="10"/>
  <c r="D44" i="10"/>
  <c r="C44" i="10"/>
  <c r="G44" i="10" s="1"/>
  <c r="I44" i="10" s="1"/>
  <c r="H43" i="10"/>
  <c r="G43" i="10"/>
  <c r="I43" i="10" s="1"/>
  <c r="F43" i="10"/>
  <c r="D43" i="10"/>
  <c r="C43" i="10"/>
  <c r="H42" i="10"/>
  <c r="F42" i="10"/>
  <c r="D42" i="10"/>
  <c r="C42" i="10"/>
  <c r="G42" i="10" s="1"/>
  <c r="I42" i="10" s="1"/>
  <c r="H41" i="10"/>
  <c r="G41" i="10"/>
  <c r="I41" i="10" s="1"/>
  <c r="F41" i="10"/>
  <c r="D41" i="10"/>
  <c r="C41" i="10"/>
  <c r="H40" i="10"/>
  <c r="F40" i="10"/>
  <c r="D40" i="10"/>
  <c r="C40" i="10"/>
  <c r="G40" i="10" s="1"/>
  <c r="I40" i="10" s="1"/>
  <c r="H39" i="10"/>
  <c r="G39" i="10"/>
  <c r="I39" i="10" s="1"/>
  <c r="F39" i="10"/>
  <c r="D39" i="10"/>
  <c r="C39" i="10"/>
  <c r="H38" i="10"/>
  <c r="F38" i="10"/>
  <c r="D38" i="10"/>
  <c r="C38" i="10"/>
  <c r="G38" i="10" s="1"/>
  <c r="I38" i="10" s="1"/>
  <c r="H37" i="10"/>
  <c r="G37" i="10"/>
  <c r="I37" i="10" s="1"/>
  <c r="F37" i="10"/>
  <c r="D37" i="10"/>
  <c r="C37" i="10"/>
  <c r="H36" i="10"/>
  <c r="F36" i="10"/>
  <c r="D36" i="10"/>
  <c r="C36" i="10"/>
  <c r="G36" i="10" s="1"/>
  <c r="I36" i="10" s="1"/>
  <c r="H35" i="10"/>
  <c r="G35" i="10"/>
  <c r="I35" i="10" s="1"/>
  <c r="F35" i="10"/>
  <c r="D35" i="10"/>
  <c r="C35" i="10"/>
  <c r="H34" i="10"/>
  <c r="F34" i="10"/>
  <c r="D34" i="10"/>
  <c r="C34" i="10"/>
  <c r="G34" i="10" s="1"/>
  <c r="I34" i="10" s="1"/>
  <c r="H33" i="10"/>
  <c r="G33" i="10"/>
  <c r="I33" i="10" s="1"/>
  <c r="F33" i="10"/>
  <c r="D33" i="10"/>
  <c r="C33" i="10"/>
  <c r="H32" i="10"/>
  <c r="F32" i="10"/>
  <c r="D32" i="10"/>
  <c r="C32" i="10"/>
  <c r="G32" i="10" s="1"/>
  <c r="I32" i="10" s="1"/>
  <c r="H31" i="10"/>
  <c r="G31" i="10"/>
  <c r="I31" i="10" s="1"/>
  <c r="F31" i="10"/>
  <c r="D31" i="10"/>
  <c r="C31" i="10"/>
  <c r="H30" i="10"/>
  <c r="F30" i="10"/>
  <c r="D30" i="10"/>
  <c r="C30" i="10"/>
  <c r="G30" i="10" s="1"/>
  <c r="I30" i="10" s="1"/>
  <c r="H29" i="10"/>
  <c r="G29" i="10"/>
  <c r="I29" i="10" s="1"/>
  <c r="F29" i="10"/>
  <c r="D29" i="10"/>
  <c r="C29" i="10"/>
  <c r="H28" i="10"/>
  <c r="F28" i="10"/>
  <c r="D28" i="10"/>
  <c r="C28" i="10"/>
  <c r="G28" i="10" s="1"/>
  <c r="I28" i="10" s="1"/>
  <c r="H27" i="10"/>
  <c r="G27" i="10"/>
  <c r="I27" i="10" s="1"/>
  <c r="F27" i="10"/>
  <c r="D27" i="10"/>
  <c r="C27" i="10"/>
  <c r="H26" i="10"/>
  <c r="F26" i="10"/>
  <c r="D26" i="10"/>
  <c r="C26" i="10"/>
  <c r="G26" i="10" s="1"/>
  <c r="I26" i="10" s="1"/>
  <c r="H25" i="10"/>
  <c r="G25" i="10"/>
  <c r="I25" i="10" s="1"/>
  <c r="F25" i="10"/>
  <c r="D25" i="10"/>
  <c r="C25" i="10"/>
  <c r="H24" i="10"/>
  <c r="F24" i="10"/>
  <c r="D24" i="10"/>
  <c r="C24" i="10"/>
  <c r="G24" i="10" s="1"/>
  <c r="I24" i="10" s="1"/>
  <c r="H23" i="10"/>
  <c r="G23" i="10"/>
  <c r="I23" i="10" s="1"/>
  <c r="F23" i="10"/>
  <c r="D23" i="10"/>
  <c r="C23" i="10"/>
  <c r="H22" i="10"/>
  <c r="F22" i="10"/>
  <c r="D22" i="10"/>
  <c r="C22" i="10"/>
  <c r="G22" i="10" s="1"/>
  <c r="I22" i="10" s="1"/>
  <c r="H21" i="10"/>
  <c r="G21" i="10"/>
  <c r="I21" i="10" s="1"/>
  <c r="F21" i="10"/>
  <c r="D21" i="10"/>
  <c r="C21" i="10"/>
  <c r="H20" i="10"/>
  <c r="F20" i="10"/>
  <c r="D20" i="10"/>
  <c r="C20" i="10"/>
  <c r="G20" i="10" s="1"/>
  <c r="I20" i="10" s="1"/>
  <c r="H19" i="10"/>
  <c r="G19" i="10"/>
  <c r="I19" i="10" s="1"/>
  <c r="F19" i="10"/>
  <c r="D19" i="10"/>
  <c r="C19" i="10"/>
  <c r="H18" i="10"/>
  <c r="F18" i="10"/>
  <c r="D18" i="10"/>
  <c r="C18" i="10"/>
  <c r="G18" i="10" s="1"/>
  <c r="I18" i="10" s="1"/>
  <c r="H17" i="10"/>
  <c r="G17" i="10"/>
  <c r="I17" i="10" s="1"/>
  <c r="F17" i="10"/>
  <c r="D17" i="10"/>
  <c r="C17" i="10"/>
  <c r="B47" i="10"/>
  <c r="B46" i="10"/>
  <c r="B45" i="10"/>
  <c r="I10" i="10"/>
  <c r="I47" i="9"/>
  <c r="H47" i="9"/>
  <c r="G47" i="9"/>
  <c r="F47" i="9"/>
  <c r="D47" i="9"/>
  <c r="C47" i="9"/>
  <c r="H46" i="9"/>
  <c r="F46" i="9"/>
  <c r="D46" i="9"/>
  <c r="C46" i="9"/>
  <c r="G46" i="9" s="1"/>
  <c r="I46" i="9" s="1"/>
  <c r="H45" i="9"/>
  <c r="F45" i="9"/>
  <c r="D45" i="9"/>
  <c r="C45" i="9"/>
  <c r="G45" i="9" s="1"/>
  <c r="I45" i="9" s="1"/>
  <c r="H44" i="9"/>
  <c r="F44" i="9"/>
  <c r="D44" i="9"/>
  <c r="C44" i="9"/>
  <c r="G44" i="9" s="1"/>
  <c r="I44" i="9" s="1"/>
  <c r="H43" i="9"/>
  <c r="F43" i="9"/>
  <c r="D43" i="9"/>
  <c r="C43" i="9"/>
  <c r="G43" i="9" s="1"/>
  <c r="I43" i="9" s="1"/>
  <c r="H42" i="9"/>
  <c r="F42" i="9"/>
  <c r="D42" i="9"/>
  <c r="C42" i="9"/>
  <c r="G42" i="9" s="1"/>
  <c r="I42" i="9" s="1"/>
  <c r="H41" i="9"/>
  <c r="F41" i="9"/>
  <c r="D41" i="9"/>
  <c r="C41" i="9"/>
  <c r="G41" i="9" s="1"/>
  <c r="I41" i="9" s="1"/>
  <c r="H40" i="9"/>
  <c r="F40" i="9"/>
  <c r="D40" i="9"/>
  <c r="C40" i="9"/>
  <c r="G40" i="9" s="1"/>
  <c r="I40" i="9" s="1"/>
  <c r="H39" i="9"/>
  <c r="F39" i="9"/>
  <c r="D39" i="9"/>
  <c r="C39" i="9"/>
  <c r="G39" i="9" s="1"/>
  <c r="I39" i="9" s="1"/>
  <c r="H38" i="9"/>
  <c r="F38" i="9"/>
  <c r="D38" i="9"/>
  <c r="C38" i="9"/>
  <c r="G38" i="9" s="1"/>
  <c r="I38" i="9" s="1"/>
  <c r="H37" i="9"/>
  <c r="F37" i="9"/>
  <c r="D37" i="9"/>
  <c r="C37" i="9"/>
  <c r="G37" i="9" s="1"/>
  <c r="I37" i="9" s="1"/>
  <c r="H36" i="9"/>
  <c r="F36" i="9"/>
  <c r="D36" i="9"/>
  <c r="C36" i="9"/>
  <c r="G36" i="9" s="1"/>
  <c r="I36" i="9" s="1"/>
  <c r="H35" i="9"/>
  <c r="F35" i="9"/>
  <c r="D35" i="9"/>
  <c r="C35" i="9"/>
  <c r="G35" i="9" s="1"/>
  <c r="I35" i="9" s="1"/>
  <c r="H34" i="9"/>
  <c r="F34" i="9"/>
  <c r="D34" i="9"/>
  <c r="C34" i="9"/>
  <c r="G34" i="9" s="1"/>
  <c r="I34" i="9" s="1"/>
  <c r="H33" i="9"/>
  <c r="F33" i="9"/>
  <c r="D33" i="9"/>
  <c r="C33" i="9"/>
  <c r="G33" i="9" s="1"/>
  <c r="I33" i="9" s="1"/>
  <c r="H32" i="9"/>
  <c r="F32" i="9"/>
  <c r="D32" i="9"/>
  <c r="C32" i="9"/>
  <c r="G32" i="9" s="1"/>
  <c r="I32" i="9" s="1"/>
  <c r="H31" i="9"/>
  <c r="F31" i="9"/>
  <c r="D31" i="9"/>
  <c r="C31" i="9"/>
  <c r="G31" i="9" s="1"/>
  <c r="I31" i="9" s="1"/>
  <c r="H30" i="9"/>
  <c r="F30" i="9"/>
  <c r="D30" i="9"/>
  <c r="C30" i="9"/>
  <c r="G30" i="9" s="1"/>
  <c r="I30" i="9" s="1"/>
  <c r="H29" i="9"/>
  <c r="F29" i="9"/>
  <c r="D29" i="9"/>
  <c r="C29" i="9"/>
  <c r="G29" i="9" s="1"/>
  <c r="I29" i="9" s="1"/>
  <c r="H28" i="9"/>
  <c r="F28" i="9"/>
  <c r="D28" i="9"/>
  <c r="C28" i="9"/>
  <c r="G28" i="9" s="1"/>
  <c r="I28" i="9" s="1"/>
  <c r="H27" i="9"/>
  <c r="F27" i="9"/>
  <c r="D27" i="9"/>
  <c r="C27" i="9"/>
  <c r="G27" i="9" s="1"/>
  <c r="I27" i="9" s="1"/>
  <c r="H26" i="9"/>
  <c r="F26" i="9"/>
  <c r="D26" i="9"/>
  <c r="C26" i="9"/>
  <c r="G26" i="9" s="1"/>
  <c r="I26" i="9" s="1"/>
  <c r="H25" i="9"/>
  <c r="F25" i="9"/>
  <c r="D25" i="9"/>
  <c r="C25" i="9"/>
  <c r="G25" i="9" s="1"/>
  <c r="I25" i="9" s="1"/>
  <c r="H24" i="9"/>
  <c r="F24" i="9"/>
  <c r="D24" i="9"/>
  <c r="C24" i="9"/>
  <c r="G24" i="9" s="1"/>
  <c r="I24" i="9" s="1"/>
  <c r="H23" i="9"/>
  <c r="F23" i="9"/>
  <c r="D23" i="9"/>
  <c r="C23" i="9"/>
  <c r="G23" i="9" s="1"/>
  <c r="I23" i="9" s="1"/>
  <c r="H22" i="9"/>
  <c r="F22" i="9"/>
  <c r="D22" i="9"/>
  <c r="C22" i="9"/>
  <c r="G22" i="9" s="1"/>
  <c r="I22" i="9" s="1"/>
  <c r="H21" i="9"/>
  <c r="F21" i="9"/>
  <c r="D21" i="9"/>
  <c r="C21" i="9"/>
  <c r="G21" i="9" s="1"/>
  <c r="I21" i="9" s="1"/>
  <c r="H20" i="9"/>
  <c r="F20" i="9"/>
  <c r="D20" i="9"/>
  <c r="C20" i="9"/>
  <c r="G20" i="9" s="1"/>
  <c r="I20" i="9" s="1"/>
  <c r="H19" i="9"/>
  <c r="F19" i="9"/>
  <c r="D19" i="9"/>
  <c r="C19" i="9"/>
  <c r="G19" i="9" s="1"/>
  <c r="I19" i="9" s="1"/>
  <c r="H18" i="9"/>
  <c r="F18" i="9"/>
  <c r="D18" i="9"/>
  <c r="C18" i="9"/>
  <c r="G18" i="9" s="1"/>
  <c r="I18" i="9" s="1"/>
  <c r="H17" i="9"/>
  <c r="F17" i="9"/>
  <c r="D17" i="9"/>
  <c r="C17" i="9"/>
  <c r="G17" i="9" s="1"/>
  <c r="I17" i="9" s="1"/>
  <c r="B47" i="9"/>
  <c r="B46" i="9"/>
  <c r="B45" i="9"/>
  <c r="I10" i="9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O773" i="7"/>
  <c r="N773" i="7"/>
  <c r="M773" i="7"/>
  <c r="L773" i="7"/>
  <c r="J773" i="7"/>
  <c r="K773" i="7" s="1"/>
  <c r="I773" i="7"/>
  <c r="H773" i="7"/>
  <c r="G773" i="7"/>
  <c r="F773" i="7"/>
  <c r="E773" i="7"/>
  <c r="D773" i="7"/>
  <c r="G769" i="7"/>
  <c r="J765" i="7" s="1"/>
  <c r="G768" i="7"/>
  <c r="I751" i="7" s="1"/>
  <c r="K751" i="7" s="1"/>
  <c r="J749" i="7"/>
  <c r="L749" i="7" s="1"/>
  <c r="J747" i="7"/>
  <c r="L747" i="7" s="1"/>
  <c r="J745" i="7"/>
  <c r="L745" i="7" s="1"/>
  <c r="J743" i="7"/>
  <c r="L743" i="7" s="1"/>
  <c r="J741" i="7"/>
  <c r="L741" i="7" s="1"/>
  <c r="J739" i="7"/>
  <c r="L739" i="7" s="1"/>
  <c r="J737" i="7"/>
  <c r="L737" i="7" s="1"/>
  <c r="J735" i="7"/>
  <c r="L735" i="7" s="1"/>
  <c r="I735" i="7"/>
  <c r="K735" i="7" s="1"/>
  <c r="M735" i="7" s="1"/>
  <c r="N735" i="7" s="1"/>
  <c r="J733" i="7"/>
  <c r="L733" i="7" s="1"/>
  <c r="I733" i="7"/>
  <c r="K733" i="7" s="1"/>
  <c r="J731" i="7"/>
  <c r="L731" i="7" s="1"/>
  <c r="I731" i="7"/>
  <c r="K731" i="7" s="1"/>
  <c r="M731" i="7" s="1"/>
  <c r="N731" i="7" s="1"/>
  <c r="J729" i="7"/>
  <c r="L729" i="7" s="1"/>
  <c r="I729" i="7"/>
  <c r="K729" i="7" s="1"/>
  <c r="B729" i="7"/>
  <c r="C729" i="7" s="1"/>
  <c r="J727" i="7"/>
  <c r="L727" i="7" s="1"/>
  <c r="I727" i="7"/>
  <c r="K727" i="7" s="1"/>
  <c r="J725" i="7"/>
  <c r="L725" i="7" s="1"/>
  <c r="I725" i="7"/>
  <c r="K725" i="7" s="1"/>
  <c r="J724" i="7"/>
  <c r="L724" i="7" s="1"/>
  <c r="J723" i="7"/>
  <c r="L723" i="7" s="1"/>
  <c r="I723" i="7"/>
  <c r="K723" i="7" s="1"/>
  <c r="J722" i="7"/>
  <c r="L722" i="7" s="1"/>
  <c r="J721" i="7"/>
  <c r="L721" i="7" s="1"/>
  <c r="I721" i="7"/>
  <c r="K721" i="7" s="1"/>
  <c r="J719" i="7"/>
  <c r="L719" i="7" s="1"/>
  <c r="I719" i="7"/>
  <c r="K719" i="7" s="1"/>
  <c r="M719" i="7" s="1"/>
  <c r="N719" i="7" s="1"/>
  <c r="O719" i="7" s="1"/>
  <c r="J718" i="7"/>
  <c r="L718" i="7" s="1"/>
  <c r="I718" i="7"/>
  <c r="K718" i="7" s="1"/>
  <c r="J717" i="7"/>
  <c r="L717" i="7" s="1"/>
  <c r="I717" i="7"/>
  <c r="K717" i="7" s="1"/>
  <c r="J716" i="7"/>
  <c r="L716" i="7" s="1"/>
  <c r="I716" i="7"/>
  <c r="K716" i="7" s="1"/>
  <c r="J715" i="7"/>
  <c r="L715" i="7" s="1"/>
  <c r="I715" i="7"/>
  <c r="K715" i="7" s="1"/>
  <c r="M715" i="7" s="1"/>
  <c r="N715" i="7" s="1"/>
  <c r="O715" i="7" s="1"/>
  <c r="J714" i="7"/>
  <c r="L714" i="7" s="1"/>
  <c r="I714" i="7"/>
  <c r="K714" i="7" s="1"/>
  <c r="J713" i="7"/>
  <c r="L713" i="7" s="1"/>
  <c r="I713" i="7"/>
  <c r="K713" i="7" s="1"/>
  <c r="J712" i="7"/>
  <c r="L712" i="7" s="1"/>
  <c r="I712" i="7"/>
  <c r="K712" i="7" s="1"/>
  <c r="J711" i="7"/>
  <c r="L711" i="7" s="1"/>
  <c r="I711" i="7"/>
  <c r="K711" i="7" s="1"/>
  <c r="M711" i="7" s="1"/>
  <c r="N711" i="7" s="1"/>
  <c r="O711" i="7" s="1"/>
  <c r="J710" i="7"/>
  <c r="L710" i="7" s="1"/>
  <c r="I710" i="7"/>
  <c r="K710" i="7" s="1"/>
  <c r="J709" i="7"/>
  <c r="L709" i="7" s="1"/>
  <c r="I709" i="7"/>
  <c r="K709" i="7" s="1"/>
  <c r="J708" i="7"/>
  <c r="L708" i="7" s="1"/>
  <c r="I708" i="7"/>
  <c r="K708" i="7" s="1"/>
  <c r="J707" i="7"/>
  <c r="L707" i="7" s="1"/>
  <c r="I707" i="7"/>
  <c r="K707" i="7" s="1"/>
  <c r="M707" i="7" s="1"/>
  <c r="N707" i="7" s="1"/>
  <c r="O707" i="7" s="1"/>
  <c r="J706" i="7"/>
  <c r="L706" i="7" s="1"/>
  <c r="I706" i="7"/>
  <c r="K706" i="7" s="1"/>
  <c r="J705" i="7"/>
  <c r="L705" i="7" s="1"/>
  <c r="I705" i="7"/>
  <c r="K705" i="7" s="1"/>
  <c r="C705" i="7"/>
  <c r="B705" i="7"/>
  <c r="B706" i="7" s="1"/>
  <c r="B707" i="7" s="1"/>
  <c r="J704" i="7"/>
  <c r="L704" i="7" s="1"/>
  <c r="I704" i="7"/>
  <c r="K704" i="7" s="1"/>
  <c r="J703" i="7"/>
  <c r="L703" i="7" s="1"/>
  <c r="I703" i="7"/>
  <c r="K703" i="7" s="1"/>
  <c r="J702" i="7"/>
  <c r="L702" i="7" s="1"/>
  <c r="I702" i="7"/>
  <c r="K702" i="7" s="1"/>
  <c r="J701" i="7"/>
  <c r="L701" i="7" s="1"/>
  <c r="I701" i="7"/>
  <c r="K701" i="7" s="1"/>
  <c r="L700" i="7"/>
  <c r="J700" i="7"/>
  <c r="I700" i="7"/>
  <c r="J699" i="7"/>
  <c r="L699" i="7" s="1"/>
  <c r="I699" i="7"/>
  <c r="K699" i="7" s="1"/>
  <c r="J698" i="7"/>
  <c r="L698" i="7" s="1"/>
  <c r="I698" i="7"/>
  <c r="J697" i="7"/>
  <c r="L697" i="7" s="1"/>
  <c r="I697" i="7"/>
  <c r="K697" i="7" s="1"/>
  <c r="L696" i="7"/>
  <c r="J696" i="7"/>
  <c r="I696" i="7"/>
  <c r="J695" i="7"/>
  <c r="L695" i="7" s="1"/>
  <c r="I695" i="7"/>
  <c r="K695" i="7" s="1"/>
  <c r="J694" i="7"/>
  <c r="L694" i="7"/>
  <c r="I694" i="7"/>
  <c r="J693" i="7"/>
  <c r="L693" i="7" s="1"/>
  <c r="I693" i="7"/>
  <c r="K693" i="7" s="1"/>
  <c r="L692" i="7"/>
  <c r="J692" i="7"/>
  <c r="I692" i="7"/>
  <c r="J691" i="7"/>
  <c r="L691" i="7" s="1"/>
  <c r="I691" i="7"/>
  <c r="K691" i="7" s="1"/>
  <c r="L690" i="7"/>
  <c r="J690" i="7"/>
  <c r="I690" i="7"/>
  <c r="I689" i="7"/>
  <c r="K689" i="7" s="1"/>
  <c r="J687" i="7"/>
  <c r="L687" i="7" s="1"/>
  <c r="J686" i="7"/>
  <c r="L686" i="7" s="1"/>
  <c r="J683" i="7"/>
  <c r="L683" i="7" s="1"/>
  <c r="J682" i="7"/>
  <c r="L682" i="7" s="1"/>
  <c r="B681" i="7"/>
  <c r="J680" i="7"/>
  <c r="L680" i="7" s="1"/>
  <c r="J679" i="7"/>
  <c r="L679" i="7" s="1"/>
  <c r="J678" i="7"/>
  <c r="L678" i="7" s="1"/>
  <c r="J677" i="7"/>
  <c r="L677" i="7" s="1"/>
  <c r="J675" i="7"/>
  <c r="L675" i="7" s="1"/>
  <c r="J673" i="7"/>
  <c r="L673" i="7" s="1"/>
  <c r="L672" i="7"/>
  <c r="J672" i="7"/>
  <c r="J671" i="7"/>
  <c r="L671" i="7" s="1"/>
  <c r="J670" i="7"/>
  <c r="L670" i="7" s="1"/>
  <c r="J669" i="7"/>
  <c r="L669" i="7" s="1"/>
  <c r="J667" i="7"/>
  <c r="L667" i="7" s="1"/>
  <c r="J665" i="7"/>
  <c r="L665" i="7" s="1"/>
  <c r="L664" i="7"/>
  <c r="J664" i="7"/>
  <c r="J663" i="7"/>
  <c r="L663" i="7" s="1"/>
  <c r="J662" i="7"/>
  <c r="L662" i="7" s="1"/>
  <c r="J661" i="7"/>
  <c r="L661" i="7" s="1"/>
  <c r="J659" i="7"/>
  <c r="L659" i="7" s="1"/>
  <c r="J657" i="7"/>
  <c r="L657" i="7" s="1"/>
  <c r="B657" i="7"/>
  <c r="J656" i="7"/>
  <c r="L656" i="7" s="1"/>
  <c r="J655" i="7"/>
  <c r="L655" i="7" s="1"/>
  <c r="J654" i="7"/>
  <c r="L654" i="7" s="1"/>
  <c r="J653" i="7"/>
  <c r="L653" i="7" s="1"/>
  <c r="J651" i="7"/>
  <c r="L651" i="7" s="1"/>
  <c r="J649" i="7"/>
  <c r="L649" i="7" s="1"/>
  <c r="J648" i="7"/>
  <c r="L648" i="7" s="1"/>
  <c r="J647" i="7"/>
  <c r="L647" i="7" s="1"/>
  <c r="J646" i="7"/>
  <c r="L646" i="7" s="1"/>
  <c r="J645" i="7"/>
  <c r="L645" i="7" s="1"/>
  <c r="J643" i="7"/>
  <c r="L643" i="7" s="1"/>
  <c r="J641" i="7"/>
  <c r="L641" i="7" s="1"/>
  <c r="L640" i="7"/>
  <c r="J640" i="7"/>
  <c r="J639" i="7"/>
  <c r="L639" i="7" s="1"/>
  <c r="J638" i="7"/>
  <c r="L638" i="7" s="1"/>
  <c r="J637" i="7"/>
  <c r="L637" i="7" s="1"/>
  <c r="J635" i="7"/>
  <c r="L635" i="7" s="1"/>
  <c r="J633" i="7"/>
  <c r="L633" i="7" s="1"/>
  <c r="B633" i="7"/>
  <c r="L632" i="7"/>
  <c r="J632" i="7"/>
  <c r="J631" i="7"/>
  <c r="L631" i="7" s="1"/>
  <c r="J630" i="7"/>
  <c r="L630" i="7" s="1"/>
  <c r="I630" i="7"/>
  <c r="K630" i="7" s="1"/>
  <c r="J628" i="7"/>
  <c r="L628" i="7" s="1"/>
  <c r="I628" i="7"/>
  <c r="K628" i="7" s="1"/>
  <c r="L627" i="7"/>
  <c r="J627" i="7"/>
  <c r="J626" i="7"/>
  <c r="L626" i="7" s="1"/>
  <c r="I626" i="7"/>
  <c r="K626" i="7" s="1"/>
  <c r="J624" i="7"/>
  <c r="L624" i="7" s="1"/>
  <c r="I624" i="7"/>
  <c r="K624" i="7" s="1"/>
  <c r="J623" i="7"/>
  <c r="L623" i="7" s="1"/>
  <c r="K622" i="7"/>
  <c r="J622" i="7"/>
  <c r="L622" i="7" s="1"/>
  <c r="I622" i="7"/>
  <c r="J620" i="7"/>
  <c r="L620" i="7" s="1"/>
  <c r="I620" i="7"/>
  <c r="K620" i="7" s="1"/>
  <c r="L619" i="7"/>
  <c r="J619" i="7"/>
  <c r="K618" i="7"/>
  <c r="J618" i="7"/>
  <c r="L618" i="7" s="1"/>
  <c r="I618" i="7"/>
  <c r="J616" i="7"/>
  <c r="L616" i="7" s="1"/>
  <c r="I616" i="7"/>
  <c r="K616" i="7" s="1"/>
  <c r="M616" i="7" s="1"/>
  <c r="N616" i="7" s="1"/>
  <c r="L615" i="7"/>
  <c r="J615" i="7"/>
  <c r="J614" i="7"/>
  <c r="L614" i="7" s="1"/>
  <c r="I614" i="7"/>
  <c r="K614" i="7" s="1"/>
  <c r="J612" i="7"/>
  <c r="L612" i="7" s="1"/>
  <c r="J610" i="7"/>
  <c r="L610" i="7" s="1"/>
  <c r="J609" i="7"/>
  <c r="L609" i="7" s="1"/>
  <c r="B609" i="7"/>
  <c r="C609" i="7" s="1"/>
  <c r="J608" i="7"/>
  <c r="L608" i="7" s="1"/>
  <c r="J607" i="7"/>
  <c r="L607" i="7" s="1"/>
  <c r="J606" i="7"/>
  <c r="L606" i="7" s="1"/>
  <c r="J604" i="7"/>
  <c r="L604" i="7" s="1"/>
  <c r="J602" i="7"/>
  <c r="L602" i="7" s="1"/>
  <c r="J601" i="7"/>
  <c r="L601" i="7" s="1"/>
  <c r="J600" i="7"/>
  <c r="L600" i="7" s="1"/>
  <c r="J599" i="7"/>
  <c r="L599" i="7" s="1"/>
  <c r="J598" i="7"/>
  <c r="L598" i="7" s="1"/>
  <c r="J596" i="7"/>
  <c r="L596" i="7" s="1"/>
  <c r="J594" i="7"/>
  <c r="L594" i="7" s="1"/>
  <c r="L593" i="7"/>
  <c r="J593" i="7"/>
  <c r="J592" i="7"/>
  <c r="L592" i="7" s="1"/>
  <c r="J591" i="7"/>
  <c r="L591" i="7" s="1"/>
  <c r="J590" i="7"/>
  <c r="L590" i="7" s="1"/>
  <c r="J588" i="7"/>
  <c r="L588" i="7" s="1"/>
  <c r="J586" i="7"/>
  <c r="L586" i="7" s="1"/>
  <c r="J585" i="7"/>
  <c r="L585" i="7" s="1"/>
  <c r="B585" i="7"/>
  <c r="J584" i="7"/>
  <c r="L584" i="7" s="1"/>
  <c r="J583" i="7"/>
  <c r="L583" i="7" s="1"/>
  <c r="L582" i="7"/>
  <c r="J582" i="7"/>
  <c r="J581" i="7"/>
  <c r="L581" i="7" s="1"/>
  <c r="I581" i="7"/>
  <c r="K581" i="7" s="1"/>
  <c r="M581" i="7" s="1"/>
  <c r="N581" i="7" s="1"/>
  <c r="J580" i="7"/>
  <c r="L580" i="7" s="1"/>
  <c r="J579" i="7"/>
  <c r="L579" i="7" s="1"/>
  <c r="I579" i="7"/>
  <c r="K579" i="7" s="1"/>
  <c r="M579" i="7" s="1"/>
  <c r="N579" i="7" s="1"/>
  <c r="J578" i="7"/>
  <c r="L578" i="7" s="1"/>
  <c r="J577" i="7"/>
  <c r="L577" i="7" s="1"/>
  <c r="I577" i="7"/>
  <c r="K577" i="7" s="1"/>
  <c r="M577" i="7" s="1"/>
  <c r="N577" i="7" s="1"/>
  <c r="J576" i="7"/>
  <c r="L576" i="7" s="1"/>
  <c r="J575" i="7"/>
  <c r="L575" i="7" s="1"/>
  <c r="I575" i="7"/>
  <c r="K575" i="7" s="1"/>
  <c r="M575" i="7" s="1"/>
  <c r="N575" i="7" s="1"/>
  <c r="O575" i="7" s="1"/>
  <c r="L574" i="7"/>
  <c r="J574" i="7"/>
  <c r="J573" i="7"/>
  <c r="L573" i="7" s="1"/>
  <c r="I573" i="7"/>
  <c r="K573" i="7" s="1"/>
  <c r="M573" i="7" s="1"/>
  <c r="N573" i="7" s="1"/>
  <c r="O573" i="7" s="1"/>
  <c r="J572" i="7"/>
  <c r="L572" i="7" s="1"/>
  <c r="J571" i="7"/>
  <c r="L571" i="7" s="1"/>
  <c r="I571" i="7"/>
  <c r="K571" i="7" s="1"/>
  <c r="M571" i="7" s="1"/>
  <c r="N571" i="7" s="1"/>
  <c r="O571" i="7" s="1"/>
  <c r="J570" i="7"/>
  <c r="L570" i="7" s="1"/>
  <c r="J569" i="7"/>
  <c r="L569" i="7" s="1"/>
  <c r="I569" i="7"/>
  <c r="K569" i="7" s="1"/>
  <c r="M569" i="7" s="1"/>
  <c r="N569" i="7" s="1"/>
  <c r="O569" i="7" s="1"/>
  <c r="L568" i="7"/>
  <c r="J568" i="7"/>
  <c r="J567" i="7"/>
  <c r="L567" i="7" s="1"/>
  <c r="I567" i="7"/>
  <c r="K567" i="7" s="1"/>
  <c r="M567" i="7" s="1"/>
  <c r="N567" i="7" s="1"/>
  <c r="J565" i="7"/>
  <c r="L565" i="7" s="1"/>
  <c r="I565" i="7"/>
  <c r="K565" i="7" s="1"/>
  <c r="J564" i="7"/>
  <c r="L564" i="7" s="1"/>
  <c r="J563" i="7"/>
  <c r="L563" i="7" s="1"/>
  <c r="I563" i="7"/>
  <c r="K563" i="7" s="1"/>
  <c r="J561" i="7"/>
  <c r="L561" i="7" s="1"/>
  <c r="I561" i="7"/>
  <c r="K561" i="7" s="1"/>
  <c r="B561" i="7"/>
  <c r="J560" i="7"/>
  <c r="L560" i="7" s="1"/>
  <c r="J559" i="7"/>
  <c r="L559" i="7" s="1"/>
  <c r="I559" i="7"/>
  <c r="K559" i="7" s="1"/>
  <c r="K557" i="7"/>
  <c r="J557" i="7"/>
  <c r="L557" i="7" s="1"/>
  <c r="I557" i="7"/>
  <c r="J556" i="7"/>
  <c r="L556" i="7" s="1"/>
  <c r="J555" i="7"/>
  <c r="L555" i="7" s="1"/>
  <c r="I555" i="7"/>
  <c r="K555" i="7" s="1"/>
  <c r="J553" i="7"/>
  <c r="L553" i="7" s="1"/>
  <c r="I553" i="7"/>
  <c r="K553" i="7" s="1"/>
  <c r="L552" i="7"/>
  <c r="J552" i="7"/>
  <c r="J551" i="7"/>
  <c r="L551" i="7" s="1"/>
  <c r="I551" i="7"/>
  <c r="K551" i="7" s="1"/>
  <c r="J549" i="7"/>
  <c r="L549" i="7" s="1"/>
  <c r="I549" i="7"/>
  <c r="K549" i="7" s="1"/>
  <c r="M549" i="7" s="1"/>
  <c r="N549" i="7" s="1"/>
  <c r="L548" i="7"/>
  <c r="J548" i="7"/>
  <c r="J547" i="7"/>
  <c r="L547" i="7" s="1"/>
  <c r="I547" i="7"/>
  <c r="K547" i="7" s="1"/>
  <c r="J545" i="7"/>
  <c r="L545" i="7" s="1"/>
  <c r="I545" i="7"/>
  <c r="K545" i="7" s="1"/>
  <c r="J544" i="7"/>
  <c r="L544" i="7" s="1"/>
  <c r="J543" i="7"/>
  <c r="L543" i="7" s="1"/>
  <c r="I543" i="7"/>
  <c r="K543" i="7" s="1"/>
  <c r="J541" i="7"/>
  <c r="L541" i="7" s="1"/>
  <c r="I541" i="7"/>
  <c r="K541" i="7" s="1"/>
  <c r="J540" i="7"/>
  <c r="L540" i="7" s="1"/>
  <c r="J539" i="7"/>
  <c r="L539" i="7" s="1"/>
  <c r="I539" i="7"/>
  <c r="K539" i="7" s="1"/>
  <c r="K537" i="7"/>
  <c r="J537" i="7"/>
  <c r="L537" i="7" s="1"/>
  <c r="I537" i="7"/>
  <c r="B537" i="7"/>
  <c r="J536" i="7"/>
  <c r="L536" i="7" s="1"/>
  <c r="J535" i="7"/>
  <c r="L535" i="7" s="1"/>
  <c r="I535" i="7"/>
  <c r="K535" i="7" s="1"/>
  <c r="K533" i="7"/>
  <c r="J533" i="7"/>
  <c r="L533" i="7" s="1"/>
  <c r="I533" i="7"/>
  <c r="J532" i="7"/>
  <c r="L532" i="7" s="1"/>
  <c r="J531" i="7"/>
  <c r="L531" i="7" s="1"/>
  <c r="I531" i="7"/>
  <c r="K531" i="7" s="1"/>
  <c r="K529" i="7"/>
  <c r="M529" i="7" s="1"/>
  <c r="N529" i="7" s="1"/>
  <c r="J529" i="7"/>
  <c r="L529" i="7" s="1"/>
  <c r="I529" i="7"/>
  <c r="J528" i="7"/>
  <c r="L528" i="7" s="1"/>
  <c r="J527" i="7"/>
  <c r="L527" i="7" s="1"/>
  <c r="I527" i="7"/>
  <c r="K527" i="7" s="1"/>
  <c r="J525" i="7"/>
  <c r="L525" i="7" s="1"/>
  <c r="I525" i="7"/>
  <c r="K525" i="7" s="1"/>
  <c r="M525" i="7" s="1"/>
  <c r="N525" i="7" s="1"/>
  <c r="J524" i="7"/>
  <c r="L524" i="7" s="1"/>
  <c r="J523" i="7"/>
  <c r="L523" i="7" s="1"/>
  <c r="I523" i="7"/>
  <c r="K523" i="7" s="1"/>
  <c r="K521" i="7"/>
  <c r="J521" i="7"/>
  <c r="L521" i="7" s="1"/>
  <c r="I521" i="7"/>
  <c r="J520" i="7"/>
  <c r="L520" i="7" s="1"/>
  <c r="J519" i="7"/>
  <c r="L519" i="7" s="1"/>
  <c r="I519" i="7"/>
  <c r="K519" i="7" s="1"/>
  <c r="J517" i="7"/>
  <c r="L517" i="7" s="1"/>
  <c r="I517" i="7"/>
  <c r="K517" i="7" s="1"/>
  <c r="L516" i="7"/>
  <c r="J516" i="7"/>
  <c r="J515" i="7"/>
  <c r="L515" i="7" s="1"/>
  <c r="I515" i="7"/>
  <c r="K515" i="7" s="1"/>
  <c r="J513" i="7"/>
  <c r="L513" i="7" s="1"/>
  <c r="I513" i="7"/>
  <c r="K513" i="7" s="1"/>
  <c r="M513" i="7" s="1"/>
  <c r="N513" i="7" s="1"/>
  <c r="B513" i="7"/>
  <c r="L512" i="7"/>
  <c r="J512" i="7"/>
  <c r="J511" i="7"/>
  <c r="L511" i="7" s="1"/>
  <c r="I511" i="7"/>
  <c r="K511" i="7" s="1"/>
  <c r="J509" i="7"/>
  <c r="L509" i="7" s="1"/>
  <c r="I509" i="7"/>
  <c r="K509" i="7" s="1"/>
  <c r="M509" i="7" s="1"/>
  <c r="N509" i="7" s="1"/>
  <c r="L508" i="7"/>
  <c r="J508" i="7"/>
  <c r="L506" i="7"/>
  <c r="J506" i="7"/>
  <c r="J505" i="7"/>
  <c r="L505" i="7" s="1"/>
  <c r="J503" i="7"/>
  <c r="L503" i="7" s="1"/>
  <c r="I503" i="7"/>
  <c r="K503" i="7" s="1"/>
  <c r="J501" i="7"/>
  <c r="L501" i="7" s="1"/>
  <c r="J500" i="7"/>
  <c r="I499" i="7"/>
  <c r="K499" i="7" s="1"/>
  <c r="J498" i="7"/>
  <c r="L498" i="7" s="1"/>
  <c r="J497" i="7"/>
  <c r="L497" i="7" s="1"/>
  <c r="J496" i="7"/>
  <c r="L496" i="7" s="1"/>
  <c r="J494" i="7"/>
  <c r="L494" i="7" s="1"/>
  <c r="J492" i="7"/>
  <c r="L492" i="7" s="1"/>
  <c r="I490" i="7"/>
  <c r="K490" i="7" s="1"/>
  <c r="J489" i="7"/>
  <c r="L489" i="7" s="1"/>
  <c r="C489" i="7"/>
  <c r="B489" i="7"/>
  <c r="B490" i="7" s="1"/>
  <c r="J488" i="7"/>
  <c r="L488" i="7" s="1"/>
  <c r="J487" i="7"/>
  <c r="L487" i="7" s="1"/>
  <c r="I487" i="7"/>
  <c r="K487" i="7" s="1"/>
  <c r="J486" i="7"/>
  <c r="L486" i="7" s="1"/>
  <c r="J485" i="7"/>
  <c r="L485" i="7" s="1"/>
  <c r="I485" i="7"/>
  <c r="K485" i="7" s="1"/>
  <c r="K483" i="7"/>
  <c r="J483" i="7"/>
  <c r="L483" i="7" s="1"/>
  <c r="I483" i="7"/>
  <c r="J482" i="7"/>
  <c r="L482" i="7" s="1"/>
  <c r="J481" i="7"/>
  <c r="L481" i="7" s="1"/>
  <c r="I481" i="7"/>
  <c r="K481" i="7" s="1"/>
  <c r="J479" i="7"/>
  <c r="L479" i="7" s="1"/>
  <c r="I479" i="7"/>
  <c r="K479" i="7" s="1"/>
  <c r="J478" i="7"/>
  <c r="L478" i="7" s="1"/>
  <c r="J477" i="7"/>
  <c r="L477" i="7" s="1"/>
  <c r="I477" i="7"/>
  <c r="K477" i="7" s="1"/>
  <c r="K475" i="7"/>
  <c r="J475" i="7"/>
  <c r="L475" i="7" s="1"/>
  <c r="I475" i="7"/>
  <c r="J474" i="7"/>
  <c r="J473" i="7"/>
  <c r="L473" i="7" s="1"/>
  <c r="I473" i="7"/>
  <c r="K473" i="7" s="1"/>
  <c r="J471" i="7"/>
  <c r="L471" i="7" s="1"/>
  <c r="I471" i="7"/>
  <c r="K471" i="7" s="1"/>
  <c r="J470" i="7"/>
  <c r="L470" i="7" s="1"/>
  <c r="J469" i="7"/>
  <c r="L469" i="7" s="1"/>
  <c r="I469" i="7"/>
  <c r="K469" i="7" s="1"/>
  <c r="K467" i="7"/>
  <c r="J467" i="7"/>
  <c r="L467" i="7" s="1"/>
  <c r="I467" i="7"/>
  <c r="J466" i="7"/>
  <c r="J465" i="7"/>
  <c r="L465" i="7" s="1"/>
  <c r="I465" i="7"/>
  <c r="K465" i="7" s="1"/>
  <c r="B465" i="7"/>
  <c r="J463" i="7"/>
  <c r="L463" i="7" s="1"/>
  <c r="I463" i="7"/>
  <c r="K463" i="7" s="1"/>
  <c r="J462" i="7"/>
  <c r="L462" i="7" s="1"/>
  <c r="J461" i="7"/>
  <c r="L461" i="7" s="1"/>
  <c r="I461" i="7"/>
  <c r="K461" i="7" s="1"/>
  <c r="M461" i="7" s="1"/>
  <c r="N461" i="7" s="1"/>
  <c r="K459" i="7"/>
  <c r="J459" i="7"/>
  <c r="L459" i="7" s="1"/>
  <c r="I459" i="7"/>
  <c r="J458" i="7"/>
  <c r="J457" i="7"/>
  <c r="L457" i="7" s="1"/>
  <c r="I457" i="7"/>
  <c r="K457" i="7" s="1"/>
  <c r="J455" i="7"/>
  <c r="L455" i="7" s="1"/>
  <c r="I455" i="7"/>
  <c r="K455" i="7" s="1"/>
  <c r="J454" i="7"/>
  <c r="L454" i="7" s="1"/>
  <c r="J453" i="7"/>
  <c r="L453" i="7" s="1"/>
  <c r="I453" i="7"/>
  <c r="K453" i="7" s="1"/>
  <c r="M453" i="7" s="1"/>
  <c r="N453" i="7" s="1"/>
  <c r="K451" i="7"/>
  <c r="J451" i="7"/>
  <c r="L451" i="7" s="1"/>
  <c r="I451" i="7"/>
  <c r="J450" i="7"/>
  <c r="J449" i="7"/>
  <c r="L449" i="7" s="1"/>
  <c r="I449" i="7"/>
  <c r="K449" i="7" s="1"/>
  <c r="J447" i="7"/>
  <c r="L447" i="7" s="1"/>
  <c r="I447" i="7"/>
  <c r="K447" i="7" s="1"/>
  <c r="J446" i="7"/>
  <c r="L446" i="7" s="1"/>
  <c r="J445" i="7"/>
  <c r="L445" i="7" s="1"/>
  <c r="I445" i="7"/>
  <c r="K445" i="7" s="1"/>
  <c r="M445" i="7" s="1"/>
  <c r="N445" i="7" s="1"/>
  <c r="K443" i="7"/>
  <c r="J443" i="7"/>
  <c r="L443" i="7" s="1"/>
  <c r="I443" i="7"/>
  <c r="J442" i="7"/>
  <c r="J441" i="7"/>
  <c r="L441" i="7" s="1"/>
  <c r="I441" i="7"/>
  <c r="K441" i="7" s="1"/>
  <c r="B441" i="7"/>
  <c r="K439" i="7"/>
  <c r="J439" i="7"/>
  <c r="L439" i="7" s="1"/>
  <c r="I439" i="7"/>
  <c r="J438" i="7"/>
  <c r="J437" i="7"/>
  <c r="L437" i="7" s="1"/>
  <c r="I437" i="7"/>
  <c r="K437" i="7" s="1"/>
  <c r="J435" i="7"/>
  <c r="L435" i="7" s="1"/>
  <c r="I435" i="7"/>
  <c r="K435" i="7" s="1"/>
  <c r="J434" i="7"/>
  <c r="L434" i="7" s="1"/>
  <c r="J433" i="7"/>
  <c r="L433" i="7" s="1"/>
  <c r="I433" i="7"/>
  <c r="K433" i="7" s="1"/>
  <c r="J431" i="7"/>
  <c r="L431" i="7" s="1"/>
  <c r="J429" i="7"/>
  <c r="L429" i="7" s="1"/>
  <c r="J428" i="7"/>
  <c r="J427" i="7"/>
  <c r="L427" i="7" s="1"/>
  <c r="J426" i="7"/>
  <c r="L426" i="7" s="1"/>
  <c r="J425" i="7"/>
  <c r="L425" i="7" s="1"/>
  <c r="J423" i="7"/>
  <c r="L423" i="7" s="1"/>
  <c r="J421" i="7"/>
  <c r="L421" i="7" s="1"/>
  <c r="J420" i="7"/>
  <c r="L420" i="7" s="1"/>
  <c r="J419" i="7"/>
  <c r="L419" i="7" s="1"/>
  <c r="B419" i="7"/>
  <c r="J418" i="7"/>
  <c r="L418" i="7" s="1"/>
  <c r="B418" i="7"/>
  <c r="C418" i="7" s="1"/>
  <c r="J417" i="7"/>
  <c r="L417" i="7" s="1"/>
  <c r="B417" i="7"/>
  <c r="C417" i="7" s="1"/>
  <c r="J415" i="7"/>
  <c r="L415" i="7" s="1"/>
  <c r="J413" i="7"/>
  <c r="L413" i="7" s="1"/>
  <c r="J412" i="7"/>
  <c r="L412" i="7" s="1"/>
  <c r="J411" i="7"/>
  <c r="L411" i="7" s="1"/>
  <c r="J410" i="7"/>
  <c r="L410" i="7" s="1"/>
  <c r="J409" i="7"/>
  <c r="L409" i="7" s="1"/>
  <c r="J407" i="7"/>
  <c r="L407" i="7" s="1"/>
  <c r="I407" i="7"/>
  <c r="K407" i="7" s="1"/>
  <c r="J405" i="7"/>
  <c r="L405" i="7" s="1"/>
  <c r="I405" i="7"/>
  <c r="K405" i="7" s="1"/>
  <c r="M405" i="7" s="1"/>
  <c r="N405" i="7" s="1"/>
  <c r="J403" i="7"/>
  <c r="L403" i="7" s="1"/>
  <c r="I403" i="7"/>
  <c r="K403" i="7" s="1"/>
  <c r="J401" i="7"/>
  <c r="L401" i="7" s="1"/>
  <c r="I401" i="7"/>
  <c r="K401" i="7" s="1"/>
  <c r="M401" i="7" s="1"/>
  <c r="N401" i="7" s="1"/>
  <c r="J399" i="7"/>
  <c r="L399" i="7" s="1"/>
  <c r="I399" i="7"/>
  <c r="K399" i="7" s="1"/>
  <c r="J397" i="7"/>
  <c r="L397" i="7" s="1"/>
  <c r="I397" i="7"/>
  <c r="K397" i="7" s="1"/>
  <c r="M397" i="7" s="1"/>
  <c r="N397" i="7" s="1"/>
  <c r="J395" i="7"/>
  <c r="L395" i="7" s="1"/>
  <c r="I395" i="7"/>
  <c r="K395" i="7" s="1"/>
  <c r="J393" i="7"/>
  <c r="L393" i="7" s="1"/>
  <c r="I393" i="7"/>
  <c r="K393" i="7" s="1"/>
  <c r="M393" i="7" s="1"/>
  <c r="N393" i="7" s="1"/>
  <c r="B393" i="7"/>
  <c r="J391" i="7"/>
  <c r="L391" i="7" s="1"/>
  <c r="I391" i="7"/>
  <c r="K391" i="7" s="1"/>
  <c r="J389" i="7"/>
  <c r="L389" i="7" s="1"/>
  <c r="I389" i="7"/>
  <c r="K389" i="7" s="1"/>
  <c r="J387" i="7"/>
  <c r="L387" i="7" s="1"/>
  <c r="I387" i="7"/>
  <c r="K387" i="7" s="1"/>
  <c r="J385" i="7"/>
  <c r="L385" i="7" s="1"/>
  <c r="I385" i="7"/>
  <c r="K385" i="7" s="1"/>
  <c r="J383" i="7"/>
  <c r="L383" i="7" s="1"/>
  <c r="I383" i="7"/>
  <c r="K383" i="7" s="1"/>
  <c r="J381" i="7"/>
  <c r="L381" i="7" s="1"/>
  <c r="I381" i="7"/>
  <c r="K381" i="7" s="1"/>
  <c r="J379" i="7"/>
  <c r="L379" i="7" s="1"/>
  <c r="I379" i="7"/>
  <c r="K379" i="7" s="1"/>
  <c r="J377" i="7"/>
  <c r="L377" i="7" s="1"/>
  <c r="I377" i="7"/>
  <c r="K377" i="7" s="1"/>
  <c r="J375" i="7"/>
  <c r="L375" i="7" s="1"/>
  <c r="I375" i="7"/>
  <c r="K375" i="7" s="1"/>
  <c r="J373" i="7"/>
  <c r="L373" i="7" s="1"/>
  <c r="I373" i="7"/>
  <c r="K373" i="7" s="1"/>
  <c r="J371" i="7"/>
  <c r="L371" i="7" s="1"/>
  <c r="I371" i="7"/>
  <c r="K371" i="7" s="1"/>
  <c r="J369" i="7"/>
  <c r="L369" i="7" s="1"/>
  <c r="I369" i="7"/>
  <c r="K369" i="7" s="1"/>
  <c r="B369" i="7"/>
  <c r="J367" i="7"/>
  <c r="L367" i="7" s="1"/>
  <c r="I367" i="7"/>
  <c r="K367" i="7" s="1"/>
  <c r="M367" i="7" s="1"/>
  <c r="N367" i="7" s="1"/>
  <c r="J365" i="7"/>
  <c r="L365" i="7" s="1"/>
  <c r="I365" i="7"/>
  <c r="K365" i="7" s="1"/>
  <c r="J363" i="7"/>
  <c r="L363" i="7" s="1"/>
  <c r="I363" i="7"/>
  <c r="K363" i="7" s="1"/>
  <c r="M363" i="7" s="1"/>
  <c r="N363" i="7" s="1"/>
  <c r="J361" i="7"/>
  <c r="L361" i="7" s="1"/>
  <c r="I361" i="7"/>
  <c r="K361" i="7" s="1"/>
  <c r="J359" i="7"/>
  <c r="L359" i="7" s="1"/>
  <c r="I359" i="7"/>
  <c r="K359" i="7" s="1"/>
  <c r="J357" i="7"/>
  <c r="L357" i="7" s="1"/>
  <c r="I357" i="7"/>
  <c r="K357" i="7" s="1"/>
  <c r="K355" i="7"/>
  <c r="J355" i="7"/>
  <c r="L355" i="7" s="1"/>
  <c r="I355" i="7"/>
  <c r="J353" i="7"/>
  <c r="L353" i="7" s="1"/>
  <c r="I353" i="7"/>
  <c r="K353" i="7" s="1"/>
  <c r="M353" i="7" s="1"/>
  <c r="N353" i="7" s="1"/>
  <c r="K351" i="7"/>
  <c r="J351" i="7"/>
  <c r="L351" i="7" s="1"/>
  <c r="I351" i="7"/>
  <c r="J349" i="7"/>
  <c r="L349" i="7" s="1"/>
  <c r="I349" i="7"/>
  <c r="K349" i="7" s="1"/>
  <c r="J347" i="7"/>
  <c r="L347" i="7" s="1"/>
  <c r="I347" i="7"/>
  <c r="K347" i="7" s="1"/>
  <c r="J345" i="7"/>
  <c r="L345" i="7" s="1"/>
  <c r="I345" i="7"/>
  <c r="K345" i="7" s="1"/>
  <c r="B345" i="7"/>
  <c r="K343" i="7"/>
  <c r="J343" i="7"/>
  <c r="L343" i="7" s="1"/>
  <c r="I343" i="7"/>
  <c r="J341" i="7"/>
  <c r="L341" i="7" s="1"/>
  <c r="I341" i="7"/>
  <c r="K341" i="7" s="1"/>
  <c r="M341" i="7" s="1"/>
  <c r="N341" i="7" s="1"/>
  <c r="K339" i="7"/>
  <c r="J339" i="7"/>
  <c r="L339" i="7" s="1"/>
  <c r="I339" i="7"/>
  <c r="J337" i="7"/>
  <c r="L337" i="7" s="1"/>
  <c r="I337" i="7"/>
  <c r="K337" i="7" s="1"/>
  <c r="J335" i="7"/>
  <c r="L335" i="7" s="1"/>
  <c r="I335" i="7"/>
  <c r="K335" i="7" s="1"/>
  <c r="J334" i="7"/>
  <c r="L334" i="7" s="1"/>
  <c r="J333" i="7"/>
  <c r="L333" i="7" s="1"/>
  <c r="I333" i="7"/>
  <c r="K333" i="7" s="1"/>
  <c r="J332" i="7"/>
  <c r="L332" i="7" s="1"/>
  <c r="J331" i="7"/>
  <c r="I331" i="7"/>
  <c r="J330" i="7"/>
  <c r="K329" i="7"/>
  <c r="J329" i="7"/>
  <c r="L329" i="7" s="1"/>
  <c r="I329" i="7"/>
  <c r="J328" i="7"/>
  <c r="L328" i="7" s="1"/>
  <c r="K327" i="7"/>
  <c r="M327" i="7" s="1"/>
  <c r="N327" i="7" s="1"/>
  <c r="O327" i="7" s="1"/>
  <c r="J327" i="7"/>
  <c r="L327" i="7" s="1"/>
  <c r="I327" i="7"/>
  <c r="J326" i="7"/>
  <c r="L326" i="7" s="1"/>
  <c r="J325" i="7"/>
  <c r="L325" i="7" s="1"/>
  <c r="I325" i="7"/>
  <c r="K325" i="7" s="1"/>
  <c r="J324" i="7"/>
  <c r="L324" i="7" s="1"/>
  <c r="J323" i="7"/>
  <c r="L323" i="7" s="1"/>
  <c r="I323" i="7"/>
  <c r="K323" i="7" s="1"/>
  <c r="M323" i="7" s="1"/>
  <c r="N323" i="7" s="1"/>
  <c r="J322" i="7"/>
  <c r="L322" i="7" s="1"/>
  <c r="J321" i="7"/>
  <c r="L321" i="7" s="1"/>
  <c r="I321" i="7"/>
  <c r="K321" i="7" s="1"/>
  <c r="M321" i="7" s="1"/>
  <c r="N321" i="7" s="1"/>
  <c r="O321" i="7" s="1"/>
  <c r="B321" i="7"/>
  <c r="B322" i="7" s="1"/>
  <c r="B323" i="7" s="1"/>
  <c r="B324" i="7" s="1"/>
  <c r="J320" i="7"/>
  <c r="L320" i="7" s="1"/>
  <c r="J319" i="7"/>
  <c r="L319" i="7" s="1"/>
  <c r="I319" i="7"/>
  <c r="K319" i="7" s="1"/>
  <c r="J318" i="7"/>
  <c r="L318" i="7" s="1"/>
  <c r="J317" i="7"/>
  <c r="L317" i="7" s="1"/>
  <c r="I317" i="7"/>
  <c r="K317" i="7" s="1"/>
  <c r="J316" i="7"/>
  <c r="L316" i="7" s="1"/>
  <c r="J315" i="7"/>
  <c r="L315" i="7" s="1"/>
  <c r="I315" i="7"/>
  <c r="K315" i="7" s="1"/>
  <c r="J314" i="7"/>
  <c r="L314" i="7" s="1"/>
  <c r="J313" i="7"/>
  <c r="L313" i="7" s="1"/>
  <c r="I313" i="7"/>
  <c r="K313" i="7" s="1"/>
  <c r="M313" i="7" s="1"/>
  <c r="N313" i="7" s="1"/>
  <c r="L312" i="7"/>
  <c r="J312" i="7"/>
  <c r="J311" i="7"/>
  <c r="L311" i="7" s="1"/>
  <c r="I311" i="7"/>
  <c r="K311" i="7" s="1"/>
  <c r="J310" i="7"/>
  <c r="L310" i="7" s="1"/>
  <c r="J309" i="7"/>
  <c r="L309" i="7" s="1"/>
  <c r="I309" i="7"/>
  <c r="K309" i="7" s="1"/>
  <c r="M309" i="7" s="1"/>
  <c r="N309" i="7" s="1"/>
  <c r="J308" i="7"/>
  <c r="L308" i="7" s="1"/>
  <c r="J307" i="7"/>
  <c r="L307" i="7" s="1"/>
  <c r="I307" i="7"/>
  <c r="K307" i="7" s="1"/>
  <c r="M307" i="7" s="1"/>
  <c r="N307" i="7" s="1"/>
  <c r="O307" i="7" s="1"/>
  <c r="L306" i="7"/>
  <c r="J306" i="7"/>
  <c r="J305" i="7"/>
  <c r="L305" i="7" s="1"/>
  <c r="I305" i="7"/>
  <c r="K305" i="7" s="1"/>
  <c r="M305" i="7" s="1"/>
  <c r="N305" i="7" s="1"/>
  <c r="L304" i="7"/>
  <c r="J304" i="7"/>
  <c r="J303" i="7"/>
  <c r="L303" i="7" s="1"/>
  <c r="I303" i="7"/>
  <c r="K303" i="7" s="1"/>
  <c r="J302" i="7"/>
  <c r="L302" i="7" s="1"/>
  <c r="J301" i="7"/>
  <c r="L301" i="7" s="1"/>
  <c r="I301" i="7"/>
  <c r="K301" i="7" s="1"/>
  <c r="M301" i="7" s="1"/>
  <c r="N301" i="7" s="1"/>
  <c r="J300" i="7"/>
  <c r="L300" i="7" s="1"/>
  <c r="J299" i="7"/>
  <c r="L299" i="7" s="1"/>
  <c r="I299" i="7"/>
  <c r="K299" i="7" s="1"/>
  <c r="M299" i="7" s="1"/>
  <c r="N299" i="7" s="1"/>
  <c r="O299" i="7" s="1"/>
  <c r="L298" i="7"/>
  <c r="J298" i="7"/>
  <c r="J297" i="7"/>
  <c r="L297" i="7" s="1"/>
  <c r="I297" i="7"/>
  <c r="K297" i="7" s="1"/>
  <c r="M297" i="7" s="1"/>
  <c r="N297" i="7" s="1"/>
  <c r="B297" i="7"/>
  <c r="J295" i="7"/>
  <c r="L295" i="7" s="1"/>
  <c r="I295" i="7"/>
  <c r="K295" i="7" s="1"/>
  <c r="M295" i="7" s="1"/>
  <c r="N295" i="7" s="1"/>
  <c r="L294" i="7"/>
  <c r="J294" i="7"/>
  <c r="J293" i="7"/>
  <c r="L293" i="7" s="1"/>
  <c r="I293" i="7"/>
  <c r="K293" i="7" s="1"/>
  <c r="M293" i="7" s="1"/>
  <c r="N293" i="7" s="1"/>
  <c r="J291" i="7"/>
  <c r="L291" i="7" s="1"/>
  <c r="I291" i="7"/>
  <c r="K291" i="7" s="1"/>
  <c r="J290" i="7"/>
  <c r="L290" i="7" s="1"/>
  <c r="J289" i="7"/>
  <c r="L289" i="7" s="1"/>
  <c r="I289" i="7"/>
  <c r="K289" i="7" s="1"/>
  <c r="J287" i="7"/>
  <c r="L287" i="7" s="1"/>
  <c r="I287" i="7"/>
  <c r="K287" i="7" s="1"/>
  <c r="M287" i="7" s="1"/>
  <c r="N287" i="7" s="1"/>
  <c r="L286" i="7"/>
  <c r="J286" i="7"/>
  <c r="J285" i="7"/>
  <c r="L285" i="7" s="1"/>
  <c r="I285" i="7"/>
  <c r="K285" i="7" s="1"/>
  <c r="M285" i="7" s="1"/>
  <c r="N285" i="7" s="1"/>
  <c r="J283" i="7"/>
  <c r="L283" i="7" s="1"/>
  <c r="I283" i="7"/>
  <c r="K283" i="7" s="1"/>
  <c r="J282" i="7"/>
  <c r="L282" i="7" s="1"/>
  <c r="J281" i="7"/>
  <c r="L281" i="7" s="1"/>
  <c r="I281" i="7"/>
  <c r="K281" i="7" s="1"/>
  <c r="J279" i="7"/>
  <c r="L279" i="7" s="1"/>
  <c r="J277" i="7"/>
  <c r="L277" i="7" s="1"/>
  <c r="J276" i="7"/>
  <c r="L276" i="7" s="1"/>
  <c r="J275" i="7"/>
  <c r="L275" i="7" s="1"/>
  <c r="J274" i="7"/>
  <c r="L274" i="7" s="1"/>
  <c r="J273" i="7"/>
  <c r="L273" i="7" s="1"/>
  <c r="B273" i="7"/>
  <c r="C273" i="7" s="1"/>
  <c r="J271" i="7"/>
  <c r="L271" i="7" s="1"/>
  <c r="J269" i="7"/>
  <c r="L269" i="7" s="1"/>
  <c r="J268" i="7"/>
  <c r="L268" i="7" s="1"/>
  <c r="J267" i="7"/>
  <c r="L267" i="7" s="1"/>
  <c r="J266" i="7"/>
  <c r="L266" i="7" s="1"/>
  <c r="J265" i="7"/>
  <c r="L265" i="7" s="1"/>
  <c r="I265" i="7"/>
  <c r="K265" i="7" s="1"/>
  <c r="J264" i="7"/>
  <c r="L264" i="7" s="1"/>
  <c r="J263" i="7"/>
  <c r="L263" i="7" s="1"/>
  <c r="I263" i="7"/>
  <c r="K263" i="7" s="1"/>
  <c r="J262" i="7"/>
  <c r="L262" i="7" s="1"/>
  <c r="J261" i="7"/>
  <c r="L261" i="7" s="1"/>
  <c r="I261" i="7"/>
  <c r="K261" i="7" s="1"/>
  <c r="J260" i="7"/>
  <c r="L260" i="7" s="1"/>
  <c r="J259" i="7"/>
  <c r="L259" i="7" s="1"/>
  <c r="I259" i="7"/>
  <c r="K259" i="7" s="1"/>
  <c r="J258" i="7"/>
  <c r="L258" i="7" s="1"/>
  <c r="J257" i="7"/>
  <c r="L257" i="7" s="1"/>
  <c r="I257" i="7"/>
  <c r="K257" i="7" s="1"/>
  <c r="J256" i="7"/>
  <c r="L256" i="7" s="1"/>
  <c r="J255" i="7"/>
  <c r="L255" i="7" s="1"/>
  <c r="I255" i="7"/>
  <c r="K255" i="7" s="1"/>
  <c r="J254" i="7"/>
  <c r="L254" i="7" s="1"/>
  <c r="J253" i="7"/>
  <c r="L253" i="7" s="1"/>
  <c r="I253" i="7"/>
  <c r="K253" i="7" s="1"/>
  <c r="J252" i="7"/>
  <c r="L252" i="7" s="1"/>
  <c r="J251" i="7"/>
  <c r="L251" i="7" s="1"/>
  <c r="I251" i="7"/>
  <c r="K251" i="7" s="1"/>
  <c r="J250" i="7"/>
  <c r="L250" i="7" s="1"/>
  <c r="J249" i="7"/>
  <c r="L249" i="7" s="1"/>
  <c r="I249" i="7"/>
  <c r="K249" i="7" s="1"/>
  <c r="B249" i="7"/>
  <c r="B250" i="7" s="1"/>
  <c r="J248" i="7"/>
  <c r="L248" i="7" s="1"/>
  <c r="J247" i="7"/>
  <c r="L247" i="7" s="1"/>
  <c r="I247" i="7"/>
  <c r="K247" i="7" s="1"/>
  <c r="J246" i="7"/>
  <c r="L246" i="7" s="1"/>
  <c r="J245" i="7"/>
  <c r="L245" i="7" s="1"/>
  <c r="I245" i="7"/>
  <c r="K245" i="7" s="1"/>
  <c r="J244" i="7"/>
  <c r="L244" i="7" s="1"/>
  <c r="J243" i="7"/>
  <c r="L243" i="7" s="1"/>
  <c r="I243" i="7"/>
  <c r="K243" i="7" s="1"/>
  <c r="J242" i="7"/>
  <c r="L242" i="7" s="1"/>
  <c r="J241" i="7"/>
  <c r="L241" i="7" s="1"/>
  <c r="I241" i="7"/>
  <c r="K241" i="7" s="1"/>
  <c r="J240" i="7"/>
  <c r="L240" i="7" s="1"/>
  <c r="J239" i="7"/>
  <c r="L239" i="7" s="1"/>
  <c r="I239" i="7"/>
  <c r="K239" i="7" s="1"/>
  <c r="J238" i="7"/>
  <c r="L238" i="7" s="1"/>
  <c r="J237" i="7"/>
  <c r="L237" i="7" s="1"/>
  <c r="I237" i="7"/>
  <c r="K237" i="7" s="1"/>
  <c r="J236" i="7"/>
  <c r="L236" i="7" s="1"/>
  <c r="J235" i="7"/>
  <c r="L235" i="7" s="1"/>
  <c r="I235" i="7"/>
  <c r="K235" i="7" s="1"/>
  <c r="J234" i="7"/>
  <c r="L234" i="7" s="1"/>
  <c r="J233" i="7"/>
  <c r="L233" i="7" s="1"/>
  <c r="I233" i="7"/>
  <c r="K233" i="7" s="1"/>
  <c r="J232" i="7"/>
  <c r="L232" i="7" s="1"/>
  <c r="J231" i="7"/>
  <c r="L231" i="7" s="1"/>
  <c r="I231" i="7"/>
  <c r="K231" i="7" s="1"/>
  <c r="J230" i="7"/>
  <c r="L230" i="7" s="1"/>
  <c r="J229" i="7"/>
  <c r="L229" i="7" s="1"/>
  <c r="I229" i="7"/>
  <c r="K229" i="7" s="1"/>
  <c r="J228" i="7"/>
  <c r="L228" i="7" s="1"/>
  <c r="J227" i="7"/>
  <c r="L227" i="7" s="1"/>
  <c r="I227" i="7"/>
  <c r="K227" i="7" s="1"/>
  <c r="J226" i="7"/>
  <c r="L226" i="7" s="1"/>
  <c r="J225" i="7"/>
  <c r="L225" i="7" s="1"/>
  <c r="I225" i="7"/>
  <c r="K225" i="7" s="1"/>
  <c r="M225" i="7" s="1"/>
  <c r="B225" i="7"/>
  <c r="J223" i="7"/>
  <c r="L223" i="7" s="1"/>
  <c r="I223" i="7"/>
  <c r="K223" i="7" s="1"/>
  <c r="M223" i="7" s="1"/>
  <c r="J221" i="7"/>
  <c r="L221" i="7" s="1"/>
  <c r="I221" i="7"/>
  <c r="K221" i="7" s="1"/>
  <c r="J220" i="7"/>
  <c r="L220" i="7" s="1"/>
  <c r="J219" i="7"/>
  <c r="L219" i="7" s="1"/>
  <c r="I219" i="7"/>
  <c r="K219" i="7" s="1"/>
  <c r="M219" i="7" s="1"/>
  <c r="J218" i="7"/>
  <c r="L218" i="7" s="1"/>
  <c r="J217" i="7"/>
  <c r="L217" i="7" s="1"/>
  <c r="I217" i="7"/>
  <c r="K217" i="7" s="1"/>
  <c r="M217" i="7" s="1"/>
  <c r="J215" i="7"/>
  <c r="L215" i="7" s="1"/>
  <c r="I215" i="7"/>
  <c r="K215" i="7" s="1"/>
  <c r="J213" i="7"/>
  <c r="L213" i="7" s="1"/>
  <c r="I213" i="7"/>
  <c r="K213" i="7" s="1"/>
  <c r="M213" i="7" s="1"/>
  <c r="J212" i="7"/>
  <c r="L212" i="7" s="1"/>
  <c r="J211" i="7"/>
  <c r="L211" i="7" s="1"/>
  <c r="I211" i="7"/>
  <c r="K211" i="7" s="1"/>
  <c r="J210" i="7"/>
  <c r="L210" i="7" s="1"/>
  <c r="J209" i="7"/>
  <c r="L209" i="7" s="1"/>
  <c r="I209" i="7"/>
  <c r="K209" i="7" s="1"/>
  <c r="J207" i="7"/>
  <c r="L207" i="7" s="1"/>
  <c r="I207" i="7"/>
  <c r="K207" i="7" s="1"/>
  <c r="M207" i="7" s="1"/>
  <c r="J205" i="7"/>
  <c r="L205" i="7" s="1"/>
  <c r="I205" i="7"/>
  <c r="K205" i="7" s="1"/>
  <c r="J204" i="7"/>
  <c r="L204" i="7" s="1"/>
  <c r="J203" i="7"/>
  <c r="L203" i="7" s="1"/>
  <c r="I203" i="7"/>
  <c r="K203" i="7" s="1"/>
  <c r="M203" i="7" s="1"/>
  <c r="J202" i="7"/>
  <c r="L202" i="7" s="1"/>
  <c r="J201" i="7"/>
  <c r="L201" i="7" s="1"/>
  <c r="I201" i="7"/>
  <c r="K201" i="7" s="1"/>
  <c r="M201" i="7" s="1"/>
  <c r="B201" i="7"/>
  <c r="J199" i="7"/>
  <c r="L199" i="7" s="1"/>
  <c r="I199" i="7"/>
  <c r="K199" i="7" s="1"/>
  <c r="J197" i="7"/>
  <c r="L197" i="7" s="1"/>
  <c r="I197" i="7"/>
  <c r="K197" i="7" s="1"/>
  <c r="M197" i="7" s="1"/>
  <c r="J196" i="7"/>
  <c r="L196" i="7" s="1"/>
  <c r="J195" i="7"/>
  <c r="L195" i="7" s="1"/>
  <c r="I195" i="7"/>
  <c r="K195" i="7" s="1"/>
  <c r="M195" i="7" s="1"/>
  <c r="J194" i="7"/>
  <c r="L194" i="7" s="1"/>
  <c r="J193" i="7"/>
  <c r="L193" i="7" s="1"/>
  <c r="I193" i="7"/>
  <c r="K193" i="7" s="1"/>
  <c r="J191" i="7"/>
  <c r="L191" i="7" s="1"/>
  <c r="I191" i="7"/>
  <c r="K191" i="7" s="1"/>
  <c r="M191" i="7" s="1"/>
  <c r="J189" i="7"/>
  <c r="L189" i="7" s="1"/>
  <c r="I189" i="7"/>
  <c r="K189" i="7" s="1"/>
  <c r="J188" i="7"/>
  <c r="L188" i="7" s="1"/>
  <c r="J187" i="7"/>
  <c r="L187" i="7" s="1"/>
  <c r="I187" i="7"/>
  <c r="K187" i="7" s="1"/>
  <c r="J186" i="7"/>
  <c r="L186" i="7" s="1"/>
  <c r="J185" i="7"/>
  <c r="L185" i="7" s="1"/>
  <c r="I185" i="7"/>
  <c r="K185" i="7" s="1"/>
  <c r="M185" i="7" s="1"/>
  <c r="J183" i="7"/>
  <c r="L183" i="7" s="1"/>
  <c r="I183" i="7"/>
  <c r="K183" i="7" s="1"/>
  <c r="J181" i="7"/>
  <c r="L181" i="7" s="1"/>
  <c r="I181" i="7"/>
  <c r="K181" i="7" s="1"/>
  <c r="M181" i="7" s="1"/>
  <c r="J180" i="7"/>
  <c r="L180" i="7" s="1"/>
  <c r="J179" i="7"/>
  <c r="L179" i="7" s="1"/>
  <c r="I179" i="7"/>
  <c r="K179" i="7" s="1"/>
  <c r="M179" i="7" s="1"/>
  <c r="J178" i="7"/>
  <c r="L178" i="7" s="1"/>
  <c r="J177" i="7"/>
  <c r="L177" i="7" s="1"/>
  <c r="I177" i="7"/>
  <c r="K177" i="7" s="1"/>
  <c r="B177" i="7"/>
  <c r="J175" i="7"/>
  <c r="L175" i="7" s="1"/>
  <c r="I175" i="7"/>
  <c r="K175" i="7" s="1"/>
  <c r="J173" i="7"/>
  <c r="L173" i="7" s="1"/>
  <c r="I173" i="7"/>
  <c r="K173" i="7" s="1"/>
  <c r="M173" i="7" s="1"/>
  <c r="J172" i="7"/>
  <c r="L172" i="7" s="1"/>
  <c r="J171" i="7"/>
  <c r="L171" i="7" s="1"/>
  <c r="I171" i="7"/>
  <c r="K171" i="7" s="1"/>
  <c r="J170" i="7"/>
  <c r="L170" i="7" s="1"/>
  <c r="J169" i="7"/>
  <c r="L169" i="7" s="1"/>
  <c r="I169" i="7"/>
  <c r="K169" i="7" s="1"/>
  <c r="J167" i="7"/>
  <c r="L167" i="7" s="1"/>
  <c r="I167" i="7"/>
  <c r="K167" i="7" s="1"/>
  <c r="M167" i="7" s="1"/>
  <c r="J165" i="7"/>
  <c r="L165" i="7" s="1"/>
  <c r="I165" i="7"/>
  <c r="K165" i="7" s="1"/>
  <c r="J163" i="7"/>
  <c r="L163" i="7" s="1"/>
  <c r="I163" i="7"/>
  <c r="K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B153" i="7"/>
  <c r="B154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J145" i="7"/>
  <c r="L145" i="7" s="1"/>
  <c r="J144" i="7"/>
  <c r="L144" i="7" s="1"/>
  <c r="J143" i="7"/>
  <c r="L143" i="7" s="1"/>
  <c r="J142" i="7"/>
  <c r="L142" i="7" s="1"/>
  <c r="J141" i="7"/>
  <c r="L141" i="7" s="1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B129" i="7"/>
  <c r="B130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B105" i="7"/>
  <c r="B106" i="7" s="1"/>
  <c r="J104" i="7"/>
  <c r="L104" i="7" s="1"/>
  <c r="J103" i="7"/>
  <c r="L103" i="7" s="1"/>
  <c r="J102" i="7"/>
  <c r="L102" i="7" s="1"/>
  <c r="J101" i="7"/>
  <c r="L101" i="7" s="1"/>
  <c r="J100" i="7"/>
  <c r="L100" i="7" s="1"/>
  <c r="J99" i="7"/>
  <c r="L99" i="7" s="1"/>
  <c r="J98" i="7"/>
  <c r="L98" i="7" s="1"/>
  <c r="J97" i="7"/>
  <c r="L97" i="7" s="1"/>
  <c r="J96" i="7"/>
  <c r="L96" i="7" s="1"/>
  <c r="J95" i="7"/>
  <c r="L95" i="7" s="1"/>
  <c r="J94" i="7"/>
  <c r="L94" i="7" s="1"/>
  <c r="J93" i="7"/>
  <c r="L93" i="7" s="1"/>
  <c r="N93" i="7"/>
  <c r="J92" i="7"/>
  <c r="L92" i="7" s="1"/>
  <c r="J91" i="7"/>
  <c r="L91" i="7" s="1"/>
  <c r="J90" i="7"/>
  <c r="L90" i="7" s="1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J81" i="7"/>
  <c r="L81" i="7" s="1"/>
  <c r="B81" i="7"/>
  <c r="B82" i="7" s="1"/>
  <c r="J80" i="7"/>
  <c r="L80" i="7" s="1"/>
  <c r="J79" i="7"/>
  <c r="L79" i="7" s="1"/>
  <c r="J77" i="7"/>
  <c r="L77" i="7" s="1"/>
  <c r="J75" i="7"/>
  <c r="L75" i="7" s="1"/>
  <c r="J73" i="7"/>
  <c r="L73" i="7" s="1"/>
  <c r="J71" i="7"/>
  <c r="L71" i="7" s="1"/>
  <c r="J69" i="7"/>
  <c r="L69" i="7" s="1"/>
  <c r="J67" i="7"/>
  <c r="L67" i="7" s="1"/>
  <c r="J65" i="7"/>
  <c r="L65" i="7" s="1"/>
  <c r="J63" i="7"/>
  <c r="L63" i="7" s="1"/>
  <c r="J61" i="7"/>
  <c r="L61" i="7" s="1"/>
  <c r="I60" i="7"/>
  <c r="K60" i="7" s="1"/>
  <c r="J59" i="7"/>
  <c r="L59" i="7" s="1"/>
  <c r="J58" i="7"/>
  <c r="L58" i="7" s="1"/>
  <c r="J57" i="7"/>
  <c r="L57" i="7" s="1"/>
  <c r="C57" i="7"/>
  <c r="B57" i="7"/>
  <c r="B58" i="7" s="1"/>
  <c r="C58" i="7" s="1"/>
  <c r="J56" i="7"/>
  <c r="L56" i="7" s="1"/>
  <c r="I56" i="7"/>
  <c r="K56" i="7" s="1"/>
  <c r="J55" i="7"/>
  <c r="L55" i="7" s="1"/>
  <c r="J54" i="7"/>
  <c r="L54" i="7" s="1"/>
  <c r="J51" i="7"/>
  <c r="L51" i="7" s="1"/>
  <c r="J50" i="7"/>
  <c r="L50" i="7" s="1"/>
  <c r="J49" i="7"/>
  <c r="L49" i="7" s="1"/>
  <c r="J48" i="7"/>
  <c r="L48" i="7" s="1"/>
  <c r="J46" i="7"/>
  <c r="L46" i="7" s="1"/>
  <c r="J45" i="7"/>
  <c r="L45" i="7" s="1"/>
  <c r="J44" i="7"/>
  <c r="L44" i="7" s="1"/>
  <c r="J43" i="7"/>
  <c r="L43" i="7" s="1"/>
  <c r="I43" i="7"/>
  <c r="K43" i="7" s="1"/>
  <c r="J42" i="7"/>
  <c r="L42" i="7" s="1"/>
  <c r="J41" i="7"/>
  <c r="L41" i="7" s="1"/>
  <c r="I41" i="7"/>
  <c r="K41" i="7" s="1"/>
  <c r="J40" i="7"/>
  <c r="L40" i="7" s="1"/>
  <c r="J39" i="7"/>
  <c r="L39" i="7" s="1"/>
  <c r="I39" i="7"/>
  <c r="K39" i="7" s="1"/>
  <c r="M39" i="7" s="1"/>
  <c r="N39" i="7" s="1"/>
  <c r="J38" i="7"/>
  <c r="L38" i="7" s="1"/>
  <c r="J37" i="7"/>
  <c r="L37" i="7" s="1"/>
  <c r="I37" i="7"/>
  <c r="K37" i="7" s="1"/>
  <c r="M37" i="7" s="1"/>
  <c r="J36" i="7"/>
  <c r="L36" i="7" s="1"/>
  <c r="J35" i="7"/>
  <c r="L35" i="7" s="1"/>
  <c r="I35" i="7"/>
  <c r="K35" i="7" s="1"/>
  <c r="J34" i="7"/>
  <c r="L34" i="7" s="1"/>
  <c r="C34" i="7"/>
  <c r="B34" i="7"/>
  <c r="B35" i="7" s="1"/>
  <c r="J33" i="7"/>
  <c r="L33" i="7" s="1"/>
  <c r="I33" i="7"/>
  <c r="K33" i="7" s="1"/>
  <c r="M33" i="7" s="1"/>
  <c r="B33" i="7"/>
  <c r="C33" i="7" s="1"/>
  <c r="J32" i="7"/>
  <c r="L32" i="7" s="1"/>
  <c r="J31" i="7"/>
  <c r="L31" i="7" s="1"/>
  <c r="I31" i="7"/>
  <c r="K31" i="7" s="1"/>
  <c r="M31" i="7" s="1"/>
  <c r="N31" i="7" s="1"/>
  <c r="J30" i="7"/>
  <c r="L30" i="7" s="1"/>
  <c r="J29" i="7"/>
  <c r="L29" i="7" s="1"/>
  <c r="I29" i="7"/>
  <c r="K29" i="7" s="1"/>
  <c r="J28" i="7"/>
  <c r="L28" i="7" s="1"/>
  <c r="J27" i="7"/>
  <c r="L27" i="7" s="1"/>
  <c r="I27" i="7"/>
  <c r="K27" i="7" s="1"/>
  <c r="J26" i="7"/>
  <c r="L26" i="7" s="1"/>
  <c r="J25" i="7"/>
  <c r="L25" i="7" s="1"/>
  <c r="I25" i="7"/>
  <c r="K25" i="7" s="1"/>
  <c r="M25" i="7" s="1"/>
  <c r="N25" i="7" s="1"/>
  <c r="J24" i="7"/>
  <c r="L24" i="7" s="1"/>
  <c r="J23" i="7"/>
  <c r="L23" i="7" s="1"/>
  <c r="I23" i="7"/>
  <c r="K23" i="7" s="1"/>
  <c r="M23" i="7" s="1"/>
  <c r="N23" i="7" s="1"/>
  <c r="J22" i="7"/>
  <c r="L22" i="7" s="1"/>
  <c r="J21" i="7"/>
  <c r="L21" i="7" s="1"/>
  <c r="I21" i="7"/>
  <c r="K21" i="7" s="1"/>
  <c r="J20" i="7"/>
  <c r="L20" i="7" s="1"/>
  <c r="J19" i="7"/>
  <c r="L19" i="7" s="1"/>
  <c r="I19" i="7"/>
  <c r="K19" i="7" s="1"/>
  <c r="J18" i="7"/>
  <c r="L18" i="7" s="1"/>
  <c r="J17" i="7"/>
  <c r="L17" i="7" s="1"/>
  <c r="I17" i="7"/>
  <c r="K17" i="7" s="1"/>
  <c r="M17" i="7" s="1"/>
  <c r="N17" i="7" s="1"/>
  <c r="J16" i="7"/>
  <c r="L16" i="7" s="1"/>
  <c r="J15" i="7"/>
  <c r="L15" i="7" s="1"/>
  <c r="I15" i="7"/>
  <c r="K15" i="7" s="1"/>
  <c r="M15" i="7" s="1"/>
  <c r="N15" i="7" s="1"/>
  <c r="J14" i="7"/>
  <c r="L14" i="7" s="1"/>
  <c r="J13" i="7"/>
  <c r="L13" i="7" s="1"/>
  <c r="I13" i="7"/>
  <c r="K13" i="7" s="1"/>
  <c r="J12" i="7"/>
  <c r="L12" i="7" s="1"/>
  <c r="J11" i="7"/>
  <c r="L11" i="7" s="1"/>
  <c r="I11" i="7"/>
  <c r="K11" i="7" s="1"/>
  <c r="J10" i="7"/>
  <c r="L10" i="7" s="1"/>
  <c r="B10" i="7"/>
  <c r="B11" i="7" s="1"/>
  <c r="J9" i="7"/>
  <c r="L9" i="7" s="1"/>
  <c r="I9" i="7"/>
  <c r="K9" i="7" s="1"/>
  <c r="C9" i="7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N51" i="1"/>
  <c r="AN40" i="1"/>
  <c r="B31" i="1"/>
  <c r="B32" i="1" s="1"/>
  <c r="B33" i="1" s="1"/>
  <c r="B34" i="1" s="1"/>
  <c r="B35" i="1" s="1"/>
  <c r="B36" i="1" s="1"/>
  <c r="B37" i="1" s="1"/>
  <c r="B38" i="1" s="1"/>
  <c r="B3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C10" i="7" l="1"/>
  <c r="M11" i="7"/>
  <c r="N11" i="7" s="1"/>
  <c r="M19" i="7"/>
  <c r="N19" i="7" s="1"/>
  <c r="M27" i="7"/>
  <c r="N27" i="7" s="1"/>
  <c r="M41" i="7"/>
  <c r="N41" i="7" s="1"/>
  <c r="M165" i="7"/>
  <c r="M169" i="7"/>
  <c r="M175" i="7"/>
  <c r="M187" i="7"/>
  <c r="M205" i="7"/>
  <c r="M209" i="7"/>
  <c r="M215" i="7"/>
  <c r="M221" i="7"/>
  <c r="M227" i="7"/>
  <c r="M283" i="7"/>
  <c r="N283" i="7" s="1"/>
  <c r="M291" i="7"/>
  <c r="N291" i="7" s="1"/>
  <c r="M303" i="7"/>
  <c r="N303" i="7" s="1"/>
  <c r="O303" i="7" s="1"/>
  <c r="M311" i="7"/>
  <c r="N311" i="7" s="1"/>
  <c r="O311" i="7" s="1"/>
  <c r="M315" i="7"/>
  <c r="N315" i="7" s="1"/>
  <c r="O315" i="7" s="1"/>
  <c r="M317" i="7"/>
  <c r="N317" i="7" s="1"/>
  <c r="M325" i="7"/>
  <c r="N325" i="7" s="1"/>
  <c r="M345" i="7"/>
  <c r="N345" i="7" s="1"/>
  <c r="M361" i="7"/>
  <c r="N361" i="7" s="1"/>
  <c r="M365" i="7"/>
  <c r="N365" i="7" s="1"/>
  <c r="M395" i="7"/>
  <c r="N395" i="7" s="1"/>
  <c r="M399" i="7"/>
  <c r="N399" i="7" s="1"/>
  <c r="M403" i="7"/>
  <c r="N403" i="7" s="1"/>
  <c r="M407" i="7"/>
  <c r="N407" i="7" s="1"/>
  <c r="M441" i="7"/>
  <c r="N441" i="7" s="1"/>
  <c r="M449" i="7"/>
  <c r="N449" i="7" s="1"/>
  <c r="M457" i="7"/>
  <c r="N457" i="7" s="1"/>
  <c r="M511" i="7"/>
  <c r="N511" i="7" s="1"/>
  <c r="M527" i="7"/>
  <c r="N527" i="7" s="1"/>
  <c r="M551" i="7"/>
  <c r="N551" i="7" s="1"/>
  <c r="O551" i="7" s="1"/>
  <c r="M565" i="7"/>
  <c r="N565" i="7" s="1"/>
  <c r="M624" i="7"/>
  <c r="N624" i="7" s="1"/>
  <c r="M703" i="7"/>
  <c r="N703" i="7" s="1"/>
  <c r="M705" i="7"/>
  <c r="N705" i="7" s="1"/>
  <c r="M709" i="7"/>
  <c r="N709" i="7" s="1"/>
  <c r="M713" i="7"/>
  <c r="N713" i="7" s="1"/>
  <c r="M717" i="7"/>
  <c r="N717" i="7" s="1"/>
  <c r="M721" i="7"/>
  <c r="N721" i="7" s="1"/>
  <c r="M723" i="7"/>
  <c r="N723" i="7" s="1"/>
  <c r="M729" i="7"/>
  <c r="N729" i="7" s="1"/>
  <c r="M733" i="7"/>
  <c r="N733" i="7" s="1"/>
  <c r="M337" i="7"/>
  <c r="N337" i="7" s="1"/>
  <c r="M349" i="7"/>
  <c r="N349" i="7" s="1"/>
  <c r="M369" i="7"/>
  <c r="N369" i="7" s="1"/>
  <c r="M373" i="7"/>
  <c r="N373" i="7" s="1"/>
  <c r="M377" i="7"/>
  <c r="N377" i="7" s="1"/>
  <c r="M381" i="7"/>
  <c r="N381" i="7" s="1"/>
  <c r="M385" i="7"/>
  <c r="N385" i="7" s="1"/>
  <c r="M389" i="7"/>
  <c r="N389" i="7" s="1"/>
  <c r="M437" i="7"/>
  <c r="N437" i="7" s="1"/>
  <c r="M465" i="7"/>
  <c r="N465" i="7" s="1"/>
  <c r="M473" i="7"/>
  <c r="N473" i="7" s="1"/>
  <c r="M481" i="7"/>
  <c r="N481" i="7" s="1"/>
  <c r="M515" i="7"/>
  <c r="N515" i="7" s="1"/>
  <c r="O515" i="7" s="1"/>
  <c r="M547" i="7"/>
  <c r="N547" i="7" s="1"/>
  <c r="M620" i="7"/>
  <c r="N620" i="7" s="1"/>
  <c r="M691" i="7"/>
  <c r="N691" i="7" s="1"/>
  <c r="M697" i="7"/>
  <c r="N697" i="7" s="1"/>
  <c r="M702" i="7"/>
  <c r="N702" i="7" s="1"/>
  <c r="M708" i="7"/>
  <c r="N708" i="7" s="1"/>
  <c r="M712" i="7"/>
  <c r="N712" i="7" s="1"/>
  <c r="M716" i="7"/>
  <c r="N716" i="7" s="1"/>
  <c r="M727" i="7"/>
  <c r="N727" i="7" s="1"/>
  <c r="M9" i="7"/>
  <c r="N9" i="7" s="1"/>
  <c r="M13" i="7"/>
  <c r="N13" i="7" s="1"/>
  <c r="O13" i="7" s="1"/>
  <c r="M21" i="7"/>
  <c r="N21" i="7" s="1"/>
  <c r="M29" i="7"/>
  <c r="N29" i="7" s="1"/>
  <c r="M35" i="7"/>
  <c r="N35" i="7" s="1"/>
  <c r="O35" i="7" s="1"/>
  <c r="M43" i="7"/>
  <c r="N43" i="7" s="1"/>
  <c r="M56" i="7"/>
  <c r="M171" i="7"/>
  <c r="M177" i="7"/>
  <c r="M183" i="7"/>
  <c r="M189" i="7"/>
  <c r="M193" i="7"/>
  <c r="M199" i="7"/>
  <c r="M211" i="7"/>
  <c r="N211" i="7" s="1"/>
  <c r="M319" i="7"/>
  <c r="N319" i="7" s="1"/>
  <c r="O319" i="7" s="1"/>
  <c r="M333" i="7"/>
  <c r="N333" i="7" s="1"/>
  <c r="M357" i="7"/>
  <c r="N357" i="7" s="1"/>
  <c r="M371" i="7"/>
  <c r="N371" i="7" s="1"/>
  <c r="M375" i="7"/>
  <c r="N375" i="7" s="1"/>
  <c r="M379" i="7"/>
  <c r="N379" i="7" s="1"/>
  <c r="M383" i="7"/>
  <c r="N383" i="7" s="1"/>
  <c r="M387" i="7"/>
  <c r="N387" i="7" s="1"/>
  <c r="M391" i="7"/>
  <c r="N391" i="7" s="1"/>
  <c r="M433" i="7"/>
  <c r="N433" i="7" s="1"/>
  <c r="M469" i="7"/>
  <c r="N469" i="7" s="1"/>
  <c r="M477" i="7"/>
  <c r="N477" i="7" s="1"/>
  <c r="M485" i="7"/>
  <c r="N485" i="7" s="1"/>
  <c r="M531" i="7"/>
  <c r="N531" i="7" s="1"/>
  <c r="O531" i="7" s="1"/>
  <c r="M545" i="7"/>
  <c r="N545" i="7" s="1"/>
  <c r="M628" i="7"/>
  <c r="N628" i="7" s="1"/>
  <c r="M693" i="7"/>
  <c r="N693" i="7" s="1"/>
  <c r="M701" i="7"/>
  <c r="N701" i="7" s="1"/>
  <c r="M725" i="7"/>
  <c r="N725" i="7" s="1"/>
  <c r="O725" i="7" s="1"/>
  <c r="N33" i="7"/>
  <c r="N37" i="7"/>
  <c r="O37" i="7" s="1"/>
  <c r="O39" i="7"/>
  <c r="O9" i="7"/>
  <c r="O21" i="7"/>
  <c r="O29" i="7"/>
  <c r="B36" i="7"/>
  <c r="C35" i="7"/>
  <c r="B12" i="7"/>
  <c r="C11" i="7"/>
  <c r="O15" i="7"/>
  <c r="O23" i="7"/>
  <c r="O31" i="7"/>
  <c r="O41" i="7"/>
  <c r="O17" i="7"/>
  <c r="O25" i="7"/>
  <c r="N42" i="7"/>
  <c r="O43" i="7"/>
  <c r="O11" i="7"/>
  <c r="O19" i="7"/>
  <c r="N26" i="7"/>
  <c r="O27" i="7"/>
  <c r="C130" i="7"/>
  <c r="B131" i="7"/>
  <c r="I12" i="7"/>
  <c r="K12" i="7" s="1"/>
  <c r="M12" i="7" s="1"/>
  <c r="N12" i="7" s="1"/>
  <c r="I14" i="7"/>
  <c r="K14" i="7" s="1"/>
  <c r="M14" i="7" s="1"/>
  <c r="N14" i="7" s="1"/>
  <c r="I16" i="7"/>
  <c r="K16" i="7" s="1"/>
  <c r="M16" i="7" s="1"/>
  <c r="N16" i="7" s="1"/>
  <c r="I18" i="7"/>
  <c r="K18" i="7" s="1"/>
  <c r="M18" i="7" s="1"/>
  <c r="N18" i="7" s="1"/>
  <c r="I20" i="7"/>
  <c r="K20" i="7" s="1"/>
  <c r="M20" i="7" s="1"/>
  <c r="N20" i="7" s="1"/>
  <c r="I22" i="7"/>
  <c r="K22" i="7" s="1"/>
  <c r="M22" i="7" s="1"/>
  <c r="N22" i="7" s="1"/>
  <c r="I24" i="7"/>
  <c r="K24" i="7" s="1"/>
  <c r="M24" i="7" s="1"/>
  <c r="N24" i="7" s="1"/>
  <c r="I26" i="7"/>
  <c r="K26" i="7" s="1"/>
  <c r="M26" i="7" s="1"/>
  <c r="I28" i="7"/>
  <c r="K28" i="7" s="1"/>
  <c r="M28" i="7" s="1"/>
  <c r="N28" i="7" s="1"/>
  <c r="I30" i="7"/>
  <c r="K30" i="7" s="1"/>
  <c r="M30" i="7" s="1"/>
  <c r="N30" i="7" s="1"/>
  <c r="I32" i="7"/>
  <c r="K32" i="7" s="1"/>
  <c r="M32" i="7" s="1"/>
  <c r="N32" i="7" s="1"/>
  <c r="I34" i="7"/>
  <c r="K34" i="7" s="1"/>
  <c r="M34" i="7" s="1"/>
  <c r="N34" i="7" s="1"/>
  <c r="I36" i="7"/>
  <c r="K36" i="7" s="1"/>
  <c r="M36" i="7" s="1"/>
  <c r="N36" i="7" s="1"/>
  <c r="I38" i="7"/>
  <c r="K38" i="7" s="1"/>
  <c r="M38" i="7" s="1"/>
  <c r="N38" i="7" s="1"/>
  <c r="I40" i="7"/>
  <c r="K40" i="7" s="1"/>
  <c r="M40" i="7" s="1"/>
  <c r="N40" i="7" s="1"/>
  <c r="I42" i="7"/>
  <c r="K42" i="7" s="1"/>
  <c r="M42" i="7" s="1"/>
  <c r="I44" i="7"/>
  <c r="K44" i="7" s="1"/>
  <c r="M44" i="7" s="1"/>
  <c r="N44" i="7" s="1"/>
  <c r="J47" i="7"/>
  <c r="L47" i="7" s="1"/>
  <c r="I50" i="7"/>
  <c r="K50" i="7" s="1"/>
  <c r="M50" i="7" s="1"/>
  <c r="N50" i="7" s="1"/>
  <c r="I51" i="7"/>
  <c r="K51" i="7" s="1"/>
  <c r="M51" i="7" s="1"/>
  <c r="N51" i="7" s="1"/>
  <c r="J52" i="7"/>
  <c r="L52" i="7" s="1"/>
  <c r="I58" i="7"/>
  <c r="K58" i="7" s="1"/>
  <c r="M58" i="7" s="1"/>
  <c r="N58" i="7" s="1"/>
  <c r="B59" i="7"/>
  <c r="J62" i="7"/>
  <c r="L62" i="7" s="1"/>
  <c r="I62" i="7"/>
  <c r="K62" i="7" s="1"/>
  <c r="C154" i="7"/>
  <c r="B155" i="7"/>
  <c r="M163" i="7"/>
  <c r="N163" i="7" s="1"/>
  <c r="I52" i="7"/>
  <c r="K52" i="7" s="1"/>
  <c r="M52" i="7" s="1"/>
  <c r="N52" i="7" s="1"/>
  <c r="J60" i="7"/>
  <c r="L60" i="7" s="1"/>
  <c r="M60" i="7" s="1"/>
  <c r="N60" i="7" s="1"/>
  <c r="I10" i="7"/>
  <c r="K10" i="7" s="1"/>
  <c r="M10" i="7" s="1"/>
  <c r="N10" i="7" s="1"/>
  <c r="A9" i="7" s="1"/>
  <c r="I48" i="7"/>
  <c r="K48" i="7" s="1"/>
  <c r="M48" i="7" s="1"/>
  <c r="N48" i="7" s="1"/>
  <c r="I49" i="7"/>
  <c r="K49" i="7" s="1"/>
  <c r="M49" i="7" s="1"/>
  <c r="N49" i="7" s="1"/>
  <c r="J53" i="7"/>
  <c r="L53" i="7" s="1"/>
  <c r="N56" i="7"/>
  <c r="J64" i="7"/>
  <c r="L64" i="7" s="1"/>
  <c r="I64" i="7"/>
  <c r="K64" i="7" s="1"/>
  <c r="C82" i="7"/>
  <c r="B83" i="7"/>
  <c r="I53" i="7"/>
  <c r="K53" i="7" s="1"/>
  <c r="M53" i="7" s="1"/>
  <c r="N53" i="7" s="1"/>
  <c r="I45" i="7"/>
  <c r="K45" i="7" s="1"/>
  <c r="M45" i="7" s="1"/>
  <c r="N45" i="7" s="1"/>
  <c r="I46" i="7"/>
  <c r="K46" i="7" s="1"/>
  <c r="M46" i="7" s="1"/>
  <c r="N46" i="7" s="1"/>
  <c r="I47" i="7"/>
  <c r="K47" i="7" s="1"/>
  <c r="M47" i="7" s="1"/>
  <c r="N47" i="7" s="1"/>
  <c r="A33" i="7" s="1"/>
  <c r="I54" i="7"/>
  <c r="K54" i="7" s="1"/>
  <c r="M54" i="7" s="1"/>
  <c r="N54" i="7" s="1"/>
  <c r="J66" i="7"/>
  <c r="L66" i="7" s="1"/>
  <c r="I66" i="7"/>
  <c r="K66" i="7" s="1"/>
  <c r="O93" i="7"/>
  <c r="C106" i="7"/>
  <c r="B107" i="7"/>
  <c r="I68" i="7"/>
  <c r="K68" i="7" s="1"/>
  <c r="I70" i="7"/>
  <c r="K70" i="7" s="1"/>
  <c r="M70" i="7" s="1"/>
  <c r="N70" i="7" s="1"/>
  <c r="I72" i="7"/>
  <c r="K72" i="7" s="1"/>
  <c r="I74" i="7"/>
  <c r="K74" i="7" s="1"/>
  <c r="I76" i="7"/>
  <c r="K76" i="7" s="1"/>
  <c r="I78" i="7"/>
  <c r="K78" i="7" s="1"/>
  <c r="M78" i="7" s="1"/>
  <c r="N78" i="7" s="1"/>
  <c r="I80" i="7"/>
  <c r="K80" i="7" s="1"/>
  <c r="M80" i="7" s="1"/>
  <c r="N80" i="7" s="1"/>
  <c r="I82" i="7"/>
  <c r="K82" i="7" s="1"/>
  <c r="M82" i="7" s="1"/>
  <c r="N82" i="7" s="1"/>
  <c r="I84" i="7"/>
  <c r="K84" i="7" s="1"/>
  <c r="M84" i="7" s="1"/>
  <c r="N84" i="7" s="1"/>
  <c r="I86" i="7"/>
  <c r="K86" i="7" s="1"/>
  <c r="M86" i="7" s="1"/>
  <c r="N86" i="7" s="1"/>
  <c r="I88" i="7"/>
  <c r="K88" i="7" s="1"/>
  <c r="M88" i="7" s="1"/>
  <c r="N88" i="7" s="1"/>
  <c r="I90" i="7"/>
  <c r="K90" i="7" s="1"/>
  <c r="M90" i="7" s="1"/>
  <c r="N90" i="7" s="1"/>
  <c r="I92" i="7"/>
  <c r="K92" i="7" s="1"/>
  <c r="M92" i="7" s="1"/>
  <c r="N92" i="7" s="1"/>
  <c r="I94" i="7"/>
  <c r="K94" i="7" s="1"/>
  <c r="M94" i="7" s="1"/>
  <c r="N94" i="7" s="1"/>
  <c r="I96" i="7"/>
  <c r="K96" i="7" s="1"/>
  <c r="M96" i="7" s="1"/>
  <c r="N96" i="7" s="1"/>
  <c r="I98" i="7"/>
  <c r="K98" i="7" s="1"/>
  <c r="M98" i="7" s="1"/>
  <c r="N98" i="7" s="1"/>
  <c r="I100" i="7"/>
  <c r="K100" i="7" s="1"/>
  <c r="M100" i="7" s="1"/>
  <c r="N100" i="7" s="1"/>
  <c r="I102" i="7"/>
  <c r="K102" i="7" s="1"/>
  <c r="M102" i="7" s="1"/>
  <c r="N102" i="7" s="1"/>
  <c r="I104" i="7"/>
  <c r="K104" i="7" s="1"/>
  <c r="M104" i="7" s="1"/>
  <c r="N104" i="7" s="1"/>
  <c r="I106" i="7"/>
  <c r="K106" i="7" s="1"/>
  <c r="M106" i="7" s="1"/>
  <c r="N106" i="7" s="1"/>
  <c r="I108" i="7"/>
  <c r="K108" i="7" s="1"/>
  <c r="M108" i="7" s="1"/>
  <c r="N108" i="7" s="1"/>
  <c r="I110" i="7"/>
  <c r="K110" i="7" s="1"/>
  <c r="M110" i="7" s="1"/>
  <c r="N110" i="7" s="1"/>
  <c r="I112" i="7"/>
  <c r="K112" i="7" s="1"/>
  <c r="M112" i="7" s="1"/>
  <c r="N112" i="7" s="1"/>
  <c r="I114" i="7"/>
  <c r="K114" i="7" s="1"/>
  <c r="M114" i="7" s="1"/>
  <c r="N114" i="7" s="1"/>
  <c r="I116" i="7"/>
  <c r="K116" i="7" s="1"/>
  <c r="M116" i="7" s="1"/>
  <c r="N116" i="7" s="1"/>
  <c r="I118" i="7"/>
  <c r="K118" i="7" s="1"/>
  <c r="M118" i="7" s="1"/>
  <c r="N118" i="7" s="1"/>
  <c r="I120" i="7"/>
  <c r="K120" i="7" s="1"/>
  <c r="M120" i="7" s="1"/>
  <c r="N120" i="7" s="1"/>
  <c r="I122" i="7"/>
  <c r="K122" i="7" s="1"/>
  <c r="M122" i="7" s="1"/>
  <c r="N122" i="7" s="1"/>
  <c r="I124" i="7"/>
  <c r="K124" i="7" s="1"/>
  <c r="M124" i="7" s="1"/>
  <c r="N124" i="7" s="1"/>
  <c r="I126" i="7"/>
  <c r="K126" i="7" s="1"/>
  <c r="M126" i="7" s="1"/>
  <c r="N126" i="7" s="1"/>
  <c r="I128" i="7"/>
  <c r="K128" i="7" s="1"/>
  <c r="M128" i="7" s="1"/>
  <c r="N128" i="7" s="1"/>
  <c r="I130" i="7"/>
  <c r="K130" i="7" s="1"/>
  <c r="M130" i="7" s="1"/>
  <c r="N130" i="7" s="1"/>
  <c r="I132" i="7"/>
  <c r="K132" i="7" s="1"/>
  <c r="M132" i="7" s="1"/>
  <c r="N132" i="7" s="1"/>
  <c r="I134" i="7"/>
  <c r="K134" i="7" s="1"/>
  <c r="M134" i="7" s="1"/>
  <c r="N134" i="7" s="1"/>
  <c r="I136" i="7"/>
  <c r="K136" i="7" s="1"/>
  <c r="M136" i="7" s="1"/>
  <c r="N136" i="7" s="1"/>
  <c r="I138" i="7"/>
  <c r="K138" i="7" s="1"/>
  <c r="M138" i="7" s="1"/>
  <c r="N138" i="7" s="1"/>
  <c r="I140" i="7"/>
  <c r="K140" i="7" s="1"/>
  <c r="M140" i="7" s="1"/>
  <c r="N140" i="7" s="1"/>
  <c r="I142" i="7"/>
  <c r="K142" i="7" s="1"/>
  <c r="M142" i="7" s="1"/>
  <c r="N142" i="7" s="1"/>
  <c r="I144" i="7"/>
  <c r="K144" i="7" s="1"/>
  <c r="M144" i="7" s="1"/>
  <c r="N144" i="7" s="1"/>
  <c r="I146" i="7"/>
  <c r="K146" i="7" s="1"/>
  <c r="M146" i="7" s="1"/>
  <c r="N146" i="7" s="1"/>
  <c r="I148" i="7"/>
  <c r="K148" i="7" s="1"/>
  <c r="M148" i="7" s="1"/>
  <c r="N148" i="7" s="1"/>
  <c r="I150" i="7"/>
  <c r="K150" i="7" s="1"/>
  <c r="M150" i="7" s="1"/>
  <c r="N150" i="7" s="1"/>
  <c r="I152" i="7"/>
  <c r="K152" i="7" s="1"/>
  <c r="M152" i="7" s="1"/>
  <c r="N152" i="7" s="1"/>
  <c r="I154" i="7"/>
  <c r="K154" i="7" s="1"/>
  <c r="M154" i="7" s="1"/>
  <c r="N154" i="7" s="1"/>
  <c r="I156" i="7"/>
  <c r="K156" i="7" s="1"/>
  <c r="M156" i="7" s="1"/>
  <c r="N156" i="7" s="1"/>
  <c r="I158" i="7"/>
  <c r="K158" i="7" s="1"/>
  <c r="M158" i="7" s="1"/>
  <c r="N158" i="7" s="1"/>
  <c r="I160" i="7"/>
  <c r="K160" i="7" s="1"/>
  <c r="M160" i="7" s="1"/>
  <c r="N160" i="7" s="1"/>
  <c r="I162" i="7"/>
  <c r="K162" i="7" s="1"/>
  <c r="M162" i="7" s="1"/>
  <c r="N162" i="7" s="1"/>
  <c r="I168" i="7"/>
  <c r="K168" i="7" s="1"/>
  <c r="I176" i="7"/>
  <c r="K176" i="7" s="1"/>
  <c r="I184" i="7"/>
  <c r="K184" i="7" s="1"/>
  <c r="I192" i="7"/>
  <c r="K192" i="7" s="1"/>
  <c r="I200" i="7"/>
  <c r="K200" i="7" s="1"/>
  <c r="I208" i="7"/>
  <c r="K208" i="7" s="1"/>
  <c r="I216" i="7"/>
  <c r="K216" i="7" s="1"/>
  <c r="I224" i="7"/>
  <c r="K224" i="7" s="1"/>
  <c r="O285" i="7"/>
  <c r="O293" i="7"/>
  <c r="O317" i="7"/>
  <c r="J68" i="7"/>
  <c r="L68" i="7" s="1"/>
  <c r="J70" i="7"/>
  <c r="L70" i="7" s="1"/>
  <c r="J72" i="7"/>
  <c r="L72" i="7" s="1"/>
  <c r="J74" i="7"/>
  <c r="L74" i="7" s="1"/>
  <c r="J76" i="7"/>
  <c r="L76" i="7" s="1"/>
  <c r="J78" i="7"/>
  <c r="L78" i="7" s="1"/>
  <c r="C81" i="7"/>
  <c r="C105" i="7"/>
  <c r="C129" i="7"/>
  <c r="C153" i="7"/>
  <c r="I170" i="7"/>
  <c r="K170" i="7" s="1"/>
  <c r="M170" i="7" s="1"/>
  <c r="N170" i="7" s="1"/>
  <c r="J174" i="7"/>
  <c r="L174" i="7" s="1"/>
  <c r="I178" i="7"/>
  <c r="K178" i="7" s="1"/>
  <c r="M178" i="7" s="1"/>
  <c r="N178" i="7" s="1"/>
  <c r="J182" i="7"/>
  <c r="L182" i="7" s="1"/>
  <c r="N186" i="7"/>
  <c r="I186" i="7"/>
  <c r="K186" i="7" s="1"/>
  <c r="M186" i="7" s="1"/>
  <c r="J190" i="7"/>
  <c r="L190" i="7" s="1"/>
  <c r="I194" i="7"/>
  <c r="K194" i="7" s="1"/>
  <c r="M194" i="7" s="1"/>
  <c r="N194" i="7" s="1"/>
  <c r="J198" i="7"/>
  <c r="L198" i="7" s="1"/>
  <c r="N202" i="7"/>
  <c r="I202" i="7"/>
  <c r="K202" i="7" s="1"/>
  <c r="M202" i="7" s="1"/>
  <c r="J206" i="7"/>
  <c r="L206" i="7" s="1"/>
  <c r="I210" i="7"/>
  <c r="K210" i="7" s="1"/>
  <c r="M210" i="7" s="1"/>
  <c r="N210" i="7" s="1"/>
  <c r="J214" i="7"/>
  <c r="L214" i="7" s="1"/>
  <c r="I218" i="7"/>
  <c r="K218" i="7" s="1"/>
  <c r="M218" i="7" s="1"/>
  <c r="N218" i="7" s="1"/>
  <c r="J222" i="7"/>
  <c r="L222" i="7" s="1"/>
  <c r="I226" i="7"/>
  <c r="K226" i="7" s="1"/>
  <c r="M226" i="7" s="1"/>
  <c r="N226" i="7" s="1"/>
  <c r="M229" i="7"/>
  <c r="M231" i="7"/>
  <c r="M233" i="7"/>
  <c r="M235" i="7"/>
  <c r="N235" i="7" s="1"/>
  <c r="M237" i="7"/>
  <c r="M239" i="7"/>
  <c r="M241" i="7"/>
  <c r="M243" i="7"/>
  <c r="N243" i="7" s="1"/>
  <c r="M245" i="7"/>
  <c r="M247" i="7"/>
  <c r="B251" i="7"/>
  <c r="C250" i="7"/>
  <c r="O287" i="7"/>
  <c r="O295" i="7"/>
  <c r="O309" i="7"/>
  <c r="O313" i="7"/>
  <c r="I55" i="7"/>
  <c r="K55" i="7" s="1"/>
  <c r="M55" i="7" s="1"/>
  <c r="N55" i="7" s="1"/>
  <c r="I57" i="7"/>
  <c r="K57" i="7" s="1"/>
  <c r="M57" i="7" s="1"/>
  <c r="N57" i="7" s="1"/>
  <c r="I59" i="7"/>
  <c r="K59" i="7" s="1"/>
  <c r="M59" i="7" s="1"/>
  <c r="N59" i="7" s="1"/>
  <c r="I61" i="7"/>
  <c r="K61" i="7" s="1"/>
  <c r="M61" i="7" s="1"/>
  <c r="N61" i="7" s="1"/>
  <c r="I63" i="7"/>
  <c r="K63" i="7" s="1"/>
  <c r="M63" i="7" s="1"/>
  <c r="N63" i="7" s="1"/>
  <c r="I65" i="7"/>
  <c r="K65" i="7" s="1"/>
  <c r="M65" i="7" s="1"/>
  <c r="N65" i="7" s="1"/>
  <c r="I67" i="7"/>
  <c r="K67" i="7" s="1"/>
  <c r="M67" i="7" s="1"/>
  <c r="N67" i="7" s="1"/>
  <c r="I69" i="7"/>
  <c r="K69" i="7" s="1"/>
  <c r="M69" i="7" s="1"/>
  <c r="N69" i="7" s="1"/>
  <c r="I71" i="7"/>
  <c r="K71" i="7" s="1"/>
  <c r="M71" i="7" s="1"/>
  <c r="N71" i="7" s="1"/>
  <c r="I73" i="7"/>
  <c r="K73" i="7" s="1"/>
  <c r="M73" i="7" s="1"/>
  <c r="N73" i="7" s="1"/>
  <c r="I75" i="7"/>
  <c r="K75" i="7" s="1"/>
  <c r="M75" i="7" s="1"/>
  <c r="N75" i="7" s="1"/>
  <c r="I77" i="7"/>
  <c r="K77" i="7" s="1"/>
  <c r="M77" i="7" s="1"/>
  <c r="N77" i="7" s="1"/>
  <c r="I79" i="7"/>
  <c r="K79" i="7" s="1"/>
  <c r="M79" i="7" s="1"/>
  <c r="N79" i="7" s="1"/>
  <c r="I81" i="7"/>
  <c r="K81" i="7" s="1"/>
  <c r="M81" i="7" s="1"/>
  <c r="N81" i="7" s="1"/>
  <c r="I83" i="7"/>
  <c r="K83" i="7" s="1"/>
  <c r="M83" i="7" s="1"/>
  <c r="N83" i="7" s="1"/>
  <c r="I85" i="7"/>
  <c r="K85" i="7" s="1"/>
  <c r="M85" i="7" s="1"/>
  <c r="N85" i="7" s="1"/>
  <c r="I87" i="7"/>
  <c r="K87" i="7" s="1"/>
  <c r="M87" i="7" s="1"/>
  <c r="N87" i="7" s="1"/>
  <c r="I89" i="7"/>
  <c r="K89" i="7" s="1"/>
  <c r="M89" i="7" s="1"/>
  <c r="N89" i="7" s="1"/>
  <c r="I91" i="7"/>
  <c r="K91" i="7" s="1"/>
  <c r="M91" i="7" s="1"/>
  <c r="N91" i="7" s="1"/>
  <c r="I93" i="7"/>
  <c r="K93" i="7" s="1"/>
  <c r="M93" i="7" s="1"/>
  <c r="I95" i="7"/>
  <c r="K95" i="7" s="1"/>
  <c r="M95" i="7" s="1"/>
  <c r="N95" i="7" s="1"/>
  <c r="I97" i="7"/>
  <c r="K97" i="7" s="1"/>
  <c r="M97" i="7" s="1"/>
  <c r="N97" i="7" s="1"/>
  <c r="I99" i="7"/>
  <c r="K99" i="7" s="1"/>
  <c r="M99" i="7" s="1"/>
  <c r="N99" i="7" s="1"/>
  <c r="I101" i="7"/>
  <c r="K101" i="7" s="1"/>
  <c r="M101" i="7" s="1"/>
  <c r="N101" i="7" s="1"/>
  <c r="I103" i="7"/>
  <c r="K103" i="7" s="1"/>
  <c r="M103" i="7" s="1"/>
  <c r="N103" i="7" s="1"/>
  <c r="I105" i="7"/>
  <c r="K105" i="7" s="1"/>
  <c r="M105" i="7" s="1"/>
  <c r="N105" i="7" s="1"/>
  <c r="I107" i="7"/>
  <c r="K107" i="7" s="1"/>
  <c r="M107" i="7" s="1"/>
  <c r="N107" i="7" s="1"/>
  <c r="I109" i="7"/>
  <c r="K109" i="7" s="1"/>
  <c r="M109" i="7" s="1"/>
  <c r="N109" i="7" s="1"/>
  <c r="I111" i="7"/>
  <c r="K111" i="7" s="1"/>
  <c r="M111" i="7" s="1"/>
  <c r="N111" i="7" s="1"/>
  <c r="I113" i="7"/>
  <c r="K113" i="7" s="1"/>
  <c r="M113" i="7" s="1"/>
  <c r="N113" i="7" s="1"/>
  <c r="I115" i="7"/>
  <c r="K115" i="7" s="1"/>
  <c r="M115" i="7" s="1"/>
  <c r="N115" i="7" s="1"/>
  <c r="I117" i="7"/>
  <c r="K117" i="7" s="1"/>
  <c r="M117" i="7" s="1"/>
  <c r="N117" i="7" s="1"/>
  <c r="I119" i="7"/>
  <c r="K119" i="7" s="1"/>
  <c r="M119" i="7" s="1"/>
  <c r="N119" i="7" s="1"/>
  <c r="I121" i="7"/>
  <c r="K121" i="7" s="1"/>
  <c r="M121" i="7" s="1"/>
  <c r="N121" i="7" s="1"/>
  <c r="I123" i="7"/>
  <c r="K123" i="7" s="1"/>
  <c r="M123" i="7" s="1"/>
  <c r="N123" i="7" s="1"/>
  <c r="I125" i="7"/>
  <c r="K125" i="7" s="1"/>
  <c r="M125" i="7" s="1"/>
  <c r="N125" i="7" s="1"/>
  <c r="I127" i="7"/>
  <c r="K127" i="7" s="1"/>
  <c r="M127" i="7" s="1"/>
  <c r="N127" i="7" s="1"/>
  <c r="I129" i="7"/>
  <c r="K129" i="7" s="1"/>
  <c r="M129" i="7" s="1"/>
  <c r="N129" i="7" s="1"/>
  <c r="I131" i="7"/>
  <c r="K131" i="7" s="1"/>
  <c r="M131" i="7" s="1"/>
  <c r="N131" i="7" s="1"/>
  <c r="I133" i="7"/>
  <c r="K133" i="7" s="1"/>
  <c r="M133" i="7" s="1"/>
  <c r="N133" i="7" s="1"/>
  <c r="I135" i="7"/>
  <c r="K135" i="7" s="1"/>
  <c r="M135" i="7" s="1"/>
  <c r="N135" i="7" s="1"/>
  <c r="I137" i="7"/>
  <c r="K137" i="7" s="1"/>
  <c r="M137" i="7" s="1"/>
  <c r="N137" i="7" s="1"/>
  <c r="I139" i="7"/>
  <c r="K139" i="7" s="1"/>
  <c r="M139" i="7" s="1"/>
  <c r="N139" i="7" s="1"/>
  <c r="I141" i="7"/>
  <c r="K141" i="7" s="1"/>
  <c r="M141" i="7" s="1"/>
  <c r="N141" i="7" s="1"/>
  <c r="I143" i="7"/>
  <c r="K143" i="7" s="1"/>
  <c r="M143" i="7" s="1"/>
  <c r="N143" i="7" s="1"/>
  <c r="I145" i="7"/>
  <c r="K145" i="7" s="1"/>
  <c r="M145" i="7" s="1"/>
  <c r="N145" i="7" s="1"/>
  <c r="I147" i="7"/>
  <c r="K147" i="7" s="1"/>
  <c r="M147" i="7" s="1"/>
  <c r="N147" i="7" s="1"/>
  <c r="I149" i="7"/>
  <c r="K149" i="7" s="1"/>
  <c r="M149" i="7" s="1"/>
  <c r="N149" i="7" s="1"/>
  <c r="I151" i="7"/>
  <c r="K151" i="7" s="1"/>
  <c r="M151" i="7" s="1"/>
  <c r="N151" i="7" s="1"/>
  <c r="I153" i="7"/>
  <c r="K153" i="7" s="1"/>
  <c r="M153" i="7" s="1"/>
  <c r="N153" i="7" s="1"/>
  <c r="I155" i="7"/>
  <c r="K155" i="7" s="1"/>
  <c r="M155" i="7" s="1"/>
  <c r="N155" i="7" s="1"/>
  <c r="I157" i="7"/>
  <c r="K157" i="7" s="1"/>
  <c r="M157" i="7" s="1"/>
  <c r="N157" i="7" s="1"/>
  <c r="I159" i="7"/>
  <c r="K159" i="7" s="1"/>
  <c r="M159" i="7" s="1"/>
  <c r="N159" i="7" s="1"/>
  <c r="I161" i="7"/>
  <c r="K161" i="7" s="1"/>
  <c r="M161" i="7" s="1"/>
  <c r="N161" i="7" s="1"/>
  <c r="J164" i="7"/>
  <c r="L164" i="7" s="1"/>
  <c r="I164" i="7"/>
  <c r="K164" i="7" s="1"/>
  <c r="J168" i="7"/>
  <c r="L168" i="7" s="1"/>
  <c r="I172" i="7"/>
  <c r="K172" i="7" s="1"/>
  <c r="M172" i="7" s="1"/>
  <c r="N172" i="7" s="1"/>
  <c r="J176" i="7"/>
  <c r="L176" i="7" s="1"/>
  <c r="B178" i="7"/>
  <c r="C177" i="7"/>
  <c r="I180" i="7"/>
  <c r="K180" i="7" s="1"/>
  <c r="M180" i="7" s="1"/>
  <c r="N180" i="7" s="1"/>
  <c r="J184" i="7"/>
  <c r="L184" i="7" s="1"/>
  <c r="I188" i="7"/>
  <c r="K188" i="7" s="1"/>
  <c r="M188" i="7" s="1"/>
  <c r="N188" i="7" s="1"/>
  <c r="J192" i="7"/>
  <c r="L192" i="7" s="1"/>
  <c r="N196" i="7"/>
  <c r="I196" i="7"/>
  <c r="K196" i="7" s="1"/>
  <c r="M196" i="7" s="1"/>
  <c r="J200" i="7"/>
  <c r="L200" i="7" s="1"/>
  <c r="B202" i="7"/>
  <c r="C201" i="7"/>
  <c r="I204" i="7"/>
  <c r="K204" i="7" s="1"/>
  <c r="M204" i="7" s="1"/>
  <c r="N204" i="7" s="1"/>
  <c r="J208" i="7"/>
  <c r="L208" i="7" s="1"/>
  <c r="I212" i="7"/>
  <c r="K212" i="7" s="1"/>
  <c r="M212" i="7" s="1"/>
  <c r="N212" i="7" s="1"/>
  <c r="J216" i="7"/>
  <c r="L216" i="7" s="1"/>
  <c r="I220" i="7"/>
  <c r="K220" i="7" s="1"/>
  <c r="M220" i="7" s="1"/>
  <c r="N220" i="7" s="1"/>
  <c r="J224" i="7"/>
  <c r="L224" i="7" s="1"/>
  <c r="B226" i="7"/>
  <c r="C225" i="7"/>
  <c r="I228" i="7"/>
  <c r="K228" i="7" s="1"/>
  <c r="M228" i="7" s="1"/>
  <c r="N228" i="7" s="1"/>
  <c r="M249" i="7"/>
  <c r="N249" i="7" s="1"/>
  <c r="M251" i="7"/>
  <c r="N251" i="7" s="1"/>
  <c r="M253" i="7"/>
  <c r="M255" i="7"/>
  <c r="N255" i="7" s="1"/>
  <c r="M257" i="7"/>
  <c r="N257" i="7" s="1"/>
  <c r="M259" i="7"/>
  <c r="N259" i="7" s="1"/>
  <c r="M261" i="7"/>
  <c r="M263" i="7"/>
  <c r="N263" i="7" s="1"/>
  <c r="M265" i="7"/>
  <c r="N265" i="7" s="1"/>
  <c r="M281" i="7"/>
  <c r="N281" i="7" s="1"/>
  <c r="M289" i="7"/>
  <c r="N289" i="7" s="1"/>
  <c r="O301" i="7"/>
  <c r="O305" i="7"/>
  <c r="J166" i="7"/>
  <c r="L166" i="7" s="1"/>
  <c r="I166" i="7"/>
  <c r="K166" i="7" s="1"/>
  <c r="I174" i="7"/>
  <c r="K174" i="7" s="1"/>
  <c r="M174" i="7" s="1"/>
  <c r="N174" i="7" s="1"/>
  <c r="I182" i="7"/>
  <c r="K182" i="7" s="1"/>
  <c r="I190" i="7"/>
  <c r="K190" i="7" s="1"/>
  <c r="N198" i="7"/>
  <c r="I198" i="7"/>
  <c r="K198" i="7" s="1"/>
  <c r="M198" i="7" s="1"/>
  <c r="I206" i="7"/>
  <c r="K206" i="7" s="1"/>
  <c r="M206" i="7" s="1"/>
  <c r="N206" i="7" s="1"/>
  <c r="N214" i="7"/>
  <c r="I214" i="7"/>
  <c r="K214" i="7" s="1"/>
  <c r="M214" i="7" s="1"/>
  <c r="I222" i="7"/>
  <c r="K222" i="7" s="1"/>
  <c r="O283" i="7"/>
  <c r="O291" i="7"/>
  <c r="O297" i="7"/>
  <c r="O323" i="7"/>
  <c r="N165" i="7"/>
  <c r="N167" i="7"/>
  <c r="N169" i="7"/>
  <c r="N171" i="7"/>
  <c r="N173" i="7"/>
  <c r="N175" i="7"/>
  <c r="N177" i="7"/>
  <c r="N179" i="7"/>
  <c r="N181" i="7"/>
  <c r="N183" i="7"/>
  <c r="N185" i="7"/>
  <c r="N187" i="7"/>
  <c r="N189" i="7"/>
  <c r="N191" i="7"/>
  <c r="N193" i="7"/>
  <c r="N195" i="7"/>
  <c r="N197" i="7"/>
  <c r="N199" i="7"/>
  <c r="N201" i="7"/>
  <c r="N203" i="7"/>
  <c r="N205" i="7"/>
  <c r="N207" i="7"/>
  <c r="N209" i="7"/>
  <c r="N213" i="7"/>
  <c r="N215" i="7"/>
  <c r="N217" i="7"/>
  <c r="N219" i="7"/>
  <c r="N221" i="7"/>
  <c r="N223" i="7"/>
  <c r="N225" i="7"/>
  <c r="N227" i="7"/>
  <c r="N229" i="7"/>
  <c r="N231" i="7"/>
  <c r="N233" i="7"/>
  <c r="N237" i="7"/>
  <c r="N239" i="7"/>
  <c r="N241" i="7"/>
  <c r="N245" i="7"/>
  <c r="N247" i="7"/>
  <c r="N253" i="7"/>
  <c r="N261" i="7"/>
  <c r="J270" i="7"/>
  <c r="L270" i="7" s="1"/>
  <c r="I273" i="7"/>
  <c r="K273" i="7" s="1"/>
  <c r="M273" i="7" s="1"/>
  <c r="N273" i="7" s="1"/>
  <c r="I274" i="7"/>
  <c r="K274" i="7" s="1"/>
  <c r="M274" i="7" s="1"/>
  <c r="N274" i="7" s="1"/>
  <c r="J278" i="7"/>
  <c r="L278" i="7" s="1"/>
  <c r="I282" i="7"/>
  <c r="K282" i="7" s="1"/>
  <c r="M282" i="7" s="1"/>
  <c r="N282" i="7" s="1"/>
  <c r="J284" i="7"/>
  <c r="L284" i="7" s="1"/>
  <c r="I286" i="7"/>
  <c r="K286" i="7" s="1"/>
  <c r="M286" i="7" s="1"/>
  <c r="N286" i="7" s="1"/>
  <c r="J288" i="7"/>
  <c r="L288" i="7" s="1"/>
  <c r="I290" i="7"/>
  <c r="K290" i="7" s="1"/>
  <c r="M290" i="7" s="1"/>
  <c r="N290" i="7" s="1"/>
  <c r="J292" i="7"/>
  <c r="L292" i="7" s="1"/>
  <c r="I294" i="7"/>
  <c r="K294" i="7" s="1"/>
  <c r="M294" i="7" s="1"/>
  <c r="N294" i="7" s="1"/>
  <c r="J296" i="7"/>
  <c r="L296" i="7" s="1"/>
  <c r="N298" i="7"/>
  <c r="I298" i="7"/>
  <c r="K298" i="7" s="1"/>
  <c r="M298" i="7" s="1"/>
  <c r="C323" i="7"/>
  <c r="L330" i="7"/>
  <c r="I332" i="7"/>
  <c r="K332" i="7" s="1"/>
  <c r="M332" i="7" s="1"/>
  <c r="N332" i="7" s="1"/>
  <c r="O349" i="7"/>
  <c r="O357" i="7"/>
  <c r="O393" i="7"/>
  <c r="O395" i="7"/>
  <c r="O397" i="7"/>
  <c r="O399" i="7"/>
  <c r="O401" i="7"/>
  <c r="O403" i="7"/>
  <c r="O405" i="7"/>
  <c r="O407" i="7"/>
  <c r="I230" i="7"/>
  <c r="K230" i="7" s="1"/>
  <c r="M230" i="7" s="1"/>
  <c r="N230" i="7" s="1"/>
  <c r="I232" i="7"/>
  <c r="K232" i="7" s="1"/>
  <c r="M232" i="7" s="1"/>
  <c r="N232" i="7" s="1"/>
  <c r="I234" i="7"/>
  <c r="K234" i="7" s="1"/>
  <c r="M234" i="7" s="1"/>
  <c r="N234" i="7" s="1"/>
  <c r="I236" i="7"/>
  <c r="K236" i="7" s="1"/>
  <c r="M236" i="7" s="1"/>
  <c r="N236" i="7" s="1"/>
  <c r="I238" i="7"/>
  <c r="K238" i="7" s="1"/>
  <c r="M238" i="7" s="1"/>
  <c r="N238" i="7" s="1"/>
  <c r="I240" i="7"/>
  <c r="K240" i="7" s="1"/>
  <c r="M240" i="7" s="1"/>
  <c r="N240" i="7" s="1"/>
  <c r="I242" i="7"/>
  <c r="K242" i="7" s="1"/>
  <c r="M242" i="7" s="1"/>
  <c r="N242" i="7" s="1"/>
  <c r="I244" i="7"/>
  <c r="K244" i="7" s="1"/>
  <c r="M244" i="7" s="1"/>
  <c r="N244" i="7" s="1"/>
  <c r="I246" i="7"/>
  <c r="K246" i="7" s="1"/>
  <c r="M246" i="7" s="1"/>
  <c r="N246" i="7" s="1"/>
  <c r="I248" i="7"/>
  <c r="K248" i="7" s="1"/>
  <c r="M248" i="7" s="1"/>
  <c r="N248" i="7" s="1"/>
  <c r="I250" i="7"/>
  <c r="K250" i="7" s="1"/>
  <c r="M250" i="7" s="1"/>
  <c r="N250" i="7" s="1"/>
  <c r="I252" i="7"/>
  <c r="K252" i="7" s="1"/>
  <c r="M252" i="7" s="1"/>
  <c r="N252" i="7" s="1"/>
  <c r="I254" i="7"/>
  <c r="K254" i="7" s="1"/>
  <c r="M254" i="7" s="1"/>
  <c r="N254" i="7" s="1"/>
  <c r="I256" i="7"/>
  <c r="K256" i="7" s="1"/>
  <c r="M256" i="7" s="1"/>
  <c r="N256" i="7" s="1"/>
  <c r="I258" i="7"/>
  <c r="K258" i="7" s="1"/>
  <c r="M258" i="7" s="1"/>
  <c r="N258" i="7" s="1"/>
  <c r="I260" i="7"/>
  <c r="K260" i="7" s="1"/>
  <c r="M260" i="7" s="1"/>
  <c r="N260" i="7" s="1"/>
  <c r="I262" i="7"/>
  <c r="K262" i="7" s="1"/>
  <c r="M262" i="7" s="1"/>
  <c r="N262" i="7" s="1"/>
  <c r="I264" i="7"/>
  <c r="K264" i="7" s="1"/>
  <c r="M264" i="7" s="1"/>
  <c r="N264" i="7" s="1"/>
  <c r="I266" i="7"/>
  <c r="K266" i="7" s="1"/>
  <c r="M266" i="7" s="1"/>
  <c r="N266" i="7" s="1"/>
  <c r="I271" i="7"/>
  <c r="K271" i="7" s="1"/>
  <c r="M271" i="7" s="1"/>
  <c r="N271" i="7" s="1"/>
  <c r="I272" i="7"/>
  <c r="K272" i="7" s="1"/>
  <c r="I279" i="7"/>
  <c r="K279" i="7" s="1"/>
  <c r="M279" i="7" s="1"/>
  <c r="N279" i="7" s="1"/>
  <c r="I280" i="7"/>
  <c r="K280" i="7" s="1"/>
  <c r="M329" i="7"/>
  <c r="N329" i="7" s="1"/>
  <c r="O337" i="7"/>
  <c r="C249" i="7"/>
  <c r="I269" i="7"/>
  <c r="K269" i="7" s="1"/>
  <c r="M269" i="7" s="1"/>
  <c r="N269" i="7" s="1"/>
  <c r="I270" i="7"/>
  <c r="K270" i="7" s="1"/>
  <c r="M270" i="7" s="1"/>
  <c r="N270" i="7" s="1"/>
  <c r="B274" i="7"/>
  <c r="I277" i="7"/>
  <c r="K277" i="7" s="1"/>
  <c r="M277" i="7" s="1"/>
  <c r="N277" i="7" s="1"/>
  <c r="I278" i="7"/>
  <c r="K278" i="7" s="1"/>
  <c r="M278" i="7" s="1"/>
  <c r="N278" i="7" s="1"/>
  <c r="I284" i="7"/>
  <c r="K284" i="7" s="1"/>
  <c r="I288" i="7"/>
  <c r="K288" i="7" s="1"/>
  <c r="M288" i="7" s="1"/>
  <c r="N288" i="7" s="1"/>
  <c r="I292" i="7"/>
  <c r="K292" i="7" s="1"/>
  <c r="I296" i="7"/>
  <c r="K296" i="7" s="1"/>
  <c r="B298" i="7"/>
  <c r="C297" i="7"/>
  <c r="C322" i="7"/>
  <c r="O325" i="7"/>
  <c r="K331" i="7"/>
  <c r="L331" i="7"/>
  <c r="O333" i="7"/>
  <c r="O345" i="7"/>
  <c r="O353" i="7"/>
  <c r="O361" i="7"/>
  <c r="O363" i="7"/>
  <c r="O365" i="7"/>
  <c r="O367" i="7"/>
  <c r="I267" i="7"/>
  <c r="K267" i="7" s="1"/>
  <c r="M267" i="7" s="1"/>
  <c r="N267" i="7" s="1"/>
  <c r="I268" i="7"/>
  <c r="K268" i="7" s="1"/>
  <c r="M268" i="7" s="1"/>
  <c r="N268" i="7" s="1"/>
  <c r="J272" i="7"/>
  <c r="L272" i="7" s="1"/>
  <c r="I275" i="7"/>
  <c r="K275" i="7" s="1"/>
  <c r="M275" i="7" s="1"/>
  <c r="N275" i="7" s="1"/>
  <c r="I276" i="7"/>
  <c r="K276" i="7" s="1"/>
  <c r="M276" i="7" s="1"/>
  <c r="N276" i="7" s="1"/>
  <c r="J280" i="7"/>
  <c r="L280" i="7" s="1"/>
  <c r="C324" i="7"/>
  <c r="B325" i="7"/>
  <c r="I324" i="7"/>
  <c r="K324" i="7" s="1"/>
  <c r="M324" i="7" s="1"/>
  <c r="N324" i="7" s="1"/>
  <c r="N326" i="7"/>
  <c r="O341" i="7"/>
  <c r="O369" i="7"/>
  <c r="O371" i="7"/>
  <c r="O373" i="7"/>
  <c r="O375" i="7"/>
  <c r="O377" i="7"/>
  <c r="O379" i="7"/>
  <c r="O381" i="7"/>
  <c r="O383" i="7"/>
  <c r="O385" i="7"/>
  <c r="O387" i="7"/>
  <c r="O389" i="7"/>
  <c r="O391" i="7"/>
  <c r="J366" i="7"/>
  <c r="L366" i="7" s="1"/>
  <c r="I366" i="7"/>
  <c r="K366" i="7" s="1"/>
  <c r="J374" i="7"/>
  <c r="L374" i="7" s="1"/>
  <c r="I374" i="7"/>
  <c r="K374" i="7" s="1"/>
  <c r="J382" i="7"/>
  <c r="L382" i="7" s="1"/>
  <c r="I382" i="7"/>
  <c r="K382" i="7" s="1"/>
  <c r="J390" i="7"/>
  <c r="L390" i="7" s="1"/>
  <c r="I390" i="7"/>
  <c r="K390" i="7" s="1"/>
  <c r="J398" i="7"/>
  <c r="L398" i="7" s="1"/>
  <c r="I398" i="7"/>
  <c r="K398" i="7" s="1"/>
  <c r="N406" i="7"/>
  <c r="J406" i="7"/>
  <c r="L406" i="7" s="1"/>
  <c r="I406" i="7"/>
  <c r="K406" i="7" s="1"/>
  <c r="M406" i="7" s="1"/>
  <c r="I430" i="7"/>
  <c r="K430" i="7" s="1"/>
  <c r="O445" i="7"/>
  <c r="O453" i="7"/>
  <c r="O461" i="7"/>
  <c r="O481" i="7"/>
  <c r="I300" i="7"/>
  <c r="K300" i="7" s="1"/>
  <c r="M300" i="7" s="1"/>
  <c r="N300" i="7" s="1"/>
  <c r="I302" i="7"/>
  <c r="K302" i="7" s="1"/>
  <c r="M302" i="7" s="1"/>
  <c r="N302" i="7" s="1"/>
  <c r="I304" i="7"/>
  <c r="K304" i="7" s="1"/>
  <c r="M304" i="7" s="1"/>
  <c r="N304" i="7" s="1"/>
  <c r="I306" i="7"/>
  <c r="K306" i="7" s="1"/>
  <c r="M306" i="7" s="1"/>
  <c r="N306" i="7" s="1"/>
  <c r="I308" i="7"/>
  <c r="K308" i="7" s="1"/>
  <c r="M308" i="7" s="1"/>
  <c r="N308" i="7" s="1"/>
  <c r="I310" i="7"/>
  <c r="K310" i="7" s="1"/>
  <c r="M310" i="7" s="1"/>
  <c r="N310" i="7" s="1"/>
  <c r="I312" i="7"/>
  <c r="K312" i="7" s="1"/>
  <c r="M312" i="7" s="1"/>
  <c r="N312" i="7" s="1"/>
  <c r="I314" i="7"/>
  <c r="K314" i="7" s="1"/>
  <c r="M314" i="7" s="1"/>
  <c r="N314" i="7" s="1"/>
  <c r="I316" i="7"/>
  <c r="K316" i="7" s="1"/>
  <c r="M316" i="7" s="1"/>
  <c r="N316" i="7" s="1"/>
  <c r="I318" i="7"/>
  <c r="K318" i="7" s="1"/>
  <c r="M318" i="7" s="1"/>
  <c r="N318" i="7" s="1"/>
  <c r="I320" i="7"/>
  <c r="K320" i="7" s="1"/>
  <c r="M320" i="7" s="1"/>
  <c r="N320" i="7" s="1"/>
  <c r="I322" i="7"/>
  <c r="K322" i="7" s="1"/>
  <c r="M322" i="7" s="1"/>
  <c r="N322" i="7" s="1"/>
  <c r="I330" i="7"/>
  <c r="K330" i="7" s="1"/>
  <c r="J338" i="7"/>
  <c r="L338" i="7" s="1"/>
  <c r="I338" i="7"/>
  <c r="K338" i="7" s="1"/>
  <c r="J342" i="7"/>
  <c r="L342" i="7" s="1"/>
  <c r="I342" i="7"/>
  <c r="K342" i="7" s="1"/>
  <c r="M342" i="7" s="1"/>
  <c r="N342" i="7" s="1"/>
  <c r="J346" i="7"/>
  <c r="L346" i="7" s="1"/>
  <c r="I346" i="7"/>
  <c r="K346" i="7" s="1"/>
  <c r="J350" i="7"/>
  <c r="L350" i="7" s="1"/>
  <c r="I350" i="7"/>
  <c r="K350" i="7" s="1"/>
  <c r="M350" i="7" s="1"/>
  <c r="N350" i="7" s="1"/>
  <c r="J354" i="7"/>
  <c r="L354" i="7" s="1"/>
  <c r="I354" i="7"/>
  <c r="K354" i="7" s="1"/>
  <c r="J358" i="7"/>
  <c r="L358" i="7" s="1"/>
  <c r="I358" i="7"/>
  <c r="K358" i="7" s="1"/>
  <c r="J368" i="7"/>
  <c r="L368" i="7" s="1"/>
  <c r="I368" i="7"/>
  <c r="K368" i="7" s="1"/>
  <c r="J376" i="7"/>
  <c r="L376" i="7" s="1"/>
  <c r="I376" i="7"/>
  <c r="K376" i="7" s="1"/>
  <c r="J384" i="7"/>
  <c r="L384" i="7" s="1"/>
  <c r="I384" i="7"/>
  <c r="K384" i="7" s="1"/>
  <c r="J392" i="7"/>
  <c r="L392" i="7" s="1"/>
  <c r="I392" i="7"/>
  <c r="K392" i="7" s="1"/>
  <c r="J400" i="7"/>
  <c r="L400" i="7" s="1"/>
  <c r="I400" i="7"/>
  <c r="K400" i="7" s="1"/>
  <c r="J408" i="7"/>
  <c r="L408" i="7" s="1"/>
  <c r="I408" i="7"/>
  <c r="K408" i="7" s="1"/>
  <c r="I414" i="7"/>
  <c r="K414" i="7" s="1"/>
  <c r="I422" i="7"/>
  <c r="K422" i="7" s="1"/>
  <c r="O433" i="7"/>
  <c r="O469" i="7"/>
  <c r="O477" i="7"/>
  <c r="C321" i="7"/>
  <c r="I328" i="7"/>
  <c r="K328" i="7" s="1"/>
  <c r="M328" i="7" s="1"/>
  <c r="N328" i="7" s="1"/>
  <c r="J362" i="7"/>
  <c r="L362" i="7" s="1"/>
  <c r="I362" i="7"/>
  <c r="K362" i="7" s="1"/>
  <c r="J370" i="7"/>
  <c r="L370" i="7" s="1"/>
  <c r="I370" i="7"/>
  <c r="K370" i="7" s="1"/>
  <c r="J378" i="7"/>
  <c r="L378" i="7" s="1"/>
  <c r="I378" i="7"/>
  <c r="K378" i="7" s="1"/>
  <c r="J386" i="7"/>
  <c r="L386" i="7" s="1"/>
  <c r="I386" i="7"/>
  <c r="K386" i="7" s="1"/>
  <c r="J394" i="7"/>
  <c r="L394" i="7" s="1"/>
  <c r="I394" i="7"/>
  <c r="K394" i="7" s="1"/>
  <c r="N402" i="7"/>
  <c r="J402" i="7"/>
  <c r="L402" i="7" s="1"/>
  <c r="I402" i="7"/>
  <c r="K402" i="7" s="1"/>
  <c r="M402" i="7" s="1"/>
  <c r="I429" i="7"/>
  <c r="K429" i="7" s="1"/>
  <c r="M429" i="7" s="1"/>
  <c r="N429" i="7" s="1"/>
  <c r="O441" i="7"/>
  <c r="L442" i="7"/>
  <c r="O449" i="7"/>
  <c r="L450" i="7"/>
  <c r="O457" i="7"/>
  <c r="L458" i="7"/>
  <c r="O485" i="7"/>
  <c r="M490" i="7"/>
  <c r="N490" i="7" s="1"/>
  <c r="I326" i="7"/>
  <c r="K326" i="7" s="1"/>
  <c r="M326" i="7" s="1"/>
  <c r="I334" i="7"/>
  <c r="K334" i="7" s="1"/>
  <c r="M334" i="7" s="1"/>
  <c r="N334" i="7" s="1"/>
  <c r="M335" i="7"/>
  <c r="N335" i="7" s="1"/>
  <c r="N336" i="7"/>
  <c r="J336" i="7"/>
  <c r="L336" i="7" s="1"/>
  <c r="I336" i="7"/>
  <c r="K336" i="7" s="1"/>
  <c r="M336" i="7" s="1"/>
  <c r="M339" i="7"/>
  <c r="N339" i="7" s="1"/>
  <c r="N340" i="7"/>
  <c r="J340" i="7"/>
  <c r="L340" i="7" s="1"/>
  <c r="I340" i="7"/>
  <c r="K340" i="7" s="1"/>
  <c r="M340" i="7" s="1"/>
  <c r="M343" i="7"/>
  <c r="N343" i="7" s="1"/>
  <c r="N344" i="7"/>
  <c r="J344" i="7"/>
  <c r="L344" i="7" s="1"/>
  <c r="I344" i="7"/>
  <c r="K344" i="7" s="1"/>
  <c r="M344" i="7" s="1"/>
  <c r="B346" i="7"/>
  <c r="C345" i="7"/>
  <c r="M347" i="7"/>
  <c r="N347" i="7" s="1"/>
  <c r="J348" i="7"/>
  <c r="L348" i="7" s="1"/>
  <c r="I348" i="7"/>
  <c r="K348" i="7" s="1"/>
  <c r="M348" i="7" s="1"/>
  <c r="N348" i="7" s="1"/>
  <c r="M351" i="7"/>
  <c r="N351" i="7" s="1"/>
  <c r="J352" i="7"/>
  <c r="L352" i="7" s="1"/>
  <c r="I352" i="7"/>
  <c r="K352" i="7" s="1"/>
  <c r="M352" i="7" s="1"/>
  <c r="N352" i="7" s="1"/>
  <c r="M355" i="7"/>
  <c r="N355" i="7" s="1"/>
  <c r="J356" i="7"/>
  <c r="L356" i="7" s="1"/>
  <c r="I356" i="7"/>
  <c r="K356" i="7" s="1"/>
  <c r="M359" i="7"/>
  <c r="N359" i="7" s="1"/>
  <c r="J360" i="7"/>
  <c r="L360" i="7" s="1"/>
  <c r="I360" i="7"/>
  <c r="K360" i="7" s="1"/>
  <c r="J364" i="7"/>
  <c r="L364" i="7" s="1"/>
  <c r="I364" i="7"/>
  <c r="K364" i="7" s="1"/>
  <c r="B370" i="7"/>
  <c r="C369" i="7"/>
  <c r="J372" i="7"/>
  <c r="L372" i="7" s="1"/>
  <c r="I372" i="7"/>
  <c r="K372" i="7" s="1"/>
  <c r="M372" i="7" s="1"/>
  <c r="N372" i="7" s="1"/>
  <c r="J380" i="7"/>
  <c r="L380" i="7" s="1"/>
  <c r="I380" i="7"/>
  <c r="K380" i="7" s="1"/>
  <c r="J388" i="7"/>
  <c r="L388" i="7" s="1"/>
  <c r="I388" i="7"/>
  <c r="K388" i="7" s="1"/>
  <c r="M388" i="7" s="1"/>
  <c r="N388" i="7" s="1"/>
  <c r="B394" i="7"/>
  <c r="C393" i="7"/>
  <c r="J396" i="7"/>
  <c r="L396" i="7" s="1"/>
  <c r="I396" i="7"/>
  <c r="K396" i="7" s="1"/>
  <c r="N404" i="7"/>
  <c r="J404" i="7"/>
  <c r="L404" i="7" s="1"/>
  <c r="I404" i="7"/>
  <c r="K404" i="7" s="1"/>
  <c r="M404" i="7" s="1"/>
  <c r="I413" i="7"/>
  <c r="K413" i="7" s="1"/>
  <c r="M413" i="7" s="1"/>
  <c r="N413" i="7" s="1"/>
  <c r="C419" i="7"/>
  <c r="B420" i="7"/>
  <c r="I421" i="7"/>
  <c r="K421" i="7" s="1"/>
  <c r="M421" i="7" s="1"/>
  <c r="N421" i="7" s="1"/>
  <c r="L428" i="7"/>
  <c r="O437" i="7"/>
  <c r="L438" i="7"/>
  <c r="O465" i="7"/>
  <c r="L466" i="7"/>
  <c r="O473" i="7"/>
  <c r="L474" i="7"/>
  <c r="I415" i="7"/>
  <c r="K415" i="7" s="1"/>
  <c r="M415" i="7" s="1"/>
  <c r="N415" i="7" s="1"/>
  <c r="I416" i="7"/>
  <c r="K416" i="7" s="1"/>
  <c r="I423" i="7"/>
  <c r="K423" i="7" s="1"/>
  <c r="M423" i="7" s="1"/>
  <c r="N423" i="7" s="1"/>
  <c r="I424" i="7"/>
  <c r="K424" i="7" s="1"/>
  <c r="I431" i="7"/>
  <c r="K431" i="7" s="1"/>
  <c r="M431" i="7" s="1"/>
  <c r="N431" i="7" s="1"/>
  <c r="I432" i="7"/>
  <c r="K432" i="7" s="1"/>
  <c r="M435" i="7"/>
  <c r="N435" i="7" s="1"/>
  <c r="I436" i="7"/>
  <c r="K436" i="7" s="1"/>
  <c r="M439" i="7"/>
  <c r="N439" i="7" s="1"/>
  <c r="I440" i="7"/>
  <c r="K440" i="7" s="1"/>
  <c r="C441" i="7"/>
  <c r="B442" i="7"/>
  <c r="M443" i="7"/>
  <c r="N443" i="7" s="1"/>
  <c r="I444" i="7"/>
  <c r="K444" i="7" s="1"/>
  <c r="M447" i="7"/>
  <c r="N447" i="7" s="1"/>
  <c r="I448" i="7"/>
  <c r="K448" i="7" s="1"/>
  <c r="M451" i="7"/>
  <c r="N451" i="7" s="1"/>
  <c r="I452" i="7"/>
  <c r="K452" i="7" s="1"/>
  <c r="M455" i="7"/>
  <c r="N455" i="7" s="1"/>
  <c r="I456" i="7"/>
  <c r="K456" i="7" s="1"/>
  <c r="M459" i="7"/>
  <c r="N459" i="7" s="1"/>
  <c r="I460" i="7"/>
  <c r="K460" i="7" s="1"/>
  <c r="M463" i="7"/>
  <c r="N463" i="7" s="1"/>
  <c r="I464" i="7"/>
  <c r="K464" i="7" s="1"/>
  <c r="C465" i="7"/>
  <c r="B466" i="7"/>
  <c r="M467" i="7"/>
  <c r="N467" i="7" s="1"/>
  <c r="I468" i="7"/>
  <c r="K468" i="7" s="1"/>
  <c r="M468" i="7" s="1"/>
  <c r="N468" i="7" s="1"/>
  <c r="M471" i="7"/>
  <c r="N471" i="7" s="1"/>
  <c r="I472" i="7"/>
  <c r="K472" i="7" s="1"/>
  <c r="M475" i="7"/>
  <c r="N475" i="7" s="1"/>
  <c r="I476" i="7"/>
  <c r="K476" i="7" s="1"/>
  <c r="M479" i="7"/>
  <c r="N479" i="7" s="1"/>
  <c r="I480" i="7"/>
  <c r="K480" i="7" s="1"/>
  <c r="M483" i="7"/>
  <c r="N483" i="7" s="1"/>
  <c r="I484" i="7"/>
  <c r="K484" i="7" s="1"/>
  <c r="M487" i="7"/>
  <c r="N487" i="7" s="1"/>
  <c r="I502" i="7"/>
  <c r="K502" i="7" s="1"/>
  <c r="O525" i="7"/>
  <c r="O529" i="7"/>
  <c r="O545" i="7"/>
  <c r="O549" i="7"/>
  <c r="O565" i="7"/>
  <c r="C490" i="7"/>
  <c r="B491" i="7"/>
  <c r="I495" i="7"/>
  <c r="K495" i="7" s="1"/>
  <c r="O511" i="7"/>
  <c r="O527" i="7"/>
  <c r="O547" i="7"/>
  <c r="O567" i="7"/>
  <c r="I411" i="7"/>
  <c r="K411" i="7" s="1"/>
  <c r="M411" i="7" s="1"/>
  <c r="N411" i="7" s="1"/>
  <c r="I412" i="7"/>
  <c r="K412" i="7" s="1"/>
  <c r="M412" i="7" s="1"/>
  <c r="N412" i="7" s="1"/>
  <c r="J416" i="7"/>
  <c r="L416" i="7" s="1"/>
  <c r="I419" i="7"/>
  <c r="K419" i="7" s="1"/>
  <c r="M419" i="7" s="1"/>
  <c r="N419" i="7" s="1"/>
  <c r="I420" i="7"/>
  <c r="K420" i="7" s="1"/>
  <c r="M420" i="7" s="1"/>
  <c r="N420" i="7" s="1"/>
  <c r="J424" i="7"/>
  <c r="L424" i="7" s="1"/>
  <c r="I427" i="7"/>
  <c r="K427" i="7" s="1"/>
  <c r="M427" i="7" s="1"/>
  <c r="N427" i="7" s="1"/>
  <c r="I428" i="7"/>
  <c r="K428" i="7" s="1"/>
  <c r="J432" i="7"/>
  <c r="L432" i="7" s="1"/>
  <c r="N434" i="7"/>
  <c r="I434" i="7"/>
  <c r="K434" i="7" s="1"/>
  <c r="M434" i="7" s="1"/>
  <c r="J436" i="7"/>
  <c r="L436" i="7" s="1"/>
  <c r="I438" i="7"/>
  <c r="K438" i="7" s="1"/>
  <c r="M438" i="7" s="1"/>
  <c r="N438" i="7" s="1"/>
  <c r="J440" i="7"/>
  <c r="L440" i="7" s="1"/>
  <c r="I442" i="7"/>
  <c r="K442" i="7" s="1"/>
  <c r="M442" i="7" s="1"/>
  <c r="N442" i="7" s="1"/>
  <c r="J444" i="7"/>
  <c r="L444" i="7" s="1"/>
  <c r="I446" i="7"/>
  <c r="K446" i="7" s="1"/>
  <c r="M446" i="7" s="1"/>
  <c r="N446" i="7" s="1"/>
  <c r="J448" i="7"/>
  <c r="L448" i="7" s="1"/>
  <c r="I450" i="7"/>
  <c r="K450" i="7" s="1"/>
  <c r="M450" i="7" s="1"/>
  <c r="N450" i="7" s="1"/>
  <c r="J452" i="7"/>
  <c r="L452" i="7" s="1"/>
  <c r="I454" i="7"/>
  <c r="K454" i="7" s="1"/>
  <c r="M454" i="7" s="1"/>
  <c r="N454" i="7" s="1"/>
  <c r="J456" i="7"/>
  <c r="L456" i="7" s="1"/>
  <c r="N458" i="7"/>
  <c r="I458" i="7"/>
  <c r="K458" i="7" s="1"/>
  <c r="M458" i="7" s="1"/>
  <c r="J460" i="7"/>
  <c r="L460" i="7" s="1"/>
  <c r="I462" i="7"/>
  <c r="K462" i="7" s="1"/>
  <c r="M462" i="7" s="1"/>
  <c r="N462" i="7" s="1"/>
  <c r="J464" i="7"/>
  <c r="L464" i="7" s="1"/>
  <c r="I466" i="7"/>
  <c r="K466" i="7" s="1"/>
  <c r="J468" i="7"/>
  <c r="L468" i="7" s="1"/>
  <c r="I470" i="7"/>
  <c r="K470" i="7" s="1"/>
  <c r="M470" i="7" s="1"/>
  <c r="N470" i="7" s="1"/>
  <c r="J472" i="7"/>
  <c r="L472" i="7" s="1"/>
  <c r="I474" i="7"/>
  <c r="K474" i="7" s="1"/>
  <c r="J476" i="7"/>
  <c r="L476" i="7" s="1"/>
  <c r="I478" i="7"/>
  <c r="K478" i="7" s="1"/>
  <c r="M478" i="7" s="1"/>
  <c r="N478" i="7" s="1"/>
  <c r="J480" i="7"/>
  <c r="L480" i="7" s="1"/>
  <c r="I482" i="7"/>
  <c r="K482" i="7" s="1"/>
  <c r="M482" i="7" s="1"/>
  <c r="N482" i="7" s="1"/>
  <c r="J484" i="7"/>
  <c r="L484" i="7" s="1"/>
  <c r="I486" i="7"/>
  <c r="K486" i="7" s="1"/>
  <c r="M486" i="7" s="1"/>
  <c r="N486" i="7" s="1"/>
  <c r="J490" i="7"/>
  <c r="L490" i="7" s="1"/>
  <c r="I491" i="7"/>
  <c r="K491" i="7" s="1"/>
  <c r="M503" i="7"/>
  <c r="N503" i="7" s="1"/>
  <c r="O509" i="7"/>
  <c r="O513" i="7"/>
  <c r="I409" i="7"/>
  <c r="K409" i="7" s="1"/>
  <c r="M409" i="7" s="1"/>
  <c r="N409" i="7" s="1"/>
  <c r="I410" i="7"/>
  <c r="K410" i="7" s="1"/>
  <c r="M410" i="7" s="1"/>
  <c r="N410" i="7" s="1"/>
  <c r="J414" i="7"/>
  <c r="L414" i="7" s="1"/>
  <c r="I417" i="7"/>
  <c r="K417" i="7" s="1"/>
  <c r="M417" i="7" s="1"/>
  <c r="N417" i="7" s="1"/>
  <c r="I418" i="7"/>
  <c r="K418" i="7" s="1"/>
  <c r="M418" i="7" s="1"/>
  <c r="N418" i="7" s="1"/>
  <c r="J422" i="7"/>
  <c r="L422" i="7" s="1"/>
  <c r="I425" i="7"/>
  <c r="K425" i="7" s="1"/>
  <c r="M425" i="7" s="1"/>
  <c r="N425" i="7" s="1"/>
  <c r="I426" i="7"/>
  <c r="K426" i="7" s="1"/>
  <c r="M426" i="7" s="1"/>
  <c r="N426" i="7" s="1"/>
  <c r="J430" i="7"/>
  <c r="L430" i="7" s="1"/>
  <c r="I488" i="7"/>
  <c r="K488" i="7" s="1"/>
  <c r="M488" i="7" s="1"/>
  <c r="N488" i="7" s="1"/>
  <c r="J495" i="7"/>
  <c r="L495" i="7" s="1"/>
  <c r="L500" i="7"/>
  <c r="I507" i="7"/>
  <c r="K507" i="7" s="1"/>
  <c r="J507" i="7"/>
  <c r="L507" i="7" s="1"/>
  <c r="J491" i="7"/>
  <c r="L491" i="7" s="1"/>
  <c r="N494" i="7"/>
  <c r="I494" i="7"/>
  <c r="K494" i="7" s="1"/>
  <c r="M494" i="7" s="1"/>
  <c r="I496" i="7"/>
  <c r="K496" i="7" s="1"/>
  <c r="M496" i="7" s="1"/>
  <c r="N496" i="7" s="1"/>
  <c r="I501" i="7"/>
  <c r="K501" i="7" s="1"/>
  <c r="M501" i="7" s="1"/>
  <c r="N501" i="7" s="1"/>
  <c r="I518" i="7"/>
  <c r="K518" i="7" s="1"/>
  <c r="M519" i="7"/>
  <c r="N519" i="7" s="1"/>
  <c r="M521" i="7"/>
  <c r="N521" i="7" s="1"/>
  <c r="I534" i="7"/>
  <c r="K534" i="7" s="1"/>
  <c r="M535" i="7"/>
  <c r="N535" i="7" s="1"/>
  <c r="I538" i="7"/>
  <c r="K538" i="7" s="1"/>
  <c r="M539" i="7"/>
  <c r="N539" i="7" s="1"/>
  <c r="M541" i="7"/>
  <c r="N541" i="7" s="1"/>
  <c r="I554" i="7"/>
  <c r="K554" i="7" s="1"/>
  <c r="M555" i="7"/>
  <c r="N555" i="7" s="1"/>
  <c r="M557" i="7"/>
  <c r="N557" i="7" s="1"/>
  <c r="M561" i="7"/>
  <c r="N561" i="7" s="1"/>
  <c r="C585" i="7"/>
  <c r="B586" i="7"/>
  <c r="I492" i="7"/>
  <c r="K492" i="7" s="1"/>
  <c r="M492" i="7" s="1"/>
  <c r="N492" i="7" s="1"/>
  <c r="I493" i="7"/>
  <c r="K493" i="7" s="1"/>
  <c r="I504" i="7"/>
  <c r="K504" i="7" s="1"/>
  <c r="I510" i="7"/>
  <c r="K510" i="7" s="1"/>
  <c r="I514" i="7"/>
  <c r="K514" i="7" s="1"/>
  <c r="M517" i="7"/>
  <c r="N517" i="7" s="1"/>
  <c r="I530" i="7"/>
  <c r="K530" i="7" s="1"/>
  <c r="M530" i="7" s="1"/>
  <c r="N530" i="7" s="1"/>
  <c r="M533" i="7"/>
  <c r="N533" i="7" s="1"/>
  <c r="M537" i="7"/>
  <c r="N537" i="7" s="1"/>
  <c r="I550" i="7"/>
  <c r="K550" i="7" s="1"/>
  <c r="M553" i="7"/>
  <c r="N553" i="7" s="1"/>
  <c r="O579" i="7"/>
  <c r="O628" i="7"/>
  <c r="I526" i="7"/>
  <c r="K526" i="7" s="1"/>
  <c r="I546" i="7"/>
  <c r="K546" i="7" s="1"/>
  <c r="M546" i="7" s="1"/>
  <c r="N546" i="7" s="1"/>
  <c r="I566" i="7"/>
  <c r="K566" i="7" s="1"/>
  <c r="O577" i="7"/>
  <c r="O581" i="7"/>
  <c r="I589" i="7"/>
  <c r="K589" i="7" s="1"/>
  <c r="I489" i="7"/>
  <c r="K489" i="7" s="1"/>
  <c r="M489" i="7" s="1"/>
  <c r="N489" i="7" s="1"/>
  <c r="J493" i="7"/>
  <c r="L493" i="7" s="1"/>
  <c r="J499" i="7"/>
  <c r="L499" i="7" s="1"/>
  <c r="M499" i="7" s="1"/>
  <c r="N499" i="7" s="1"/>
  <c r="I500" i="7"/>
  <c r="K500" i="7" s="1"/>
  <c r="J504" i="7"/>
  <c r="L504" i="7" s="1"/>
  <c r="N505" i="7"/>
  <c r="I522" i="7"/>
  <c r="K522" i="7" s="1"/>
  <c r="M523" i="7"/>
  <c r="N523" i="7" s="1"/>
  <c r="I542" i="7"/>
  <c r="K542" i="7" s="1"/>
  <c r="M543" i="7"/>
  <c r="N543" i="7" s="1"/>
  <c r="I558" i="7"/>
  <c r="K558" i="7" s="1"/>
  <c r="M559" i="7"/>
  <c r="N559" i="7" s="1"/>
  <c r="I562" i="7"/>
  <c r="K562" i="7" s="1"/>
  <c r="M562" i="7" s="1"/>
  <c r="N562" i="7" s="1"/>
  <c r="M563" i="7"/>
  <c r="N563" i="7" s="1"/>
  <c r="I597" i="7"/>
  <c r="K597" i="7" s="1"/>
  <c r="N606" i="7"/>
  <c r="O616" i="7"/>
  <c r="I497" i="7"/>
  <c r="K497" i="7" s="1"/>
  <c r="M497" i="7" s="1"/>
  <c r="N497" i="7" s="1"/>
  <c r="N498" i="7"/>
  <c r="I498" i="7"/>
  <c r="K498" i="7" s="1"/>
  <c r="M498" i="7" s="1"/>
  <c r="J502" i="7"/>
  <c r="L502" i="7" s="1"/>
  <c r="I505" i="7"/>
  <c r="K505" i="7" s="1"/>
  <c r="M505" i="7" s="1"/>
  <c r="N506" i="7"/>
  <c r="I506" i="7"/>
  <c r="K506" i="7" s="1"/>
  <c r="M506" i="7" s="1"/>
  <c r="I508" i="7"/>
  <c r="K508" i="7" s="1"/>
  <c r="M508" i="7" s="1"/>
  <c r="N508" i="7" s="1"/>
  <c r="J510" i="7"/>
  <c r="L510" i="7" s="1"/>
  <c r="I512" i="7"/>
  <c r="K512" i="7" s="1"/>
  <c r="M512" i="7" s="1"/>
  <c r="N512" i="7" s="1"/>
  <c r="C513" i="7"/>
  <c r="B514" i="7"/>
  <c r="J514" i="7"/>
  <c r="L514" i="7" s="1"/>
  <c r="N516" i="7"/>
  <c r="I516" i="7"/>
  <c r="K516" i="7" s="1"/>
  <c r="M516" i="7" s="1"/>
  <c r="J518" i="7"/>
  <c r="L518" i="7" s="1"/>
  <c r="I520" i="7"/>
  <c r="K520" i="7" s="1"/>
  <c r="M520" i="7" s="1"/>
  <c r="N520" i="7" s="1"/>
  <c r="J522" i="7"/>
  <c r="L522" i="7" s="1"/>
  <c r="I524" i="7"/>
  <c r="K524" i="7" s="1"/>
  <c r="M524" i="7" s="1"/>
  <c r="N524" i="7" s="1"/>
  <c r="J526" i="7"/>
  <c r="L526" i="7" s="1"/>
  <c r="I528" i="7"/>
  <c r="K528" i="7" s="1"/>
  <c r="M528" i="7" s="1"/>
  <c r="N528" i="7" s="1"/>
  <c r="J530" i="7"/>
  <c r="L530" i="7" s="1"/>
  <c r="I532" i="7"/>
  <c r="K532" i="7" s="1"/>
  <c r="M532" i="7" s="1"/>
  <c r="N532" i="7" s="1"/>
  <c r="J534" i="7"/>
  <c r="L534" i="7" s="1"/>
  <c r="I536" i="7"/>
  <c r="K536" i="7" s="1"/>
  <c r="M536" i="7" s="1"/>
  <c r="N536" i="7" s="1"/>
  <c r="C537" i="7"/>
  <c r="B538" i="7"/>
  <c r="J538" i="7"/>
  <c r="L538" i="7" s="1"/>
  <c r="I540" i="7"/>
  <c r="K540" i="7" s="1"/>
  <c r="M540" i="7" s="1"/>
  <c r="N540" i="7" s="1"/>
  <c r="J542" i="7"/>
  <c r="L542" i="7" s="1"/>
  <c r="I544" i="7"/>
  <c r="K544" i="7" s="1"/>
  <c r="M544" i="7" s="1"/>
  <c r="N544" i="7" s="1"/>
  <c r="J546" i="7"/>
  <c r="L546" i="7" s="1"/>
  <c r="I548" i="7"/>
  <c r="K548" i="7" s="1"/>
  <c r="M548" i="7" s="1"/>
  <c r="N548" i="7" s="1"/>
  <c r="J550" i="7"/>
  <c r="L550" i="7" s="1"/>
  <c r="I552" i="7"/>
  <c r="K552" i="7" s="1"/>
  <c r="M552" i="7" s="1"/>
  <c r="N552" i="7" s="1"/>
  <c r="J554" i="7"/>
  <c r="L554" i="7" s="1"/>
  <c r="N556" i="7"/>
  <c r="I556" i="7"/>
  <c r="K556" i="7" s="1"/>
  <c r="M556" i="7" s="1"/>
  <c r="J558" i="7"/>
  <c r="L558" i="7" s="1"/>
  <c r="I560" i="7"/>
  <c r="K560" i="7" s="1"/>
  <c r="M560" i="7" s="1"/>
  <c r="N560" i="7" s="1"/>
  <c r="C561" i="7"/>
  <c r="B562" i="7"/>
  <c r="J562" i="7"/>
  <c r="L562" i="7" s="1"/>
  <c r="I564" i="7"/>
  <c r="K564" i="7" s="1"/>
  <c r="M564" i="7" s="1"/>
  <c r="N564" i="7" s="1"/>
  <c r="J566" i="7"/>
  <c r="L566" i="7" s="1"/>
  <c r="I568" i="7"/>
  <c r="K568" i="7" s="1"/>
  <c r="M568" i="7" s="1"/>
  <c r="N568" i="7" s="1"/>
  <c r="I596" i="7"/>
  <c r="K596" i="7" s="1"/>
  <c r="M596" i="7" s="1"/>
  <c r="N596" i="7" s="1"/>
  <c r="O624" i="7"/>
  <c r="I588" i="7"/>
  <c r="K588" i="7" s="1"/>
  <c r="M588" i="7" s="1"/>
  <c r="N588" i="7" s="1"/>
  <c r="N594" i="7"/>
  <c r="O620" i="7"/>
  <c r="I583" i="7"/>
  <c r="K583" i="7" s="1"/>
  <c r="M583" i="7" s="1"/>
  <c r="N583" i="7" s="1"/>
  <c r="J587" i="7"/>
  <c r="L587" i="7" s="1"/>
  <c r="I590" i="7"/>
  <c r="K590" i="7" s="1"/>
  <c r="M590" i="7" s="1"/>
  <c r="N590" i="7" s="1"/>
  <c r="I591" i="7"/>
  <c r="K591" i="7" s="1"/>
  <c r="M591" i="7" s="1"/>
  <c r="N591" i="7" s="1"/>
  <c r="J595" i="7"/>
  <c r="L595" i="7" s="1"/>
  <c r="I598" i="7"/>
  <c r="K598" i="7" s="1"/>
  <c r="M598" i="7" s="1"/>
  <c r="N598" i="7" s="1"/>
  <c r="I599" i="7"/>
  <c r="K599" i="7" s="1"/>
  <c r="M599" i="7" s="1"/>
  <c r="N599" i="7" s="1"/>
  <c r="J603" i="7"/>
  <c r="L603" i="7" s="1"/>
  <c r="I606" i="7"/>
  <c r="K606" i="7" s="1"/>
  <c r="M606" i="7" s="1"/>
  <c r="I607" i="7"/>
  <c r="K607" i="7" s="1"/>
  <c r="M607" i="7" s="1"/>
  <c r="N607" i="7" s="1"/>
  <c r="J611" i="7"/>
  <c r="L611" i="7" s="1"/>
  <c r="M614" i="7"/>
  <c r="N614" i="7" s="1"/>
  <c r="I615" i="7"/>
  <c r="K615" i="7" s="1"/>
  <c r="M615" i="7" s="1"/>
  <c r="N615" i="7" s="1"/>
  <c r="J617" i="7"/>
  <c r="L617" i="7" s="1"/>
  <c r="M618" i="7"/>
  <c r="N618" i="7" s="1"/>
  <c r="I619" i="7"/>
  <c r="K619" i="7" s="1"/>
  <c r="M619" i="7" s="1"/>
  <c r="N619" i="7" s="1"/>
  <c r="J621" i="7"/>
  <c r="L621" i="7" s="1"/>
  <c r="M622" i="7"/>
  <c r="N622" i="7" s="1"/>
  <c r="I623" i="7"/>
  <c r="K623" i="7" s="1"/>
  <c r="M623" i="7" s="1"/>
  <c r="N623" i="7" s="1"/>
  <c r="J625" i="7"/>
  <c r="L625" i="7" s="1"/>
  <c r="M626" i="7"/>
  <c r="N626" i="7" s="1"/>
  <c r="I627" i="7"/>
  <c r="K627" i="7" s="1"/>
  <c r="M627" i="7" s="1"/>
  <c r="N627" i="7" s="1"/>
  <c r="J629" i="7"/>
  <c r="L629" i="7" s="1"/>
  <c r="M630" i="7"/>
  <c r="N630" i="7" s="1"/>
  <c r="I631" i="7"/>
  <c r="K631" i="7" s="1"/>
  <c r="M631" i="7" s="1"/>
  <c r="N631" i="7" s="1"/>
  <c r="I644" i="7"/>
  <c r="K644" i="7" s="1"/>
  <c r="C657" i="7"/>
  <c r="B658" i="7"/>
  <c r="I659" i="7"/>
  <c r="K659" i="7" s="1"/>
  <c r="M659" i="7" s="1"/>
  <c r="N659" i="7" s="1"/>
  <c r="I676" i="7"/>
  <c r="K676" i="7" s="1"/>
  <c r="I604" i="7"/>
  <c r="K604" i="7" s="1"/>
  <c r="M604" i="7" s="1"/>
  <c r="N604" i="7" s="1"/>
  <c r="I605" i="7"/>
  <c r="K605" i="7" s="1"/>
  <c r="B610" i="7"/>
  <c r="I612" i="7"/>
  <c r="K612" i="7" s="1"/>
  <c r="M612" i="7" s="1"/>
  <c r="N612" i="7" s="1"/>
  <c r="I613" i="7"/>
  <c r="K613" i="7" s="1"/>
  <c r="I636" i="7"/>
  <c r="K636" i="7" s="1"/>
  <c r="I651" i="7"/>
  <c r="K651" i="7" s="1"/>
  <c r="M651" i="7" s="1"/>
  <c r="N651" i="7" s="1"/>
  <c r="I668" i="7"/>
  <c r="K668" i="7" s="1"/>
  <c r="C681" i="7"/>
  <c r="B682" i="7"/>
  <c r="I684" i="7"/>
  <c r="K684" i="7" s="1"/>
  <c r="O702" i="7"/>
  <c r="I570" i="7"/>
  <c r="K570" i="7" s="1"/>
  <c r="M570" i="7" s="1"/>
  <c r="N570" i="7" s="1"/>
  <c r="I572" i="7"/>
  <c r="K572" i="7" s="1"/>
  <c r="M572" i="7" s="1"/>
  <c r="N572" i="7" s="1"/>
  <c r="I574" i="7"/>
  <c r="K574" i="7" s="1"/>
  <c r="M574" i="7" s="1"/>
  <c r="N574" i="7" s="1"/>
  <c r="I576" i="7"/>
  <c r="K576" i="7" s="1"/>
  <c r="M576" i="7" s="1"/>
  <c r="N576" i="7" s="1"/>
  <c r="I578" i="7"/>
  <c r="K578" i="7" s="1"/>
  <c r="M578" i="7" s="1"/>
  <c r="N578" i="7" s="1"/>
  <c r="I580" i="7"/>
  <c r="K580" i="7" s="1"/>
  <c r="M580" i="7" s="1"/>
  <c r="N580" i="7" s="1"/>
  <c r="I582" i="7"/>
  <c r="K582" i="7" s="1"/>
  <c r="M582" i="7" s="1"/>
  <c r="N582" i="7" s="1"/>
  <c r="I586" i="7"/>
  <c r="K586" i="7" s="1"/>
  <c r="M586" i="7" s="1"/>
  <c r="N586" i="7" s="1"/>
  <c r="N587" i="7"/>
  <c r="I587" i="7"/>
  <c r="K587" i="7" s="1"/>
  <c r="M587" i="7" s="1"/>
  <c r="I594" i="7"/>
  <c r="K594" i="7" s="1"/>
  <c r="M594" i="7" s="1"/>
  <c r="I595" i="7"/>
  <c r="K595" i="7" s="1"/>
  <c r="M595" i="7" s="1"/>
  <c r="N595" i="7" s="1"/>
  <c r="I602" i="7"/>
  <c r="K602" i="7" s="1"/>
  <c r="M602" i="7" s="1"/>
  <c r="N602" i="7" s="1"/>
  <c r="I603" i="7"/>
  <c r="K603" i="7" s="1"/>
  <c r="I610" i="7"/>
  <c r="K610" i="7" s="1"/>
  <c r="M610" i="7" s="1"/>
  <c r="N610" i="7" s="1"/>
  <c r="I611" i="7"/>
  <c r="K611" i="7" s="1"/>
  <c r="M611" i="7" s="1"/>
  <c r="N611" i="7" s="1"/>
  <c r="I617" i="7"/>
  <c r="K617" i="7" s="1"/>
  <c r="M617" i="7" s="1"/>
  <c r="N617" i="7" s="1"/>
  <c r="I621" i="7"/>
  <c r="K621" i="7" s="1"/>
  <c r="M621" i="7" s="1"/>
  <c r="N621" i="7" s="1"/>
  <c r="I625" i="7"/>
  <c r="K625" i="7" s="1"/>
  <c r="I629" i="7"/>
  <c r="K629" i="7" s="1"/>
  <c r="M629" i="7" s="1"/>
  <c r="N629" i="7" s="1"/>
  <c r="I643" i="7"/>
  <c r="K643" i="7" s="1"/>
  <c r="M643" i="7" s="1"/>
  <c r="N643" i="7" s="1"/>
  <c r="I660" i="7"/>
  <c r="K660" i="7" s="1"/>
  <c r="I675" i="7"/>
  <c r="K675" i="7" s="1"/>
  <c r="M675" i="7" s="1"/>
  <c r="N675" i="7" s="1"/>
  <c r="I688" i="7"/>
  <c r="K688" i="7" s="1"/>
  <c r="I584" i="7"/>
  <c r="K584" i="7" s="1"/>
  <c r="M584" i="7" s="1"/>
  <c r="N584" i="7" s="1"/>
  <c r="I585" i="7"/>
  <c r="K585" i="7" s="1"/>
  <c r="M585" i="7" s="1"/>
  <c r="N585" i="7" s="1"/>
  <c r="J589" i="7"/>
  <c r="L589" i="7" s="1"/>
  <c r="I592" i="7"/>
  <c r="K592" i="7" s="1"/>
  <c r="M592" i="7" s="1"/>
  <c r="N592" i="7" s="1"/>
  <c r="I593" i="7"/>
  <c r="K593" i="7" s="1"/>
  <c r="M593" i="7" s="1"/>
  <c r="N593" i="7" s="1"/>
  <c r="J597" i="7"/>
  <c r="L597" i="7" s="1"/>
  <c r="I600" i="7"/>
  <c r="K600" i="7" s="1"/>
  <c r="M600" i="7" s="1"/>
  <c r="N600" i="7" s="1"/>
  <c r="I601" i="7"/>
  <c r="K601" i="7" s="1"/>
  <c r="M601" i="7" s="1"/>
  <c r="N601" i="7" s="1"/>
  <c r="J605" i="7"/>
  <c r="L605" i="7" s="1"/>
  <c r="I608" i="7"/>
  <c r="K608" i="7" s="1"/>
  <c r="M608" i="7" s="1"/>
  <c r="N608" i="7" s="1"/>
  <c r="I609" i="7"/>
  <c r="K609" i="7" s="1"/>
  <c r="M609" i="7" s="1"/>
  <c r="N609" i="7" s="1"/>
  <c r="J613" i="7"/>
  <c r="L613" i="7" s="1"/>
  <c r="C633" i="7"/>
  <c r="B634" i="7"/>
  <c r="I635" i="7"/>
  <c r="K635" i="7" s="1"/>
  <c r="M635" i="7" s="1"/>
  <c r="N635" i="7" s="1"/>
  <c r="I652" i="7"/>
  <c r="K652" i="7" s="1"/>
  <c r="I667" i="7"/>
  <c r="K667" i="7" s="1"/>
  <c r="M667" i="7" s="1"/>
  <c r="N667" i="7" s="1"/>
  <c r="O691" i="7"/>
  <c r="J634" i="7"/>
  <c r="L634" i="7" s="1"/>
  <c r="I637" i="7"/>
  <c r="K637" i="7" s="1"/>
  <c r="M637" i="7" s="1"/>
  <c r="N637" i="7" s="1"/>
  <c r="I638" i="7"/>
  <c r="K638" i="7" s="1"/>
  <c r="M638" i="7" s="1"/>
  <c r="N638" i="7" s="1"/>
  <c r="J642" i="7"/>
  <c r="L642" i="7" s="1"/>
  <c r="I645" i="7"/>
  <c r="K645" i="7" s="1"/>
  <c r="M645" i="7" s="1"/>
  <c r="N645" i="7" s="1"/>
  <c r="I646" i="7"/>
  <c r="K646" i="7" s="1"/>
  <c r="M646" i="7" s="1"/>
  <c r="N646" i="7" s="1"/>
  <c r="J650" i="7"/>
  <c r="L650" i="7" s="1"/>
  <c r="I653" i="7"/>
  <c r="K653" i="7" s="1"/>
  <c r="M653" i="7" s="1"/>
  <c r="N653" i="7" s="1"/>
  <c r="I654" i="7"/>
  <c r="K654" i="7" s="1"/>
  <c r="M654" i="7" s="1"/>
  <c r="N654" i="7" s="1"/>
  <c r="J658" i="7"/>
  <c r="L658" i="7" s="1"/>
  <c r="I661" i="7"/>
  <c r="K661" i="7" s="1"/>
  <c r="M661" i="7" s="1"/>
  <c r="N661" i="7" s="1"/>
  <c r="I662" i="7"/>
  <c r="K662" i="7" s="1"/>
  <c r="M662" i="7" s="1"/>
  <c r="N662" i="7" s="1"/>
  <c r="J666" i="7"/>
  <c r="L666" i="7" s="1"/>
  <c r="I669" i="7"/>
  <c r="K669" i="7" s="1"/>
  <c r="M669" i="7" s="1"/>
  <c r="N669" i="7" s="1"/>
  <c r="I670" i="7"/>
  <c r="K670" i="7" s="1"/>
  <c r="M670" i="7" s="1"/>
  <c r="N670" i="7" s="1"/>
  <c r="J674" i="7"/>
  <c r="L674" i="7" s="1"/>
  <c r="I677" i="7"/>
  <c r="K677" i="7" s="1"/>
  <c r="M677" i="7" s="1"/>
  <c r="N677" i="7" s="1"/>
  <c r="I678" i="7"/>
  <c r="K678" i="7" s="1"/>
  <c r="M678" i="7" s="1"/>
  <c r="N678" i="7" s="1"/>
  <c r="J681" i="7"/>
  <c r="L681" i="7" s="1"/>
  <c r="I683" i="7"/>
  <c r="K683" i="7" s="1"/>
  <c r="M683" i="7" s="1"/>
  <c r="N683" i="7" s="1"/>
  <c r="J685" i="7"/>
  <c r="L685" i="7" s="1"/>
  <c r="I687" i="7"/>
  <c r="K687" i="7" s="1"/>
  <c r="M687" i="7" s="1"/>
  <c r="N687" i="7" s="1"/>
  <c r="O693" i="7"/>
  <c r="O697" i="7"/>
  <c r="O701" i="7"/>
  <c r="O703" i="7"/>
  <c r="I633" i="7"/>
  <c r="K633" i="7" s="1"/>
  <c r="M633" i="7" s="1"/>
  <c r="N633" i="7" s="1"/>
  <c r="I634" i="7"/>
  <c r="K634" i="7" s="1"/>
  <c r="M634" i="7" s="1"/>
  <c r="N634" i="7" s="1"/>
  <c r="I641" i="7"/>
  <c r="K641" i="7" s="1"/>
  <c r="M641" i="7" s="1"/>
  <c r="N641" i="7" s="1"/>
  <c r="I642" i="7"/>
  <c r="K642" i="7" s="1"/>
  <c r="I649" i="7"/>
  <c r="K649" i="7" s="1"/>
  <c r="M649" i="7" s="1"/>
  <c r="N649" i="7" s="1"/>
  <c r="I650" i="7"/>
  <c r="K650" i="7" s="1"/>
  <c r="M650" i="7" s="1"/>
  <c r="N650" i="7" s="1"/>
  <c r="I657" i="7"/>
  <c r="K657" i="7" s="1"/>
  <c r="M657" i="7" s="1"/>
  <c r="N657" i="7" s="1"/>
  <c r="I658" i="7"/>
  <c r="K658" i="7" s="1"/>
  <c r="I665" i="7"/>
  <c r="K665" i="7" s="1"/>
  <c r="M665" i="7" s="1"/>
  <c r="N665" i="7" s="1"/>
  <c r="I666" i="7"/>
  <c r="K666" i="7" s="1"/>
  <c r="M666" i="7" s="1"/>
  <c r="N666" i="7" s="1"/>
  <c r="I673" i="7"/>
  <c r="K673" i="7" s="1"/>
  <c r="M673" i="7" s="1"/>
  <c r="N673" i="7" s="1"/>
  <c r="I674" i="7"/>
  <c r="K674" i="7" s="1"/>
  <c r="I681" i="7"/>
  <c r="K681" i="7" s="1"/>
  <c r="M681" i="7" s="1"/>
  <c r="N681" i="7" s="1"/>
  <c r="I685" i="7"/>
  <c r="K685" i="7" s="1"/>
  <c r="J689" i="7"/>
  <c r="L689" i="7" s="1"/>
  <c r="M689" i="7" s="1"/>
  <c r="N689" i="7" s="1"/>
  <c r="O705" i="7"/>
  <c r="O709" i="7"/>
  <c r="O713" i="7"/>
  <c r="O717" i="7"/>
  <c r="O721" i="7"/>
  <c r="I632" i="7"/>
  <c r="K632" i="7" s="1"/>
  <c r="M632" i="7" s="1"/>
  <c r="N632" i="7" s="1"/>
  <c r="J636" i="7"/>
  <c r="L636" i="7" s="1"/>
  <c r="I639" i="7"/>
  <c r="K639" i="7" s="1"/>
  <c r="M639" i="7" s="1"/>
  <c r="N639" i="7" s="1"/>
  <c r="I640" i="7"/>
  <c r="K640" i="7" s="1"/>
  <c r="M640" i="7" s="1"/>
  <c r="N640" i="7" s="1"/>
  <c r="J644" i="7"/>
  <c r="L644" i="7" s="1"/>
  <c r="I647" i="7"/>
  <c r="K647" i="7" s="1"/>
  <c r="M647" i="7" s="1"/>
  <c r="N647" i="7" s="1"/>
  <c r="I648" i="7"/>
  <c r="K648" i="7" s="1"/>
  <c r="M648" i="7" s="1"/>
  <c r="N648" i="7" s="1"/>
  <c r="J652" i="7"/>
  <c r="L652" i="7" s="1"/>
  <c r="I655" i="7"/>
  <c r="K655" i="7" s="1"/>
  <c r="M655" i="7" s="1"/>
  <c r="N655" i="7" s="1"/>
  <c r="I656" i="7"/>
  <c r="K656" i="7" s="1"/>
  <c r="M656" i="7" s="1"/>
  <c r="N656" i="7" s="1"/>
  <c r="J660" i="7"/>
  <c r="L660" i="7" s="1"/>
  <c r="I663" i="7"/>
  <c r="K663" i="7" s="1"/>
  <c r="M663" i="7" s="1"/>
  <c r="N663" i="7" s="1"/>
  <c r="I664" i="7"/>
  <c r="K664" i="7" s="1"/>
  <c r="M664" i="7" s="1"/>
  <c r="N664" i="7" s="1"/>
  <c r="J668" i="7"/>
  <c r="L668" i="7" s="1"/>
  <c r="I671" i="7"/>
  <c r="K671" i="7" s="1"/>
  <c r="M671" i="7" s="1"/>
  <c r="N671" i="7" s="1"/>
  <c r="I672" i="7"/>
  <c r="K672" i="7" s="1"/>
  <c r="M672" i="7" s="1"/>
  <c r="N672" i="7" s="1"/>
  <c r="J676" i="7"/>
  <c r="L676" i="7" s="1"/>
  <c r="I679" i="7"/>
  <c r="K679" i="7" s="1"/>
  <c r="M679" i="7" s="1"/>
  <c r="N679" i="7" s="1"/>
  <c r="I680" i="7"/>
  <c r="K680" i="7" s="1"/>
  <c r="M680" i="7" s="1"/>
  <c r="N680" i="7" s="1"/>
  <c r="I682" i="7"/>
  <c r="K682" i="7" s="1"/>
  <c r="M682" i="7" s="1"/>
  <c r="N682" i="7" s="1"/>
  <c r="J684" i="7"/>
  <c r="L684" i="7" s="1"/>
  <c r="I686" i="7"/>
  <c r="K686" i="7" s="1"/>
  <c r="M686" i="7" s="1"/>
  <c r="N686" i="7" s="1"/>
  <c r="J688" i="7"/>
  <c r="L688" i="7" s="1"/>
  <c r="O708" i="7"/>
  <c r="O712" i="7"/>
  <c r="O716" i="7"/>
  <c r="K690" i="7"/>
  <c r="M690" i="7" s="1"/>
  <c r="N690" i="7" s="1"/>
  <c r="K694" i="7"/>
  <c r="M694" i="7" s="1"/>
  <c r="N694" i="7" s="1"/>
  <c r="K698" i="7"/>
  <c r="M698" i="7" s="1"/>
  <c r="N698" i="7" s="1"/>
  <c r="C707" i="7"/>
  <c r="B708" i="7"/>
  <c r="C706" i="7"/>
  <c r="O727" i="7"/>
  <c r="O733" i="7"/>
  <c r="M695" i="7"/>
  <c r="N695" i="7" s="1"/>
  <c r="M699" i="7"/>
  <c r="N699" i="7" s="1"/>
  <c r="M704" i="7"/>
  <c r="N704" i="7" s="1"/>
  <c r="M706" i="7"/>
  <c r="N706" i="7" s="1"/>
  <c r="M710" i="7"/>
  <c r="N710" i="7" s="1"/>
  <c r="M714" i="7"/>
  <c r="N714" i="7" s="1"/>
  <c r="M718" i="7"/>
  <c r="N718" i="7" s="1"/>
  <c r="O723" i="7"/>
  <c r="K692" i="7"/>
  <c r="M692" i="7" s="1"/>
  <c r="N692" i="7" s="1"/>
  <c r="K696" i="7"/>
  <c r="M696" i="7" s="1"/>
  <c r="N696" i="7" s="1"/>
  <c r="K700" i="7"/>
  <c r="M700" i="7" s="1"/>
  <c r="N700" i="7" s="1"/>
  <c r="J720" i="7"/>
  <c r="L720" i="7" s="1"/>
  <c r="N722" i="7"/>
  <c r="I722" i="7"/>
  <c r="K722" i="7" s="1"/>
  <c r="M722" i="7" s="1"/>
  <c r="O731" i="7"/>
  <c r="I720" i="7"/>
  <c r="K720" i="7" s="1"/>
  <c r="M720" i="7" s="1"/>
  <c r="N720" i="7" s="1"/>
  <c r="O735" i="7"/>
  <c r="O729" i="7"/>
  <c r="B730" i="7"/>
  <c r="I737" i="7"/>
  <c r="K737" i="7" s="1"/>
  <c r="M737" i="7" s="1"/>
  <c r="N737" i="7" s="1"/>
  <c r="I739" i="7"/>
  <c r="K739" i="7" s="1"/>
  <c r="M739" i="7" s="1"/>
  <c r="N739" i="7" s="1"/>
  <c r="I741" i="7"/>
  <c r="K741" i="7" s="1"/>
  <c r="M741" i="7" s="1"/>
  <c r="N741" i="7" s="1"/>
  <c r="I743" i="7"/>
  <c r="K743" i="7" s="1"/>
  <c r="M743" i="7" s="1"/>
  <c r="N743" i="7" s="1"/>
  <c r="I745" i="7"/>
  <c r="K745" i="7" s="1"/>
  <c r="M745" i="7" s="1"/>
  <c r="N745" i="7" s="1"/>
  <c r="I747" i="7"/>
  <c r="K747" i="7" s="1"/>
  <c r="M747" i="7" s="1"/>
  <c r="N747" i="7" s="1"/>
  <c r="I749" i="7"/>
  <c r="K749" i="7" s="1"/>
  <c r="M749" i="7" s="1"/>
  <c r="N749" i="7" s="1"/>
  <c r="J751" i="7"/>
  <c r="L751" i="7" s="1"/>
  <c r="M751" i="7" s="1"/>
  <c r="N751" i="7" s="1"/>
  <c r="I724" i="7"/>
  <c r="K724" i="7" s="1"/>
  <c r="M724" i="7" s="1"/>
  <c r="N724" i="7" s="1"/>
  <c r="I726" i="7"/>
  <c r="K726" i="7" s="1"/>
  <c r="I728" i="7"/>
  <c r="K728" i="7" s="1"/>
  <c r="I730" i="7"/>
  <c r="K730" i="7" s="1"/>
  <c r="I732" i="7"/>
  <c r="K732" i="7" s="1"/>
  <c r="I734" i="7"/>
  <c r="K734" i="7" s="1"/>
  <c r="I736" i="7"/>
  <c r="K736" i="7" s="1"/>
  <c r="I738" i="7"/>
  <c r="K738" i="7" s="1"/>
  <c r="I740" i="7"/>
  <c r="K740" i="7" s="1"/>
  <c r="I742" i="7"/>
  <c r="K742" i="7" s="1"/>
  <c r="I744" i="7"/>
  <c r="K744" i="7" s="1"/>
  <c r="I746" i="7"/>
  <c r="K746" i="7" s="1"/>
  <c r="I748" i="7"/>
  <c r="K748" i="7" s="1"/>
  <c r="I750" i="7"/>
  <c r="K750" i="7" s="1"/>
  <c r="I752" i="7"/>
  <c r="K752" i="7" s="1"/>
  <c r="J726" i="7"/>
  <c r="L726" i="7" s="1"/>
  <c r="J728" i="7"/>
  <c r="L728" i="7" s="1"/>
  <c r="J730" i="7"/>
  <c r="L730" i="7" s="1"/>
  <c r="J732" i="7"/>
  <c r="L732" i="7" s="1"/>
  <c r="J734" i="7"/>
  <c r="L734" i="7" s="1"/>
  <c r="J736" i="7"/>
  <c r="L736" i="7" s="1"/>
  <c r="J738" i="7"/>
  <c r="L738" i="7" s="1"/>
  <c r="J740" i="7"/>
  <c r="L740" i="7" s="1"/>
  <c r="J742" i="7"/>
  <c r="L742" i="7" s="1"/>
  <c r="J744" i="7"/>
  <c r="L744" i="7" s="1"/>
  <c r="J746" i="7"/>
  <c r="L746" i="7" s="1"/>
  <c r="J748" i="7"/>
  <c r="L748" i="7" s="1"/>
  <c r="J750" i="7"/>
  <c r="L750" i="7" s="1"/>
  <c r="J752" i="7"/>
  <c r="L752" i="7" s="1"/>
  <c r="I47" i="2"/>
  <c r="AQ10" i="1"/>
  <c r="AW11" i="1"/>
  <c r="M688" i="7" l="1"/>
  <c r="N688" i="7" s="1"/>
  <c r="M514" i="7"/>
  <c r="N514" i="7" s="1"/>
  <c r="M484" i="7"/>
  <c r="N484" i="7" s="1"/>
  <c r="M360" i="7"/>
  <c r="N360" i="7" s="1"/>
  <c r="M376" i="7"/>
  <c r="N376" i="7" s="1"/>
  <c r="M358" i="7"/>
  <c r="N358" i="7" s="1"/>
  <c r="A315" i="7"/>
  <c r="M74" i="7"/>
  <c r="N74" i="7" s="1"/>
  <c r="A41" i="7"/>
  <c r="M491" i="7"/>
  <c r="N491" i="7" s="1"/>
  <c r="A317" i="7"/>
  <c r="A39" i="7"/>
  <c r="M742" i="7"/>
  <c r="N742" i="7" s="1"/>
  <c r="M500" i="7"/>
  <c r="N500" i="7" s="1"/>
  <c r="M538" i="7"/>
  <c r="N538" i="7" s="1"/>
  <c r="M428" i="7"/>
  <c r="N428" i="7" s="1"/>
  <c r="M472" i="7"/>
  <c r="N472" i="7" s="1"/>
  <c r="M436" i="7"/>
  <c r="N436" i="7" s="1"/>
  <c r="M750" i="7"/>
  <c r="N750" i="7" s="1"/>
  <c r="M734" i="7"/>
  <c r="N734" i="7" s="1"/>
  <c r="M726" i="7"/>
  <c r="N726" i="7" s="1"/>
  <c r="M658" i="7"/>
  <c r="N658" i="7" s="1"/>
  <c r="M625" i="7"/>
  <c r="N625" i="7" s="1"/>
  <c r="M605" i="7"/>
  <c r="N605" i="7" s="1"/>
  <c r="M748" i="7"/>
  <c r="N748" i="7" s="1"/>
  <c r="M740" i="7"/>
  <c r="N740" i="7" s="1"/>
  <c r="M732" i="7"/>
  <c r="N732" i="7" s="1"/>
  <c r="M603" i="7"/>
  <c r="N603" i="7" s="1"/>
  <c r="M554" i="7"/>
  <c r="N554" i="7" s="1"/>
  <c r="M466" i="7"/>
  <c r="N466" i="7" s="1"/>
  <c r="M440" i="7"/>
  <c r="N440" i="7" s="1"/>
  <c r="M356" i="7"/>
  <c r="N356" i="7" s="1"/>
  <c r="M386" i="7"/>
  <c r="N386" i="7" s="1"/>
  <c r="M370" i="7"/>
  <c r="N370" i="7" s="1"/>
  <c r="M408" i="7"/>
  <c r="N408" i="7" s="1"/>
  <c r="M392" i="7"/>
  <c r="N392" i="7" s="1"/>
  <c r="M330" i="7"/>
  <c r="N330" i="7" s="1"/>
  <c r="M390" i="7"/>
  <c r="N390" i="7" s="1"/>
  <c r="M374" i="7"/>
  <c r="N374" i="7" s="1"/>
  <c r="M296" i="7"/>
  <c r="N296" i="7" s="1"/>
  <c r="M280" i="7"/>
  <c r="N280" i="7" s="1"/>
  <c r="M182" i="7"/>
  <c r="N182" i="7" s="1"/>
  <c r="M64" i="7"/>
  <c r="N64" i="7" s="1"/>
  <c r="A43" i="7"/>
  <c r="O33" i="7"/>
  <c r="A299" i="7"/>
  <c r="A311" i="7"/>
  <c r="A313" i="7"/>
  <c r="A35" i="7"/>
  <c r="A17" i="7"/>
  <c r="A31" i="7"/>
  <c r="A15" i="7"/>
  <c r="A13" i="7"/>
  <c r="A319" i="7"/>
  <c r="A301" i="7"/>
  <c r="A297" i="7"/>
  <c r="A309" i="7"/>
  <c r="A37" i="7"/>
  <c r="A19" i="7"/>
  <c r="A21" i="7"/>
  <c r="A307" i="7"/>
  <c r="A303" i="7"/>
  <c r="A305" i="7"/>
  <c r="A27" i="7"/>
  <c r="A11" i="7"/>
  <c r="A25" i="7"/>
  <c r="A23" i="7"/>
  <c r="A29" i="7"/>
  <c r="O749" i="7"/>
  <c r="O742" i="7"/>
  <c r="O734" i="7"/>
  <c r="O726" i="7"/>
  <c r="O739" i="7"/>
  <c r="O687" i="7"/>
  <c r="O661" i="7"/>
  <c r="O638" i="7"/>
  <c r="O600" i="7"/>
  <c r="O584" i="7"/>
  <c r="O732" i="7"/>
  <c r="O724" i="7"/>
  <c r="O745" i="7"/>
  <c r="O737" i="7"/>
  <c r="O720" i="7"/>
  <c r="O686" i="7"/>
  <c r="O665" i="7"/>
  <c r="O650" i="7"/>
  <c r="O634" i="7"/>
  <c r="O678" i="7"/>
  <c r="O669" i="7"/>
  <c r="O646" i="7"/>
  <c r="O637" i="7"/>
  <c r="O688" i="7"/>
  <c r="O643" i="7"/>
  <c r="O617" i="7"/>
  <c r="O612" i="7"/>
  <c r="O619" i="7"/>
  <c r="O591" i="7"/>
  <c r="O544" i="7"/>
  <c r="O528" i="7"/>
  <c r="O512" i="7"/>
  <c r="O500" i="7"/>
  <c r="O426" i="7"/>
  <c r="O417" i="7"/>
  <c r="O486" i="7"/>
  <c r="O446" i="7"/>
  <c r="O412" i="7"/>
  <c r="O468" i="7"/>
  <c r="O356" i="7"/>
  <c r="O386" i="7"/>
  <c r="O350" i="7"/>
  <c r="O314" i="7"/>
  <c r="A314" i="7"/>
  <c r="O280" i="7"/>
  <c r="O266" i="7"/>
  <c r="O258" i="7"/>
  <c r="O250" i="7"/>
  <c r="O242" i="7"/>
  <c r="A242" i="7"/>
  <c r="O234" i="7"/>
  <c r="A234" i="7"/>
  <c r="O286" i="7"/>
  <c r="O155" i="7"/>
  <c r="A147" i="7"/>
  <c r="O147" i="7"/>
  <c r="A139" i="7"/>
  <c r="O139" i="7"/>
  <c r="A131" i="7"/>
  <c r="O131" i="7"/>
  <c r="A123" i="7"/>
  <c r="O123" i="7"/>
  <c r="A115" i="7"/>
  <c r="O115" i="7"/>
  <c r="A107" i="7"/>
  <c r="O107" i="7"/>
  <c r="A99" i="7"/>
  <c r="O99" i="7"/>
  <c r="A91" i="7"/>
  <c r="O91" i="7"/>
  <c r="A83" i="7"/>
  <c r="O83" i="7"/>
  <c r="O75" i="7"/>
  <c r="O67" i="7"/>
  <c r="O59" i="7"/>
  <c r="O178" i="7"/>
  <c r="O158" i="7"/>
  <c r="O150" i="7"/>
  <c r="A150" i="7"/>
  <c r="O142" i="7"/>
  <c r="A142" i="7"/>
  <c r="O134" i="7"/>
  <c r="A134" i="7"/>
  <c r="O126" i="7"/>
  <c r="A126" i="7"/>
  <c r="O118" i="7"/>
  <c r="A118" i="7"/>
  <c r="O110" i="7"/>
  <c r="A110" i="7"/>
  <c r="O102" i="7"/>
  <c r="A102" i="7"/>
  <c r="O94" i="7"/>
  <c r="A94" i="7"/>
  <c r="O86" i="7"/>
  <c r="A86" i="7"/>
  <c r="O78" i="7"/>
  <c r="O70" i="7"/>
  <c r="O60" i="7"/>
  <c r="O30" i="7"/>
  <c r="A30" i="7"/>
  <c r="O22" i="7"/>
  <c r="A22" i="7"/>
  <c r="O14" i="7"/>
  <c r="A14" i="7"/>
  <c r="O743" i="7"/>
  <c r="O649" i="7"/>
  <c r="O633" i="7"/>
  <c r="O677" i="7"/>
  <c r="O654" i="7"/>
  <c r="O645" i="7"/>
  <c r="O667" i="7"/>
  <c r="O629" i="7"/>
  <c r="O611" i="7"/>
  <c r="O578" i="7"/>
  <c r="O570" i="7"/>
  <c r="O651" i="7"/>
  <c r="O623" i="7"/>
  <c r="O599" i="7"/>
  <c r="O590" i="7"/>
  <c r="O520" i="7"/>
  <c r="O562" i="7"/>
  <c r="O499" i="7"/>
  <c r="O492" i="7"/>
  <c r="O538" i="7"/>
  <c r="O425" i="7"/>
  <c r="O478" i="7"/>
  <c r="O470" i="7"/>
  <c r="O438" i="7"/>
  <c r="O420" i="7"/>
  <c r="O411" i="7"/>
  <c r="O436" i="7"/>
  <c r="O360" i="7"/>
  <c r="O328" i="7"/>
  <c r="O320" i="7"/>
  <c r="A320" i="7"/>
  <c r="O312" i="7"/>
  <c r="A312" i="7"/>
  <c r="O304" i="7"/>
  <c r="A304" i="7"/>
  <c r="O279" i="7"/>
  <c r="O264" i="7"/>
  <c r="O256" i="7"/>
  <c r="O248" i="7"/>
  <c r="A248" i="7"/>
  <c r="O240" i="7"/>
  <c r="A240" i="7"/>
  <c r="O232" i="7"/>
  <c r="A232" i="7"/>
  <c r="O274" i="7"/>
  <c r="O263" i="7"/>
  <c r="O255" i="7"/>
  <c r="O172" i="7"/>
  <c r="O161" i="7"/>
  <c r="O153" i="7"/>
  <c r="A145" i="7"/>
  <c r="O145" i="7"/>
  <c r="A137" i="7"/>
  <c r="O137" i="7"/>
  <c r="A129" i="7"/>
  <c r="O129" i="7"/>
  <c r="A121" i="7"/>
  <c r="O121" i="7"/>
  <c r="A113" i="7"/>
  <c r="O113" i="7"/>
  <c r="A105" i="7"/>
  <c r="O105" i="7"/>
  <c r="A97" i="7"/>
  <c r="O97" i="7"/>
  <c r="A89" i="7"/>
  <c r="O89" i="7"/>
  <c r="A81" i="7"/>
  <c r="O81" i="7"/>
  <c r="A93" i="7"/>
  <c r="O73" i="7"/>
  <c r="O65" i="7"/>
  <c r="O57" i="7"/>
  <c r="O226" i="7"/>
  <c r="A226" i="7"/>
  <c r="O148" i="7"/>
  <c r="A148" i="7"/>
  <c r="O140" i="7"/>
  <c r="A140" i="7"/>
  <c r="O132" i="7"/>
  <c r="A132" i="7"/>
  <c r="O124" i="7"/>
  <c r="A124" i="7"/>
  <c r="O116" i="7"/>
  <c r="A116" i="7"/>
  <c r="O108" i="7"/>
  <c r="A108" i="7"/>
  <c r="O92" i="7"/>
  <c r="A92" i="7"/>
  <c r="O84" i="7"/>
  <c r="A84" i="7"/>
  <c r="A46" i="7"/>
  <c r="O46" i="7"/>
  <c r="O64" i="7"/>
  <c r="A49" i="7"/>
  <c r="O49" i="7"/>
  <c r="A52" i="7"/>
  <c r="O52" i="7"/>
  <c r="O44" i="7"/>
  <c r="A44" i="7"/>
  <c r="O36" i="7"/>
  <c r="A36" i="7"/>
  <c r="O28" i="7"/>
  <c r="A28" i="7"/>
  <c r="O20" i="7"/>
  <c r="A20" i="7"/>
  <c r="O12" i="7"/>
  <c r="A12" i="7"/>
  <c r="O741" i="7"/>
  <c r="O647" i="7"/>
  <c r="O673" i="7"/>
  <c r="O662" i="7"/>
  <c r="O653" i="7"/>
  <c r="O625" i="7"/>
  <c r="O610" i="7"/>
  <c r="O595" i="7"/>
  <c r="O576" i="7"/>
  <c r="O605" i="7"/>
  <c r="O627" i="7"/>
  <c r="O607" i="7"/>
  <c r="O598" i="7"/>
  <c r="O588" i="7"/>
  <c r="O560" i="7"/>
  <c r="O497" i="7"/>
  <c r="O546" i="7"/>
  <c r="O530" i="7"/>
  <c r="O554" i="7"/>
  <c r="O410" i="7"/>
  <c r="O462" i="7"/>
  <c r="O428" i="7"/>
  <c r="O419" i="7"/>
  <c r="O423" i="7"/>
  <c r="O348" i="7"/>
  <c r="O408" i="7"/>
  <c r="O318" i="7"/>
  <c r="A318" i="7"/>
  <c r="O310" i="7"/>
  <c r="A310" i="7"/>
  <c r="O302" i="7"/>
  <c r="A302" i="7"/>
  <c r="O390" i="7"/>
  <c r="O277" i="7"/>
  <c r="O269" i="7"/>
  <c r="O262" i="7"/>
  <c r="O254" i="7"/>
  <c r="O246" i="7"/>
  <c r="A246" i="7"/>
  <c r="O238" i="7"/>
  <c r="A238" i="7"/>
  <c r="O230" i="7"/>
  <c r="A230" i="7"/>
  <c r="O273" i="7"/>
  <c r="O220" i="7"/>
  <c r="O188" i="7"/>
  <c r="O159" i="7"/>
  <c r="A151" i="7"/>
  <c r="O151" i="7"/>
  <c r="A143" i="7"/>
  <c r="O143" i="7"/>
  <c r="A135" i="7"/>
  <c r="O135" i="7"/>
  <c r="A127" i="7"/>
  <c r="O127" i="7"/>
  <c r="A119" i="7"/>
  <c r="O119" i="7"/>
  <c r="A111" i="7"/>
  <c r="O111" i="7"/>
  <c r="A103" i="7"/>
  <c r="O103" i="7"/>
  <c r="A95" i="7"/>
  <c r="O95" i="7"/>
  <c r="A87" i="7"/>
  <c r="O87" i="7"/>
  <c r="O79" i="7"/>
  <c r="O71" i="7"/>
  <c r="O63" i="7"/>
  <c r="A55" i="7"/>
  <c r="O55" i="7"/>
  <c r="O210" i="7"/>
  <c r="O162" i="7"/>
  <c r="O154" i="7"/>
  <c r="O146" i="7"/>
  <c r="A146" i="7"/>
  <c r="O138" i="7"/>
  <c r="A138" i="7"/>
  <c r="O130" i="7"/>
  <c r="A130" i="7"/>
  <c r="O122" i="7"/>
  <c r="A122" i="7"/>
  <c r="O114" i="7"/>
  <c r="A114" i="7"/>
  <c r="O106" i="7"/>
  <c r="A106" i="7"/>
  <c r="O98" i="7"/>
  <c r="A98" i="7"/>
  <c r="O90" i="7"/>
  <c r="A90" i="7"/>
  <c r="O82" i="7"/>
  <c r="A82" i="7"/>
  <c r="O74" i="7"/>
  <c r="O54" i="7"/>
  <c r="A54" i="7"/>
  <c r="O45" i="7"/>
  <c r="A45" i="7"/>
  <c r="O48" i="7"/>
  <c r="A48" i="7"/>
  <c r="A51" i="7"/>
  <c r="O51" i="7"/>
  <c r="O34" i="7"/>
  <c r="A34" i="7"/>
  <c r="O18" i="7"/>
  <c r="A18" i="7"/>
  <c r="O751" i="7"/>
  <c r="O750" i="7"/>
  <c r="O747" i="7"/>
  <c r="O666" i="7"/>
  <c r="O670" i="7"/>
  <c r="O608" i="7"/>
  <c r="O592" i="7"/>
  <c r="O621" i="7"/>
  <c r="O582" i="7"/>
  <c r="O574" i="7"/>
  <c r="O631" i="7"/>
  <c r="O615" i="7"/>
  <c r="O583" i="7"/>
  <c r="O568" i="7"/>
  <c r="O552" i="7"/>
  <c r="O536" i="7"/>
  <c r="O489" i="7"/>
  <c r="O418" i="7"/>
  <c r="O409" i="7"/>
  <c r="O454" i="7"/>
  <c r="O427" i="7"/>
  <c r="O484" i="7"/>
  <c r="O372" i="7"/>
  <c r="O352" i="7"/>
  <c r="O334" i="7"/>
  <c r="O376" i="7"/>
  <c r="O316" i="7"/>
  <c r="A316" i="7"/>
  <c r="O308" i="7"/>
  <c r="A308" i="7"/>
  <c r="O300" i="7"/>
  <c r="A300" i="7"/>
  <c r="O275" i="7"/>
  <c r="O267" i="7"/>
  <c r="O271" i="7"/>
  <c r="O260" i="7"/>
  <c r="O252" i="7"/>
  <c r="O244" i="7"/>
  <c r="A244" i="7"/>
  <c r="O236" i="7"/>
  <c r="A236" i="7"/>
  <c r="O294" i="7"/>
  <c r="O259" i="7"/>
  <c r="O251" i="7"/>
  <c r="O204" i="7"/>
  <c r="O157" i="7"/>
  <c r="A149" i="7"/>
  <c r="O149" i="7"/>
  <c r="A141" i="7"/>
  <c r="O141" i="7"/>
  <c r="A133" i="7"/>
  <c r="O133" i="7"/>
  <c r="A125" i="7"/>
  <c r="O125" i="7"/>
  <c r="A117" i="7"/>
  <c r="O117" i="7"/>
  <c r="A109" i="7"/>
  <c r="O109" i="7"/>
  <c r="A101" i="7"/>
  <c r="O101" i="7"/>
  <c r="A85" i="7"/>
  <c r="O85" i="7"/>
  <c r="O77" i="7"/>
  <c r="O69" i="7"/>
  <c r="O61" i="7"/>
  <c r="O194" i="7"/>
  <c r="O152" i="7"/>
  <c r="A152" i="7"/>
  <c r="O144" i="7"/>
  <c r="A144" i="7"/>
  <c r="O136" i="7"/>
  <c r="A136" i="7"/>
  <c r="O128" i="7"/>
  <c r="A128" i="7"/>
  <c r="O120" i="7"/>
  <c r="A120" i="7"/>
  <c r="O112" i="7"/>
  <c r="A112" i="7"/>
  <c r="O88" i="7"/>
  <c r="A88" i="7"/>
  <c r="O10" i="7"/>
  <c r="A10" i="7"/>
  <c r="A50" i="7"/>
  <c r="O50" i="7"/>
  <c r="O40" i="7"/>
  <c r="A40" i="7"/>
  <c r="O32" i="7"/>
  <c r="A32" i="7"/>
  <c r="O24" i="7"/>
  <c r="A24" i="7"/>
  <c r="O16" i="7"/>
  <c r="A16" i="7"/>
  <c r="O706" i="7"/>
  <c r="O641" i="7"/>
  <c r="B635" i="7"/>
  <c r="C634" i="7"/>
  <c r="O609" i="7"/>
  <c r="O601" i="7"/>
  <c r="O585" i="7"/>
  <c r="O679" i="7"/>
  <c r="O587" i="7"/>
  <c r="M676" i="7"/>
  <c r="N676" i="7" s="1"/>
  <c r="O663" i="7"/>
  <c r="O594" i="7"/>
  <c r="O580" i="7"/>
  <c r="O602" i="7"/>
  <c r="B563" i="7"/>
  <c r="C562" i="7"/>
  <c r="O548" i="7"/>
  <c r="B539" i="7"/>
  <c r="C538" i="7"/>
  <c r="O524" i="7"/>
  <c r="B515" i="7"/>
  <c r="C514" i="7"/>
  <c r="O506" i="7"/>
  <c r="O498" i="7"/>
  <c r="O606" i="7"/>
  <c r="O586" i="7"/>
  <c r="O572" i="7"/>
  <c r="O559" i="7"/>
  <c r="O543" i="7"/>
  <c r="O523" i="7"/>
  <c r="O505" i="7"/>
  <c r="M589" i="7"/>
  <c r="N589" i="7" s="1"/>
  <c r="A593" i="7" s="1"/>
  <c r="O537" i="7"/>
  <c r="O517" i="7"/>
  <c r="O496" i="7"/>
  <c r="O501" i="7"/>
  <c r="O482" i="7"/>
  <c r="O466" i="7"/>
  <c r="O450" i="7"/>
  <c r="O434" i="7"/>
  <c r="O475" i="7"/>
  <c r="M460" i="7"/>
  <c r="N460" i="7" s="1"/>
  <c r="O451" i="7"/>
  <c r="M444" i="7"/>
  <c r="N444" i="7" s="1"/>
  <c r="O415" i="7"/>
  <c r="O404" i="7"/>
  <c r="O388" i="7"/>
  <c r="C370" i="7"/>
  <c r="B371" i="7"/>
  <c r="O344" i="7"/>
  <c r="O340" i="7"/>
  <c r="O336" i="7"/>
  <c r="O490" i="7"/>
  <c r="O431" i="7"/>
  <c r="O402" i="7"/>
  <c r="O370" i="7"/>
  <c r="M422" i="7"/>
  <c r="N422" i="7" s="1"/>
  <c r="O392" i="7"/>
  <c r="O358" i="7"/>
  <c r="O342" i="7"/>
  <c r="O330" i="7"/>
  <c r="M430" i="7"/>
  <c r="N430" i="7" s="1"/>
  <c r="O406" i="7"/>
  <c r="O374" i="7"/>
  <c r="O326" i="7"/>
  <c r="O276" i="7"/>
  <c r="O268" i="7"/>
  <c r="B299" i="7"/>
  <c r="C298" i="7"/>
  <c r="C274" i="7"/>
  <c r="B275" i="7"/>
  <c r="O324" i="7"/>
  <c r="O290" i="7"/>
  <c r="O265" i="7"/>
  <c r="O257" i="7"/>
  <c r="O249" i="7"/>
  <c r="O241" i="7"/>
  <c r="A241" i="7"/>
  <c r="O233" i="7"/>
  <c r="A233" i="7"/>
  <c r="A225" i="7"/>
  <c r="O225" i="7"/>
  <c r="O217" i="7"/>
  <c r="O209" i="7"/>
  <c r="O201" i="7"/>
  <c r="O193" i="7"/>
  <c r="O185" i="7"/>
  <c r="O177" i="7"/>
  <c r="O169" i="7"/>
  <c r="O206" i="7"/>
  <c r="O174" i="7"/>
  <c r="O289" i="7"/>
  <c r="O228" i="7"/>
  <c r="A228" i="7"/>
  <c r="O212" i="7"/>
  <c r="O196" i="7"/>
  <c r="C178" i="7"/>
  <c r="B179" i="7"/>
  <c r="O202" i="7"/>
  <c r="O170" i="7"/>
  <c r="M216" i="7"/>
  <c r="N216" i="7" s="1"/>
  <c r="M200" i="7"/>
  <c r="N200" i="7" s="1"/>
  <c r="M184" i="7"/>
  <c r="N184" i="7" s="1"/>
  <c r="M168" i="7"/>
  <c r="N168" i="7" s="1"/>
  <c r="O104" i="7"/>
  <c r="A104" i="7"/>
  <c r="O100" i="7"/>
  <c r="A100" i="7"/>
  <c r="O96" i="7"/>
  <c r="A96" i="7"/>
  <c r="A47" i="7"/>
  <c r="O47" i="7"/>
  <c r="O160" i="7"/>
  <c r="O156" i="7"/>
  <c r="B84" i="7"/>
  <c r="C83" i="7"/>
  <c r="O56" i="7"/>
  <c r="A56" i="7"/>
  <c r="B156" i="7"/>
  <c r="C155" i="7"/>
  <c r="A53" i="7"/>
  <c r="O53" i="7"/>
  <c r="O26" i="7"/>
  <c r="A26" i="7"/>
  <c r="O38" i="7"/>
  <c r="A38" i="7"/>
  <c r="O748" i="7"/>
  <c r="O683" i="7"/>
  <c r="O675" i="7"/>
  <c r="O593" i="7"/>
  <c r="O696" i="7"/>
  <c r="O718" i="7"/>
  <c r="O704" i="7"/>
  <c r="O698" i="7"/>
  <c r="M652" i="7"/>
  <c r="N652" i="7" s="1"/>
  <c r="O639" i="7"/>
  <c r="C682" i="7"/>
  <c r="B683" i="7"/>
  <c r="O657" i="7"/>
  <c r="M636" i="7"/>
  <c r="N636" i="7" s="1"/>
  <c r="M644" i="7"/>
  <c r="N644" i="7" s="1"/>
  <c r="M597" i="7"/>
  <c r="N597" i="7" s="1"/>
  <c r="A592" i="7" s="1"/>
  <c r="O563" i="7"/>
  <c r="M558" i="7"/>
  <c r="N558" i="7" s="1"/>
  <c r="M542" i="7"/>
  <c r="N542" i="7" s="1"/>
  <c r="A545" i="7" s="1"/>
  <c r="M522" i="7"/>
  <c r="N522" i="7" s="1"/>
  <c r="O553" i="7"/>
  <c r="O533" i="7"/>
  <c r="M504" i="7"/>
  <c r="N504" i="7" s="1"/>
  <c r="O561" i="7"/>
  <c r="O521" i="7"/>
  <c r="M474" i="7"/>
  <c r="N474" i="7" s="1"/>
  <c r="M495" i="7"/>
  <c r="N495" i="7" s="1"/>
  <c r="O479" i="7"/>
  <c r="M464" i="7"/>
  <c r="N464" i="7" s="1"/>
  <c r="O455" i="7"/>
  <c r="M448" i="7"/>
  <c r="N448" i="7" s="1"/>
  <c r="M416" i="7"/>
  <c r="N416" i="7" s="1"/>
  <c r="O421" i="7"/>
  <c r="O413" i="7"/>
  <c r="M396" i="7"/>
  <c r="N396" i="7" s="1"/>
  <c r="C394" i="7"/>
  <c r="B395" i="7"/>
  <c r="M380" i="7"/>
  <c r="N380" i="7" s="1"/>
  <c r="M364" i="7"/>
  <c r="N364" i="7" s="1"/>
  <c r="B347" i="7"/>
  <c r="C346" i="7"/>
  <c r="O343" i="7"/>
  <c r="O339" i="7"/>
  <c r="O335" i="7"/>
  <c r="O429" i="7"/>
  <c r="M394" i="7"/>
  <c r="N394" i="7" s="1"/>
  <c r="M362" i="7"/>
  <c r="N362" i="7" s="1"/>
  <c r="M384" i="7"/>
  <c r="N384" i="7" s="1"/>
  <c r="M354" i="7"/>
  <c r="N354" i="7" s="1"/>
  <c r="M338" i="7"/>
  <c r="N338" i="7" s="1"/>
  <c r="M398" i="7"/>
  <c r="N398" i="7" s="1"/>
  <c r="M366" i="7"/>
  <c r="N366" i="7" s="1"/>
  <c r="M331" i="7"/>
  <c r="N331" i="7" s="1"/>
  <c r="O332" i="7"/>
  <c r="O247" i="7"/>
  <c r="A247" i="7"/>
  <c r="O239" i="7"/>
  <c r="A239" i="7"/>
  <c r="O231" i="7"/>
  <c r="A231" i="7"/>
  <c r="O223" i="7"/>
  <c r="O215" i="7"/>
  <c r="O207" i="7"/>
  <c r="O199" i="7"/>
  <c r="O191" i="7"/>
  <c r="O183" i="7"/>
  <c r="O175" i="7"/>
  <c r="O167" i="7"/>
  <c r="M166" i="7"/>
  <c r="N166" i="7" s="1"/>
  <c r="O281" i="7"/>
  <c r="C202" i="7"/>
  <c r="B203" i="7"/>
  <c r="M164" i="7"/>
  <c r="N164" i="7" s="1"/>
  <c r="A167" i="7" s="1"/>
  <c r="B252" i="7"/>
  <c r="C251" i="7"/>
  <c r="M76" i="7"/>
  <c r="N76" i="7" s="1"/>
  <c r="M68" i="7"/>
  <c r="N68" i="7" s="1"/>
  <c r="M66" i="7"/>
  <c r="N66" i="7" s="1"/>
  <c r="B132" i="7"/>
  <c r="C131" i="7"/>
  <c r="O740" i="7"/>
  <c r="O682" i="7"/>
  <c r="M746" i="7"/>
  <c r="N746" i="7" s="1"/>
  <c r="M730" i="7"/>
  <c r="N730" i="7" s="1"/>
  <c r="O722" i="7"/>
  <c r="O714" i="7"/>
  <c r="O694" i="7"/>
  <c r="O680" i="7"/>
  <c r="O664" i="7"/>
  <c r="O648" i="7"/>
  <c r="O632" i="7"/>
  <c r="O681" i="7"/>
  <c r="O671" i="7"/>
  <c r="O603" i="7"/>
  <c r="O655" i="7"/>
  <c r="O604" i="7"/>
  <c r="O659" i="7"/>
  <c r="O630" i="7"/>
  <c r="O626" i="7"/>
  <c r="O622" i="7"/>
  <c r="O618" i="7"/>
  <c r="O614" i="7"/>
  <c r="O564" i="7"/>
  <c r="O556" i="7"/>
  <c r="O540" i="7"/>
  <c r="O532" i="7"/>
  <c r="O516" i="7"/>
  <c r="O508" i="7"/>
  <c r="M566" i="7"/>
  <c r="N566" i="7" s="1"/>
  <c r="A563" i="7" s="1"/>
  <c r="M526" i="7"/>
  <c r="N526" i="7" s="1"/>
  <c r="M550" i="7"/>
  <c r="N550" i="7" s="1"/>
  <c r="A555" i="7" s="1"/>
  <c r="O514" i="7"/>
  <c r="C586" i="7"/>
  <c r="B587" i="7"/>
  <c r="O557" i="7"/>
  <c r="O541" i="7"/>
  <c r="O535" i="7"/>
  <c r="O519" i="7"/>
  <c r="O494" i="7"/>
  <c r="M507" i="7"/>
  <c r="N507" i="7" s="1"/>
  <c r="O488" i="7"/>
  <c r="O491" i="7"/>
  <c r="O458" i="7"/>
  <c r="O442" i="7"/>
  <c r="O483" i="7"/>
  <c r="M476" i="7"/>
  <c r="N476" i="7" s="1"/>
  <c r="O472" i="7"/>
  <c r="O467" i="7"/>
  <c r="O459" i="7"/>
  <c r="M452" i="7"/>
  <c r="N452" i="7" s="1"/>
  <c r="A442" i="7" s="1"/>
  <c r="O443" i="7"/>
  <c r="O440" i="7"/>
  <c r="O435" i="7"/>
  <c r="M424" i="7"/>
  <c r="N424" i="7" s="1"/>
  <c r="B421" i="7"/>
  <c r="C420" i="7"/>
  <c r="M414" i="7"/>
  <c r="N414" i="7" s="1"/>
  <c r="O322" i="7"/>
  <c r="B326" i="7"/>
  <c r="C325" i="7"/>
  <c r="O306" i="7"/>
  <c r="A306" i="7"/>
  <c r="O296" i="7"/>
  <c r="O288" i="7"/>
  <c r="O278" i="7"/>
  <c r="O270" i="7"/>
  <c r="O298" i="7"/>
  <c r="A298" i="7"/>
  <c r="O282" i="7"/>
  <c r="O261" i="7"/>
  <c r="O253" i="7"/>
  <c r="O245" i="7"/>
  <c r="A245" i="7"/>
  <c r="O237" i="7"/>
  <c r="A237" i="7"/>
  <c r="O229" i="7"/>
  <c r="A229" i="7"/>
  <c r="O221" i="7"/>
  <c r="O213" i="7"/>
  <c r="O205" i="7"/>
  <c r="O197" i="7"/>
  <c r="O189" i="7"/>
  <c r="O181" i="7"/>
  <c r="O173" i="7"/>
  <c r="A165" i="7"/>
  <c r="O165" i="7"/>
  <c r="O214" i="7"/>
  <c r="O198" i="7"/>
  <c r="O182" i="7"/>
  <c r="C226" i="7"/>
  <c r="B227" i="7"/>
  <c r="O180" i="7"/>
  <c r="O218" i="7"/>
  <c r="O186" i="7"/>
  <c r="M224" i="7"/>
  <c r="N224" i="7" s="1"/>
  <c r="M208" i="7"/>
  <c r="N208" i="7" s="1"/>
  <c r="M192" i="7"/>
  <c r="N192" i="7" s="1"/>
  <c r="A198" i="7" s="1"/>
  <c r="M176" i="7"/>
  <c r="N176" i="7" s="1"/>
  <c r="A156" i="7" s="1"/>
  <c r="B108" i="7"/>
  <c r="C107" i="7"/>
  <c r="O80" i="7"/>
  <c r="B60" i="7"/>
  <c r="C59" i="7"/>
  <c r="O42" i="7"/>
  <c r="A42" i="7"/>
  <c r="B37" i="7"/>
  <c r="C36" i="7"/>
  <c r="O700" i="7"/>
  <c r="M738" i="7"/>
  <c r="N738" i="7" s="1"/>
  <c r="B731" i="7"/>
  <c r="C730" i="7"/>
  <c r="O692" i="7"/>
  <c r="O699" i="7"/>
  <c r="O689" i="7"/>
  <c r="O672" i="7"/>
  <c r="O656" i="7"/>
  <c r="O640" i="7"/>
  <c r="O658" i="7"/>
  <c r="M752" i="7"/>
  <c r="N752" i="7" s="1"/>
  <c r="M744" i="7"/>
  <c r="N744" i="7" s="1"/>
  <c r="M736" i="7"/>
  <c r="N736" i="7" s="1"/>
  <c r="M728" i="7"/>
  <c r="N728" i="7" s="1"/>
  <c r="A706" i="7" s="1"/>
  <c r="O710" i="7"/>
  <c r="O695" i="7"/>
  <c r="B709" i="7"/>
  <c r="C708" i="7"/>
  <c r="O690" i="7"/>
  <c r="M685" i="7"/>
  <c r="N685" i="7" s="1"/>
  <c r="M674" i="7"/>
  <c r="N674" i="7" s="1"/>
  <c r="M642" i="7"/>
  <c r="N642" i="7" s="1"/>
  <c r="A656" i="7" s="1"/>
  <c r="O635" i="7"/>
  <c r="M660" i="7"/>
  <c r="N660" i="7" s="1"/>
  <c r="A664" i="7" s="1"/>
  <c r="M684" i="7"/>
  <c r="N684" i="7" s="1"/>
  <c r="M668" i="7"/>
  <c r="N668" i="7" s="1"/>
  <c r="M613" i="7"/>
  <c r="N613" i="7" s="1"/>
  <c r="A624" i="7" s="1"/>
  <c r="C610" i="7"/>
  <c r="B611" i="7"/>
  <c r="B659" i="7"/>
  <c r="C658" i="7"/>
  <c r="A620" i="7"/>
  <c r="A596" i="7"/>
  <c r="O596" i="7"/>
  <c r="A616" i="7"/>
  <c r="A551" i="7"/>
  <c r="A579" i="7"/>
  <c r="M510" i="7"/>
  <c r="N510" i="7" s="1"/>
  <c r="M493" i="7"/>
  <c r="N493" i="7" s="1"/>
  <c r="A571" i="7"/>
  <c r="O555" i="7"/>
  <c r="O539" i="7"/>
  <c r="A539" i="7"/>
  <c r="M534" i="7"/>
  <c r="N534" i="7" s="1"/>
  <c r="A516" i="7" s="1"/>
  <c r="M518" i="7"/>
  <c r="N518" i="7" s="1"/>
  <c r="O503" i="7"/>
  <c r="A547" i="7"/>
  <c r="C491" i="7"/>
  <c r="B492" i="7"/>
  <c r="A549" i="7"/>
  <c r="M502" i="7"/>
  <c r="N502" i="7" s="1"/>
  <c r="A491" i="7" s="1"/>
  <c r="O487" i="7"/>
  <c r="M480" i="7"/>
  <c r="N480" i="7" s="1"/>
  <c r="A467" i="7" s="1"/>
  <c r="O471" i="7"/>
  <c r="B467" i="7"/>
  <c r="C466" i="7"/>
  <c r="O463" i="7"/>
  <c r="M456" i="7"/>
  <c r="N456" i="7" s="1"/>
  <c r="A455" i="7" s="1"/>
  <c r="O447" i="7"/>
  <c r="B443" i="7"/>
  <c r="C442" i="7"/>
  <c r="O439" i="7"/>
  <c r="A439" i="7"/>
  <c r="M432" i="7"/>
  <c r="N432" i="7" s="1"/>
  <c r="O359" i="7"/>
  <c r="O355" i="7"/>
  <c r="O351" i="7"/>
  <c r="O347" i="7"/>
  <c r="M378" i="7"/>
  <c r="N378" i="7" s="1"/>
  <c r="M400" i="7"/>
  <c r="N400" i="7" s="1"/>
  <c r="A413" i="7" s="1"/>
  <c r="M368" i="7"/>
  <c r="N368" i="7" s="1"/>
  <c r="A359" i="7" s="1"/>
  <c r="M346" i="7"/>
  <c r="N346" i="7" s="1"/>
  <c r="M382" i="7"/>
  <c r="N382" i="7" s="1"/>
  <c r="M292" i="7"/>
  <c r="N292" i="7" s="1"/>
  <c r="M284" i="7"/>
  <c r="N284" i="7" s="1"/>
  <c r="O329" i="7"/>
  <c r="M272" i="7"/>
  <c r="N272" i="7" s="1"/>
  <c r="A249" i="7" s="1"/>
  <c r="O243" i="7"/>
  <c r="A243" i="7"/>
  <c r="O235" i="7"/>
  <c r="A235" i="7"/>
  <c r="A227" i="7"/>
  <c r="O227" i="7"/>
  <c r="O219" i="7"/>
  <c r="O211" i="7"/>
  <c r="O203" i="7"/>
  <c r="O195" i="7"/>
  <c r="A187" i="7"/>
  <c r="O187" i="7"/>
  <c r="O179" i="7"/>
  <c r="A171" i="7"/>
  <c r="O171" i="7"/>
  <c r="M222" i="7"/>
  <c r="N222" i="7" s="1"/>
  <c r="A211" i="7" s="1"/>
  <c r="M190" i="7"/>
  <c r="N190" i="7" s="1"/>
  <c r="A183" i="7" s="1"/>
  <c r="M72" i="7"/>
  <c r="N72" i="7" s="1"/>
  <c r="A163" i="7"/>
  <c r="O163" i="7"/>
  <c r="M62" i="7"/>
  <c r="N62" i="7" s="1"/>
  <c r="O58" i="7"/>
  <c r="A58" i="7"/>
  <c r="B13" i="7"/>
  <c r="C12" i="7"/>
  <c r="AR12" i="1"/>
  <c r="A179" i="7" l="1"/>
  <c r="A195" i="7"/>
  <c r="A295" i="7"/>
  <c r="A447" i="7"/>
  <c r="A186" i="7"/>
  <c r="A181" i="7"/>
  <c r="A471" i="7"/>
  <c r="A557" i="7"/>
  <c r="A540" i="7"/>
  <c r="A618" i="7"/>
  <c r="A604" i="7"/>
  <c r="A714" i="7"/>
  <c r="A415" i="7"/>
  <c r="A463" i="7"/>
  <c r="A718" i="7"/>
  <c r="A80" i="7"/>
  <c r="A514" i="7"/>
  <c r="A506" i="7"/>
  <c r="A440" i="7"/>
  <c r="A443" i="7"/>
  <c r="A722" i="7"/>
  <c r="A170" i="7"/>
  <c r="A199" i="7"/>
  <c r="A429" i="7"/>
  <c r="A466" i="7"/>
  <c r="A548" i="7"/>
  <c r="A193" i="7"/>
  <c r="A376" i="7"/>
  <c r="A69" i="7"/>
  <c r="A358" i="7"/>
  <c r="A524" i="7"/>
  <c r="A710" i="7"/>
  <c r="A180" i="7"/>
  <c r="A182" i="7"/>
  <c r="A197" i="7"/>
  <c r="A435" i="7"/>
  <c r="A626" i="7"/>
  <c r="A603" i="7"/>
  <c r="A751" i="7"/>
  <c r="A404" i="7"/>
  <c r="A553" i="7"/>
  <c r="A421" i="7"/>
  <c r="A703" i="7"/>
  <c r="A697" i="7"/>
  <c r="A687" i="7"/>
  <c r="A686" i="7"/>
  <c r="A688" i="7"/>
  <c r="A693" i="7"/>
  <c r="A640" i="7"/>
  <c r="A672" i="7"/>
  <c r="A220" i="7"/>
  <c r="A210" i="7"/>
  <c r="A206" i="7"/>
  <c r="A218" i="7"/>
  <c r="A261" i="7"/>
  <c r="A296" i="7"/>
  <c r="A472" i="7"/>
  <c r="A701" i="7"/>
  <c r="A632" i="7"/>
  <c r="A682" i="7"/>
  <c r="A321" i="7"/>
  <c r="A323" i="7"/>
  <c r="A334" i="7"/>
  <c r="A344" i="7"/>
  <c r="A336" i="7"/>
  <c r="A326" i="7"/>
  <c r="A341" i="7"/>
  <c r="A333" i="7"/>
  <c r="A328" i="7"/>
  <c r="A327" i="7"/>
  <c r="A325" i="7"/>
  <c r="A337" i="7"/>
  <c r="A339" i="7"/>
  <c r="A479" i="7"/>
  <c r="A533" i="7"/>
  <c r="A628" i="7"/>
  <c r="A638" i="7"/>
  <c r="A650" i="7"/>
  <c r="A646" i="7"/>
  <c r="A654" i="7"/>
  <c r="A647" i="7"/>
  <c r="A633" i="7"/>
  <c r="A653" i="7"/>
  <c r="A634" i="7"/>
  <c r="A637" i="7"/>
  <c r="A643" i="7"/>
  <c r="A645" i="7"/>
  <c r="A651" i="7"/>
  <c r="A649" i="7"/>
  <c r="A698" i="7"/>
  <c r="A212" i="7"/>
  <c r="A289" i="7"/>
  <c r="A177" i="7"/>
  <c r="A209" i="7"/>
  <c r="A265" i="7"/>
  <c r="A276" i="7"/>
  <c r="A342" i="7"/>
  <c r="A392" i="7"/>
  <c r="A402" i="7"/>
  <c r="A490" i="7"/>
  <c r="A434" i="7"/>
  <c r="A501" i="7"/>
  <c r="A537" i="7"/>
  <c r="A505" i="7"/>
  <c r="A602" i="7"/>
  <c r="A204" i="7"/>
  <c r="A283" i="7"/>
  <c r="A678" i="7"/>
  <c r="A667" i="7"/>
  <c r="A679" i="7"/>
  <c r="A670" i="7"/>
  <c r="A663" i="7"/>
  <c r="A661" i="7"/>
  <c r="A669" i="7"/>
  <c r="A677" i="7"/>
  <c r="A673" i="7"/>
  <c r="A665" i="7"/>
  <c r="A662" i="7"/>
  <c r="A666" i="7"/>
  <c r="A573" i="7"/>
  <c r="A570" i="7"/>
  <c r="A562" i="7"/>
  <c r="A580" i="7"/>
  <c r="A584" i="7"/>
  <c r="A576" i="7"/>
  <c r="A582" i="7"/>
  <c r="A575" i="7"/>
  <c r="A578" i="7"/>
  <c r="A569" i="7"/>
  <c r="A577" i="7"/>
  <c r="A581" i="7"/>
  <c r="A574" i="7"/>
  <c r="A568" i="7"/>
  <c r="A655" i="7"/>
  <c r="A733" i="7"/>
  <c r="A735" i="7"/>
  <c r="A731" i="7"/>
  <c r="A729" i="7"/>
  <c r="A742" i="7"/>
  <c r="A737" i="7"/>
  <c r="A743" i="7"/>
  <c r="A734" i="7"/>
  <c r="A732" i="7"/>
  <c r="A741" i="7"/>
  <c r="A749" i="7"/>
  <c r="A739" i="7"/>
  <c r="A745" i="7"/>
  <c r="A750" i="7"/>
  <c r="A281" i="7"/>
  <c r="A215" i="7"/>
  <c r="A567" i="7"/>
  <c r="A561" i="7"/>
  <c r="A657" i="7"/>
  <c r="A639" i="7"/>
  <c r="A683" i="7"/>
  <c r="A194" i="7"/>
  <c r="A178" i="7"/>
  <c r="A445" i="7"/>
  <c r="A453" i="7"/>
  <c r="A446" i="7"/>
  <c r="A441" i="7"/>
  <c r="A462" i="7"/>
  <c r="A454" i="7"/>
  <c r="A457" i="7"/>
  <c r="A449" i="7"/>
  <c r="A461" i="7"/>
  <c r="A475" i="7"/>
  <c r="A523" i="7"/>
  <c r="A352" i="7"/>
  <c r="A583" i="7"/>
  <c r="A747" i="7"/>
  <c r="A188" i="7"/>
  <c r="A269" i="7"/>
  <c r="A254" i="7"/>
  <c r="A267" i="7"/>
  <c r="A260" i="7"/>
  <c r="A251" i="7"/>
  <c r="A257" i="7"/>
  <c r="A266" i="7"/>
  <c r="A250" i="7"/>
  <c r="A256" i="7"/>
  <c r="A255" i="7"/>
  <c r="A271" i="7"/>
  <c r="A262" i="7"/>
  <c r="A258" i="7"/>
  <c r="A264" i="7"/>
  <c r="A263" i="7"/>
  <c r="A351" i="7"/>
  <c r="A689" i="7"/>
  <c r="A213" i="7"/>
  <c r="A494" i="7"/>
  <c r="A564" i="7"/>
  <c r="A203" i="7"/>
  <c r="A512" i="7"/>
  <c r="A492" i="7"/>
  <c r="A497" i="7"/>
  <c r="A509" i="7"/>
  <c r="A498" i="7"/>
  <c r="A489" i="7"/>
  <c r="A500" i="7"/>
  <c r="A499" i="7"/>
  <c r="A511" i="7"/>
  <c r="A658" i="7"/>
  <c r="A700" i="7"/>
  <c r="A214" i="7"/>
  <c r="A253" i="7"/>
  <c r="A659" i="7"/>
  <c r="A671" i="7"/>
  <c r="A681" i="7"/>
  <c r="A648" i="7"/>
  <c r="A680" i="7"/>
  <c r="A740" i="7"/>
  <c r="A155" i="7"/>
  <c r="A161" i="7"/>
  <c r="A154" i="7"/>
  <c r="A158" i="7"/>
  <c r="A153" i="7"/>
  <c r="A172" i="7"/>
  <c r="A159" i="7"/>
  <c r="A332" i="7"/>
  <c r="A335" i="7"/>
  <c r="A343" i="7"/>
  <c r="A468" i="7"/>
  <c r="A470" i="7"/>
  <c r="A473" i="7"/>
  <c r="A477" i="7"/>
  <c r="A484" i="7"/>
  <c r="A485" i="7"/>
  <c r="A486" i="7"/>
  <c r="A478" i="7"/>
  <c r="A469" i="7"/>
  <c r="A481" i="7"/>
  <c r="A465" i="7"/>
  <c r="A544" i="7"/>
  <c r="A560" i="7"/>
  <c r="A546" i="7"/>
  <c r="A554" i="7"/>
  <c r="A552" i="7"/>
  <c r="A559" i="7"/>
  <c r="A538" i="7"/>
  <c r="A585" i="7"/>
  <c r="A587" i="7"/>
  <c r="A586" i="7"/>
  <c r="A608" i="7"/>
  <c r="A696" i="7"/>
  <c r="A160" i="7"/>
  <c r="A202" i="7"/>
  <c r="A196" i="7"/>
  <c r="A174" i="7"/>
  <c r="A169" i="7"/>
  <c r="A185" i="7"/>
  <c r="A201" i="7"/>
  <c r="A217" i="7"/>
  <c r="A268" i="7"/>
  <c r="A374" i="7"/>
  <c r="A330" i="7"/>
  <c r="A426" i="7"/>
  <c r="A433" i="7"/>
  <c r="A420" i="7"/>
  <c r="A436" i="7"/>
  <c r="A427" i="7"/>
  <c r="A437" i="7"/>
  <c r="A425" i="7"/>
  <c r="A418" i="7"/>
  <c r="A438" i="7"/>
  <c r="A419" i="7"/>
  <c r="A417" i="7"/>
  <c r="A428" i="7"/>
  <c r="A423" i="7"/>
  <c r="A451" i="7"/>
  <c r="A450" i="7"/>
  <c r="A482" i="7"/>
  <c r="A496" i="7"/>
  <c r="A590" i="7"/>
  <c r="A606" i="7"/>
  <c r="A252" i="7"/>
  <c r="A162" i="7"/>
  <c r="A279" i="7"/>
  <c r="A274" i="7"/>
  <c r="A293" i="7"/>
  <c r="A294" i="7"/>
  <c r="A290" i="7"/>
  <c r="A285" i="7"/>
  <c r="A287" i="7"/>
  <c r="A275" i="7"/>
  <c r="A277" i="7"/>
  <c r="A280" i="7"/>
  <c r="A286" i="7"/>
  <c r="A273" i="7"/>
  <c r="A291" i="7"/>
  <c r="A503" i="7"/>
  <c r="A692" i="7"/>
  <c r="A278" i="7"/>
  <c r="A535" i="7"/>
  <c r="A219" i="7"/>
  <c r="A371" i="7"/>
  <c r="A383" i="7"/>
  <c r="A389" i="7"/>
  <c r="A373" i="7"/>
  <c r="A390" i="7"/>
  <c r="A372" i="7"/>
  <c r="A388" i="7"/>
  <c r="A370" i="7"/>
  <c r="A379" i="7"/>
  <c r="A385" i="7"/>
  <c r="A386" i="7"/>
  <c r="A369" i="7"/>
  <c r="A391" i="7"/>
  <c r="A375" i="7"/>
  <c r="A381" i="7"/>
  <c r="A387" i="7"/>
  <c r="A377" i="7"/>
  <c r="A487" i="7"/>
  <c r="A617" i="7"/>
  <c r="A619" i="7"/>
  <c r="A611" i="7"/>
  <c r="A623" i="7"/>
  <c r="A627" i="7"/>
  <c r="A631" i="7"/>
  <c r="A609" i="7"/>
  <c r="A612" i="7"/>
  <c r="A629" i="7"/>
  <c r="A610" i="7"/>
  <c r="A625" i="7"/>
  <c r="A621" i="7"/>
  <c r="A615" i="7"/>
  <c r="A282" i="7"/>
  <c r="A288" i="7"/>
  <c r="A322" i="7"/>
  <c r="A483" i="7"/>
  <c r="A75" i="7"/>
  <c r="A59" i="7"/>
  <c r="A74" i="7"/>
  <c r="A78" i="7"/>
  <c r="A60" i="7"/>
  <c r="A65" i="7"/>
  <c r="A71" i="7"/>
  <c r="A77" i="7"/>
  <c r="A61" i="7"/>
  <c r="A67" i="7"/>
  <c r="A64" i="7"/>
  <c r="A70" i="7"/>
  <c r="A73" i="7"/>
  <c r="A57" i="7"/>
  <c r="A79" i="7"/>
  <c r="A63" i="7"/>
  <c r="A329" i="7"/>
  <c r="A345" i="7"/>
  <c r="A349" i="7"/>
  <c r="A363" i="7"/>
  <c r="A367" i="7"/>
  <c r="A353" i="7"/>
  <c r="A357" i="7"/>
  <c r="A361" i="7"/>
  <c r="A365" i="7"/>
  <c r="A348" i="7"/>
  <c r="A356" i="7"/>
  <c r="A350" i="7"/>
  <c r="A360" i="7"/>
  <c r="A347" i="7"/>
  <c r="A355" i="7"/>
  <c r="A525" i="7"/>
  <c r="A513" i="7"/>
  <c r="A517" i="7"/>
  <c r="A515" i="7"/>
  <c r="A531" i="7"/>
  <c r="A527" i="7"/>
  <c r="A529" i="7"/>
  <c r="A528" i="7"/>
  <c r="A520" i="7"/>
  <c r="A530" i="7"/>
  <c r="A536" i="7"/>
  <c r="A635" i="7"/>
  <c r="A690" i="7"/>
  <c r="A695" i="7"/>
  <c r="A723" i="7"/>
  <c r="A709" i="7"/>
  <c r="A721" i="7"/>
  <c r="A726" i="7"/>
  <c r="A724" i="7"/>
  <c r="A707" i="7"/>
  <c r="A725" i="7"/>
  <c r="A713" i="7"/>
  <c r="A719" i="7"/>
  <c r="A711" i="7"/>
  <c r="A716" i="7"/>
  <c r="A708" i="7"/>
  <c r="A715" i="7"/>
  <c r="A720" i="7"/>
  <c r="A712" i="7"/>
  <c r="A717" i="7"/>
  <c r="A727" i="7"/>
  <c r="A705" i="7"/>
  <c r="A691" i="7"/>
  <c r="A699" i="7"/>
  <c r="A173" i="7"/>
  <c r="A189" i="7"/>
  <c r="A205" i="7"/>
  <c r="A221" i="7"/>
  <c r="A270" i="7"/>
  <c r="A459" i="7"/>
  <c r="A458" i="7"/>
  <c r="A488" i="7"/>
  <c r="A519" i="7"/>
  <c r="A541" i="7"/>
  <c r="A508" i="7"/>
  <c r="A532" i="7"/>
  <c r="A556" i="7"/>
  <c r="A614" i="7"/>
  <c r="A622" i="7"/>
  <c r="A630" i="7"/>
  <c r="A702" i="7"/>
  <c r="A694" i="7"/>
  <c r="A175" i="7"/>
  <c r="A191" i="7"/>
  <c r="A207" i="7"/>
  <c r="A223" i="7"/>
  <c r="A393" i="7"/>
  <c r="A397" i="7"/>
  <c r="A401" i="7"/>
  <c r="A405" i="7"/>
  <c r="A395" i="7"/>
  <c r="A399" i="7"/>
  <c r="A403" i="7"/>
  <c r="A407" i="7"/>
  <c r="A408" i="7"/>
  <c r="A409" i="7"/>
  <c r="A406" i="7"/>
  <c r="A412" i="7"/>
  <c r="A411" i="7"/>
  <c r="A410" i="7"/>
  <c r="A565" i="7"/>
  <c r="A521" i="7"/>
  <c r="A704" i="7"/>
  <c r="A675" i="7"/>
  <c r="A748" i="7"/>
  <c r="A324" i="7"/>
  <c r="A431" i="7"/>
  <c r="A340" i="7"/>
  <c r="A543" i="7"/>
  <c r="A572" i="7"/>
  <c r="A594" i="7"/>
  <c r="A601" i="7"/>
  <c r="A641" i="7"/>
  <c r="A157" i="7"/>
  <c r="A259" i="7"/>
  <c r="A588" i="7"/>
  <c r="A607" i="7"/>
  <c r="A605" i="7"/>
  <c r="A595" i="7"/>
  <c r="A600" i="7"/>
  <c r="A599" i="7"/>
  <c r="A591" i="7"/>
  <c r="A598" i="7"/>
  <c r="A432" i="7"/>
  <c r="O432" i="7"/>
  <c r="A518" i="7"/>
  <c r="O518" i="7"/>
  <c r="B204" i="7"/>
  <c r="C203" i="7"/>
  <c r="A416" i="7"/>
  <c r="O416" i="7"/>
  <c r="A558" i="7"/>
  <c r="O558" i="7"/>
  <c r="A644" i="7"/>
  <c r="O644" i="7"/>
  <c r="A652" i="7"/>
  <c r="O652" i="7"/>
  <c r="C156" i="7"/>
  <c r="B157" i="7"/>
  <c r="C84" i="7"/>
  <c r="B85" i="7"/>
  <c r="O216" i="7"/>
  <c r="A216" i="7"/>
  <c r="B300" i="7"/>
  <c r="C299" i="7"/>
  <c r="A422" i="7"/>
  <c r="O422" i="7"/>
  <c r="O190" i="7"/>
  <c r="A190" i="7"/>
  <c r="O346" i="7"/>
  <c r="A346" i="7"/>
  <c r="A510" i="7"/>
  <c r="O510" i="7"/>
  <c r="C659" i="7"/>
  <c r="B660" i="7"/>
  <c r="A550" i="7"/>
  <c r="O550" i="7"/>
  <c r="O380" i="7"/>
  <c r="A380" i="7"/>
  <c r="A504" i="7"/>
  <c r="O504" i="7"/>
  <c r="B14" i="7"/>
  <c r="C13" i="7"/>
  <c r="O284" i="7"/>
  <c r="A284" i="7"/>
  <c r="A534" i="7"/>
  <c r="O534" i="7"/>
  <c r="C611" i="7"/>
  <c r="B612" i="7"/>
  <c r="A684" i="7"/>
  <c r="O684" i="7"/>
  <c r="A642" i="7"/>
  <c r="O642" i="7"/>
  <c r="A736" i="7"/>
  <c r="O736" i="7"/>
  <c r="C731" i="7"/>
  <c r="B732" i="7"/>
  <c r="O208" i="7"/>
  <c r="A208" i="7"/>
  <c r="B228" i="7"/>
  <c r="C227" i="7"/>
  <c r="A414" i="7"/>
  <c r="O414" i="7"/>
  <c r="O507" i="7"/>
  <c r="A507" i="7"/>
  <c r="A526" i="7"/>
  <c r="O526" i="7"/>
  <c r="C132" i="7"/>
  <c r="B133" i="7"/>
  <c r="A331" i="7"/>
  <c r="O331" i="7"/>
  <c r="O354" i="7"/>
  <c r="A354" i="7"/>
  <c r="B396" i="7"/>
  <c r="C395" i="7"/>
  <c r="A448" i="7"/>
  <c r="O448" i="7"/>
  <c r="A495" i="7"/>
  <c r="O495" i="7"/>
  <c r="A636" i="7"/>
  <c r="O636" i="7"/>
  <c r="O168" i="7"/>
  <c r="A168" i="7"/>
  <c r="B180" i="7"/>
  <c r="C179" i="7"/>
  <c r="C275" i="7"/>
  <c r="B276" i="7"/>
  <c r="A589" i="7"/>
  <c r="O589" i="7"/>
  <c r="C515" i="7"/>
  <c r="B516" i="7"/>
  <c r="C539" i="7"/>
  <c r="B540" i="7"/>
  <c r="C563" i="7"/>
  <c r="B564" i="7"/>
  <c r="O62" i="7"/>
  <c r="A62" i="7"/>
  <c r="C443" i="7"/>
  <c r="B444" i="7"/>
  <c r="A668" i="7"/>
  <c r="O668" i="7"/>
  <c r="A424" i="7"/>
  <c r="O424" i="7"/>
  <c r="B588" i="7"/>
  <c r="C587" i="7"/>
  <c r="O166" i="7"/>
  <c r="A166" i="7"/>
  <c r="O338" i="7"/>
  <c r="A338" i="7"/>
  <c r="O222" i="7"/>
  <c r="A222" i="7"/>
  <c r="O368" i="7"/>
  <c r="A368" i="7"/>
  <c r="A502" i="7"/>
  <c r="O502" i="7"/>
  <c r="A272" i="7"/>
  <c r="O272" i="7"/>
  <c r="O292" i="7"/>
  <c r="A292" i="7"/>
  <c r="O400" i="7"/>
  <c r="A400" i="7"/>
  <c r="A480" i="7"/>
  <c r="O480" i="7"/>
  <c r="A660" i="7"/>
  <c r="O660" i="7"/>
  <c r="A674" i="7"/>
  <c r="O674" i="7"/>
  <c r="A744" i="7"/>
  <c r="O744" i="7"/>
  <c r="A738" i="7"/>
  <c r="O738" i="7"/>
  <c r="B38" i="7"/>
  <c r="C37" i="7"/>
  <c r="C60" i="7"/>
  <c r="B61" i="7"/>
  <c r="C108" i="7"/>
  <c r="B109" i="7"/>
  <c r="O224" i="7"/>
  <c r="A224" i="7"/>
  <c r="C326" i="7"/>
  <c r="B327" i="7"/>
  <c r="A476" i="7"/>
  <c r="O476" i="7"/>
  <c r="A566" i="7"/>
  <c r="O566" i="7"/>
  <c r="A730" i="7"/>
  <c r="O730" i="7"/>
  <c r="O66" i="7"/>
  <c r="A66" i="7"/>
  <c r="B253" i="7"/>
  <c r="C252" i="7"/>
  <c r="O366" i="7"/>
  <c r="A366" i="7"/>
  <c r="O384" i="7"/>
  <c r="A384" i="7"/>
  <c r="B348" i="7"/>
  <c r="C347" i="7"/>
  <c r="A522" i="7"/>
  <c r="O522" i="7"/>
  <c r="O184" i="7"/>
  <c r="A184" i="7"/>
  <c r="A460" i="7"/>
  <c r="O460" i="7"/>
  <c r="A676" i="7"/>
  <c r="O676" i="7"/>
  <c r="C635" i="7"/>
  <c r="B636" i="7"/>
  <c r="A728" i="7"/>
  <c r="O728" i="7"/>
  <c r="O192" i="7"/>
  <c r="A192" i="7"/>
  <c r="O76" i="7"/>
  <c r="A76" i="7"/>
  <c r="O394" i="7"/>
  <c r="A394" i="7"/>
  <c r="A464" i="7"/>
  <c r="O464" i="7"/>
  <c r="C683" i="7"/>
  <c r="B684" i="7"/>
  <c r="O72" i="7"/>
  <c r="A72" i="7"/>
  <c r="O382" i="7"/>
  <c r="A382" i="7"/>
  <c r="O378" i="7"/>
  <c r="A378" i="7"/>
  <c r="A456" i="7"/>
  <c r="O456" i="7"/>
  <c r="C467" i="7"/>
  <c r="B468" i="7"/>
  <c r="C492" i="7"/>
  <c r="B493" i="7"/>
  <c r="A493" i="7"/>
  <c r="O493" i="7"/>
  <c r="A613" i="7"/>
  <c r="O613" i="7"/>
  <c r="A685" i="7"/>
  <c r="O685" i="7"/>
  <c r="C709" i="7"/>
  <c r="B710" i="7"/>
  <c r="A752" i="7"/>
  <c r="O752" i="7"/>
  <c r="O176" i="7"/>
  <c r="A176" i="7"/>
  <c r="C421" i="7"/>
  <c r="B422" i="7"/>
  <c r="A452" i="7"/>
  <c r="O452" i="7"/>
  <c r="A746" i="7"/>
  <c r="O746" i="7"/>
  <c r="O68" i="7"/>
  <c r="A68" i="7"/>
  <c r="O164" i="7"/>
  <c r="A164" i="7"/>
  <c r="O398" i="7"/>
  <c r="A398" i="7"/>
  <c r="O362" i="7"/>
  <c r="A362" i="7"/>
  <c r="O364" i="7"/>
  <c r="A364" i="7"/>
  <c r="O396" i="7"/>
  <c r="A396" i="7"/>
  <c r="A474" i="7"/>
  <c r="O474" i="7"/>
  <c r="A542" i="7"/>
  <c r="O542" i="7"/>
  <c r="A597" i="7"/>
  <c r="O597" i="7"/>
  <c r="O200" i="7"/>
  <c r="A200" i="7"/>
  <c r="A430" i="7"/>
  <c r="O430" i="7"/>
  <c r="B372" i="7"/>
  <c r="C371" i="7"/>
  <c r="A444" i="7"/>
  <c r="O444" i="7"/>
  <c r="C372" i="7" l="1"/>
  <c r="B373" i="7"/>
  <c r="B711" i="7"/>
  <c r="C710" i="7"/>
  <c r="B494" i="7"/>
  <c r="C493" i="7"/>
  <c r="C684" i="7"/>
  <c r="B685" i="7"/>
  <c r="B637" i="7"/>
  <c r="C636" i="7"/>
  <c r="B62" i="7"/>
  <c r="C61" i="7"/>
  <c r="C444" i="7"/>
  <c r="B445" i="7"/>
  <c r="B565" i="7"/>
  <c r="C564" i="7"/>
  <c r="B517" i="7"/>
  <c r="C516" i="7"/>
  <c r="C276" i="7"/>
  <c r="B277" i="7"/>
  <c r="B661" i="7"/>
  <c r="C660" i="7"/>
  <c r="B158" i="7"/>
  <c r="C157" i="7"/>
  <c r="C14" i="7"/>
  <c r="B15" i="7"/>
  <c r="B254" i="7"/>
  <c r="C253" i="7"/>
  <c r="C396" i="7"/>
  <c r="B397" i="7"/>
  <c r="B423" i="7"/>
  <c r="C422" i="7"/>
  <c r="C468" i="7"/>
  <c r="B469" i="7"/>
  <c r="B328" i="7"/>
  <c r="C327" i="7"/>
  <c r="B110" i="7"/>
  <c r="C109" i="7"/>
  <c r="B541" i="7"/>
  <c r="C540" i="7"/>
  <c r="B134" i="7"/>
  <c r="C133" i="7"/>
  <c r="B733" i="7"/>
  <c r="C732" i="7"/>
  <c r="C612" i="7"/>
  <c r="B613" i="7"/>
  <c r="B86" i="7"/>
  <c r="C85" i="7"/>
  <c r="B349" i="7"/>
  <c r="C348" i="7"/>
  <c r="C38" i="7"/>
  <c r="B39" i="7"/>
  <c r="C588" i="7"/>
  <c r="B589" i="7"/>
  <c r="C180" i="7"/>
  <c r="B181" i="7"/>
  <c r="C228" i="7"/>
  <c r="B229" i="7"/>
  <c r="B301" i="7"/>
  <c r="C300" i="7"/>
  <c r="C204" i="7"/>
  <c r="B205" i="7"/>
  <c r="B182" i="7" l="1"/>
  <c r="C181" i="7"/>
  <c r="B40" i="7"/>
  <c r="C39" i="7"/>
  <c r="C277" i="7"/>
  <c r="B278" i="7"/>
  <c r="C685" i="7"/>
  <c r="B686" i="7"/>
  <c r="B302" i="7"/>
  <c r="C301" i="7"/>
  <c r="C86" i="7"/>
  <c r="B87" i="7"/>
  <c r="C733" i="7"/>
  <c r="B734" i="7"/>
  <c r="C541" i="7"/>
  <c r="B542" i="7"/>
  <c r="C328" i="7"/>
  <c r="B329" i="7"/>
  <c r="C423" i="7"/>
  <c r="B424" i="7"/>
  <c r="B255" i="7"/>
  <c r="C254" i="7"/>
  <c r="C158" i="7"/>
  <c r="B159" i="7"/>
  <c r="C565" i="7"/>
  <c r="B566" i="7"/>
  <c r="C62" i="7"/>
  <c r="B63" i="7"/>
  <c r="C711" i="7"/>
  <c r="B712" i="7"/>
  <c r="B350" i="7"/>
  <c r="C349" i="7"/>
  <c r="B206" i="7"/>
  <c r="C205" i="7"/>
  <c r="B230" i="7"/>
  <c r="C229" i="7"/>
  <c r="B590" i="7"/>
  <c r="C589" i="7"/>
  <c r="B614" i="7"/>
  <c r="C613" i="7"/>
  <c r="C469" i="7"/>
  <c r="B470" i="7"/>
  <c r="B398" i="7"/>
  <c r="C397" i="7"/>
  <c r="B16" i="7"/>
  <c r="C15" i="7"/>
  <c r="C445" i="7"/>
  <c r="B446" i="7"/>
  <c r="B374" i="7"/>
  <c r="C373" i="7"/>
  <c r="C134" i="7"/>
  <c r="B135" i="7"/>
  <c r="C110" i="7"/>
  <c r="B111" i="7"/>
  <c r="C661" i="7"/>
  <c r="B662" i="7"/>
  <c r="C517" i="7"/>
  <c r="B518" i="7"/>
  <c r="C637" i="7"/>
  <c r="B638" i="7"/>
  <c r="B495" i="7"/>
  <c r="C494" i="7"/>
  <c r="C638" i="7" l="1"/>
  <c r="B639" i="7"/>
  <c r="B160" i="7"/>
  <c r="C159" i="7"/>
  <c r="C424" i="7"/>
  <c r="B425" i="7"/>
  <c r="B543" i="7"/>
  <c r="C542" i="7"/>
  <c r="C398" i="7"/>
  <c r="B399" i="7"/>
  <c r="C614" i="7"/>
  <c r="B615" i="7"/>
  <c r="B231" i="7"/>
  <c r="C230" i="7"/>
  <c r="B351" i="7"/>
  <c r="C350" i="7"/>
  <c r="B41" i="7"/>
  <c r="C40" i="7"/>
  <c r="C662" i="7"/>
  <c r="B663" i="7"/>
  <c r="B447" i="7"/>
  <c r="C446" i="7"/>
  <c r="B88" i="7"/>
  <c r="C87" i="7"/>
  <c r="C278" i="7"/>
  <c r="B279" i="7"/>
  <c r="B136" i="7"/>
  <c r="C135" i="7"/>
  <c r="B64" i="7"/>
  <c r="C63" i="7"/>
  <c r="C686" i="7"/>
  <c r="B687" i="7"/>
  <c r="B519" i="7"/>
  <c r="C518" i="7"/>
  <c r="B112" i="7"/>
  <c r="C111" i="7"/>
  <c r="B471" i="7"/>
  <c r="C470" i="7"/>
  <c r="B713" i="7"/>
  <c r="C712" i="7"/>
  <c r="B567" i="7"/>
  <c r="C566" i="7"/>
  <c r="B330" i="7"/>
  <c r="C329" i="7"/>
  <c r="B735" i="7"/>
  <c r="C734" i="7"/>
  <c r="C495" i="7"/>
  <c r="B496" i="7"/>
  <c r="C374" i="7"/>
  <c r="B375" i="7"/>
  <c r="B17" i="7"/>
  <c r="C16" i="7"/>
  <c r="C590" i="7"/>
  <c r="B591" i="7"/>
  <c r="C206" i="7"/>
  <c r="B207" i="7"/>
  <c r="B256" i="7"/>
  <c r="C255" i="7"/>
  <c r="B303" i="7"/>
  <c r="C302" i="7"/>
  <c r="C182" i="7"/>
  <c r="B183" i="7"/>
  <c r="C713" i="7" l="1"/>
  <c r="B714" i="7"/>
  <c r="C136" i="7"/>
  <c r="B137" i="7"/>
  <c r="B208" i="7"/>
  <c r="C207" i="7"/>
  <c r="C496" i="7"/>
  <c r="B497" i="7"/>
  <c r="C687" i="7"/>
  <c r="B688" i="7"/>
  <c r="C663" i="7"/>
  <c r="B664" i="7"/>
  <c r="C615" i="7"/>
  <c r="B616" i="7"/>
  <c r="B304" i="7"/>
  <c r="C303" i="7"/>
  <c r="B18" i="7"/>
  <c r="C17" i="7"/>
  <c r="C88" i="7"/>
  <c r="B89" i="7"/>
  <c r="B352" i="7"/>
  <c r="C351" i="7"/>
  <c r="C543" i="7"/>
  <c r="B544" i="7"/>
  <c r="B184" i="7"/>
  <c r="C183" i="7"/>
  <c r="C591" i="7"/>
  <c r="B592" i="7"/>
  <c r="B376" i="7"/>
  <c r="C375" i="7"/>
  <c r="C279" i="7"/>
  <c r="B280" i="7"/>
  <c r="B400" i="7"/>
  <c r="C399" i="7"/>
  <c r="C425" i="7"/>
  <c r="B426" i="7"/>
  <c r="C639" i="7"/>
  <c r="B640" i="7"/>
  <c r="B331" i="7"/>
  <c r="C330" i="7"/>
  <c r="C112" i="7"/>
  <c r="B113" i="7"/>
  <c r="C160" i="7"/>
  <c r="B161" i="7"/>
  <c r="B257" i="7"/>
  <c r="C256" i="7"/>
  <c r="C735" i="7"/>
  <c r="B736" i="7"/>
  <c r="C567" i="7"/>
  <c r="B568" i="7"/>
  <c r="C471" i="7"/>
  <c r="B472" i="7"/>
  <c r="C519" i="7"/>
  <c r="B520" i="7"/>
  <c r="C64" i="7"/>
  <c r="B65" i="7"/>
  <c r="C447" i="7"/>
  <c r="B448" i="7"/>
  <c r="B42" i="7"/>
  <c r="C41" i="7"/>
  <c r="B232" i="7"/>
  <c r="C231" i="7"/>
  <c r="B66" i="7" l="1"/>
  <c r="C65" i="7"/>
  <c r="C472" i="7"/>
  <c r="B473" i="7"/>
  <c r="B737" i="7"/>
  <c r="C736" i="7"/>
  <c r="B162" i="7"/>
  <c r="C161" i="7"/>
  <c r="C426" i="7"/>
  <c r="B427" i="7"/>
  <c r="B281" i="7"/>
  <c r="C280" i="7"/>
  <c r="C592" i="7"/>
  <c r="B593" i="7"/>
  <c r="B545" i="7"/>
  <c r="C544" i="7"/>
  <c r="B90" i="7"/>
  <c r="C89" i="7"/>
  <c r="C664" i="7"/>
  <c r="B665" i="7"/>
  <c r="C497" i="7"/>
  <c r="B498" i="7"/>
  <c r="B138" i="7"/>
  <c r="C137" i="7"/>
  <c r="C42" i="7"/>
  <c r="B43" i="7"/>
  <c r="B332" i="7"/>
  <c r="C331" i="7"/>
  <c r="B305" i="7"/>
  <c r="C304" i="7"/>
  <c r="C448" i="7"/>
  <c r="B449" i="7"/>
  <c r="B521" i="7"/>
  <c r="C520" i="7"/>
  <c r="B569" i="7"/>
  <c r="C568" i="7"/>
  <c r="B114" i="7"/>
  <c r="C113" i="7"/>
  <c r="C640" i="7"/>
  <c r="B641" i="7"/>
  <c r="C616" i="7"/>
  <c r="B617" i="7"/>
  <c r="C688" i="7"/>
  <c r="B689" i="7"/>
  <c r="B715" i="7"/>
  <c r="C714" i="7"/>
  <c r="B233" i="7"/>
  <c r="C232" i="7"/>
  <c r="B258" i="7"/>
  <c r="C257" i="7"/>
  <c r="C400" i="7"/>
  <c r="B401" i="7"/>
  <c r="C376" i="7"/>
  <c r="B377" i="7"/>
  <c r="C184" i="7"/>
  <c r="B185" i="7"/>
  <c r="B353" i="7"/>
  <c r="C352" i="7"/>
  <c r="C18" i="7"/>
  <c r="B19" i="7"/>
  <c r="C208" i="7"/>
  <c r="B209" i="7"/>
  <c r="B20" i="7" l="1"/>
  <c r="C19" i="7"/>
  <c r="B186" i="7"/>
  <c r="C185" i="7"/>
  <c r="B402" i="7"/>
  <c r="C401" i="7"/>
  <c r="B690" i="7"/>
  <c r="C689" i="7"/>
  <c r="C641" i="7"/>
  <c r="B642" i="7"/>
  <c r="C449" i="7"/>
  <c r="B450" i="7"/>
  <c r="C665" i="7"/>
  <c r="B666" i="7"/>
  <c r="C473" i="7"/>
  <c r="B474" i="7"/>
  <c r="B234" i="7"/>
  <c r="C233" i="7"/>
  <c r="C569" i="7"/>
  <c r="B570" i="7"/>
  <c r="C332" i="7"/>
  <c r="B333" i="7"/>
  <c r="C138" i="7"/>
  <c r="B139" i="7"/>
  <c r="C545" i="7"/>
  <c r="B546" i="7"/>
  <c r="B282" i="7"/>
  <c r="C281" i="7"/>
  <c r="B163" i="7"/>
  <c r="C162" i="7"/>
  <c r="B210" i="7"/>
  <c r="C209" i="7"/>
  <c r="B378" i="7"/>
  <c r="C377" i="7"/>
  <c r="B618" i="7"/>
  <c r="C617" i="7"/>
  <c r="B44" i="7"/>
  <c r="C43" i="7"/>
  <c r="C498" i="7"/>
  <c r="B499" i="7"/>
  <c r="C593" i="7"/>
  <c r="B594" i="7"/>
  <c r="C427" i="7"/>
  <c r="B428" i="7"/>
  <c r="B354" i="7"/>
  <c r="C353" i="7"/>
  <c r="B259" i="7"/>
  <c r="C258" i="7"/>
  <c r="C715" i="7"/>
  <c r="B716" i="7"/>
  <c r="C114" i="7"/>
  <c r="B115" i="7"/>
  <c r="C521" i="7"/>
  <c r="B522" i="7"/>
  <c r="B306" i="7"/>
  <c r="C305" i="7"/>
  <c r="C90" i="7"/>
  <c r="B91" i="7"/>
  <c r="C737" i="7"/>
  <c r="B738" i="7"/>
  <c r="C66" i="7"/>
  <c r="B67" i="7"/>
  <c r="B116" i="7" l="1"/>
  <c r="C115" i="7"/>
  <c r="B429" i="7"/>
  <c r="C428" i="7"/>
  <c r="B571" i="7"/>
  <c r="C570" i="7"/>
  <c r="B451" i="7"/>
  <c r="C450" i="7"/>
  <c r="B307" i="7"/>
  <c r="C306" i="7"/>
  <c r="B260" i="7"/>
  <c r="C259" i="7"/>
  <c r="C618" i="7"/>
  <c r="B619" i="7"/>
  <c r="C210" i="7"/>
  <c r="B211" i="7"/>
  <c r="C282" i="7"/>
  <c r="B283" i="7"/>
  <c r="B691" i="7"/>
  <c r="C690" i="7"/>
  <c r="C186" i="7"/>
  <c r="B187" i="7"/>
  <c r="B739" i="7"/>
  <c r="C738" i="7"/>
  <c r="C499" i="7"/>
  <c r="B500" i="7"/>
  <c r="B140" i="7"/>
  <c r="C139" i="7"/>
  <c r="B475" i="7"/>
  <c r="C474" i="7"/>
  <c r="B68" i="7"/>
  <c r="C67" i="7"/>
  <c r="B92" i="7"/>
  <c r="C91" i="7"/>
  <c r="B523" i="7"/>
  <c r="C522" i="7"/>
  <c r="B717" i="7"/>
  <c r="C716" i="7"/>
  <c r="C594" i="7"/>
  <c r="B595" i="7"/>
  <c r="B547" i="7"/>
  <c r="C546" i="7"/>
  <c r="B334" i="7"/>
  <c r="C333" i="7"/>
  <c r="B667" i="7"/>
  <c r="C666" i="7"/>
  <c r="B643" i="7"/>
  <c r="C642" i="7"/>
  <c r="B355" i="7"/>
  <c r="C354" i="7"/>
  <c r="B45" i="7"/>
  <c r="C44" i="7"/>
  <c r="C378" i="7"/>
  <c r="B379" i="7"/>
  <c r="B164" i="7"/>
  <c r="C163" i="7"/>
  <c r="B235" i="7"/>
  <c r="C234" i="7"/>
  <c r="C402" i="7"/>
  <c r="B403" i="7"/>
  <c r="C20" i="7"/>
  <c r="B21" i="7"/>
  <c r="B596" i="7" l="1"/>
  <c r="C595" i="7"/>
  <c r="B212" i="7"/>
  <c r="C211" i="7"/>
  <c r="B236" i="7"/>
  <c r="C235" i="7"/>
  <c r="C164" i="7"/>
  <c r="B165" i="7"/>
  <c r="B46" i="7"/>
  <c r="C45" i="7"/>
  <c r="C643" i="7"/>
  <c r="B644" i="7"/>
  <c r="C334" i="7"/>
  <c r="B335" i="7"/>
  <c r="C523" i="7"/>
  <c r="B524" i="7"/>
  <c r="C68" i="7"/>
  <c r="B69" i="7"/>
  <c r="C140" i="7"/>
  <c r="B141" i="7"/>
  <c r="C739" i="7"/>
  <c r="B740" i="7"/>
  <c r="B692" i="7"/>
  <c r="C691" i="7"/>
  <c r="B261" i="7"/>
  <c r="C260" i="7"/>
  <c r="C451" i="7"/>
  <c r="B452" i="7"/>
  <c r="C429" i="7"/>
  <c r="B430" i="7"/>
  <c r="B404" i="7"/>
  <c r="C403" i="7"/>
  <c r="B22" i="7"/>
  <c r="C21" i="7"/>
  <c r="B380" i="7"/>
  <c r="C379" i="7"/>
  <c r="B501" i="7"/>
  <c r="C500" i="7"/>
  <c r="B188" i="7"/>
  <c r="C187" i="7"/>
  <c r="B284" i="7"/>
  <c r="C283" i="7"/>
  <c r="C619" i="7"/>
  <c r="B620" i="7"/>
  <c r="B356" i="7"/>
  <c r="C355" i="7"/>
  <c r="C667" i="7"/>
  <c r="B668" i="7"/>
  <c r="C547" i="7"/>
  <c r="B548" i="7"/>
  <c r="C717" i="7"/>
  <c r="B718" i="7"/>
  <c r="C92" i="7"/>
  <c r="B93" i="7"/>
  <c r="C475" i="7"/>
  <c r="B476" i="7"/>
  <c r="B308" i="7"/>
  <c r="C307" i="7"/>
  <c r="C571" i="7"/>
  <c r="B572" i="7"/>
  <c r="C116" i="7"/>
  <c r="B117" i="7"/>
  <c r="C476" i="7" l="1"/>
  <c r="B477" i="7"/>
  <c r="B669" i="7"/>
  <c r="C668" i="7"/>
  <c r="C620" i="7"/>
  <c r="B621" i="7"/>
  <c r="B525" i="7"/>
  <c r="C524" i="7"/>
  <c r="C188" i="7"/>
  <c r="B189" i="7"/>
  <c r="C380" i="7"/>
  <c r="B381" i="7"/>
  <c r="C404" i="7"/>
  <c r="B405" i="7"/>
  <c r="B693" i="7"/>
  <c r="C692" i="7"/>
  <c r="C212" i="7"/>
  <c r="B213" i="7"/>
  <c r="B719" i="7"/>
  <c r="C718" i="7"/>
  <c r="C452" i="7"/>
  <c r="B453" i="7"/>
  <c r="B142" i="7"/>
  <c r="C141" i="7"/>
  <c r="B645" i="7"/>
  <c r="C644" i="7"/>
  <c r="B166" i="7"/>
  <c r="C165" i="7"/>
  <c r="B118" i="7"/>
  <c r="C117" i="7"/>
  <c r="B94" i="7"/>
  <c r="C93" i="7"/>
  <c r="B549" i="7"/>
  <c r="C548" i="7"/>
  <c r="B431" i="7"/>
  <c r="C430" i="7"/>
  <c r="B741" i="7"/>
  <c r="C740" i="7"/>
  <c r="B70" i="7"/>
  <c r="C69" i="7"/>
  <c r="B336" i="7"/>
  <c r="C335" i="7"/>
  <c r="B573" i="7"/>
  <c r="C572" i="7"/>
  <c r="B309" i="7"/>
  <c r="C308" i="7"/>
  <c r="B357" i="7"/>
  <c r="C356" i="7"/>
  <c r="B285" i="7"/>
  <c r="C284" i="7"/>
  <c r="C501" i="7"/>
  <c r="B502" i="7"/>
  <c r="C22" i="7"/>
  <c r="B23" i="7"/>
  <c r="B262" i="7"/>
  <c r="C261" i="7"/>
  <c r="C46" i="7"/>
  <c r="B47" i="7"/>
  <c r="B237" i="7"/>
  <c r="C236" i="7"/>
  <c r="C596" i="7"/>
  <c r="B597" i="7"/>
  <c r="B310" i="7" l="1"/>
  <c r="C309" i="7"/>
  <c r="B382" i="7"/>
  <c r="C381" i="7"/>
  <c r="C741" i="7"/>
  <c r="B742" i="7"/>
  <c r="C645" i="7"/>
  <c r="B646" i="7"/>
  <c r="B503" i="7"/>
  <c r="C502" i="7"/>
  <c r="B238" i="7"/>
  <c r="C237" i="7"/>
  <c r="B263" i="7"/>
  <c r="C262" i="7"/>
  <c r="B358" i="7"/>
  <c r="C357" i="7"/>
  <c r="C573" i="7"/>
  <c r="B574" i="7"/>
  <c r="C70" i="7"/>
  <c r="B71" i="7"/>
  <c r="C431" i="7"/>
  <c r="B432" i="7"/>
  <c r="C94" i="7"/>
  <c r="B95" i="7"/>
  <c r="C166" i="7"/>
  <c r="B167" i="7"/>
  <c r="C142" i="7"/>
  <c r="B143" i="7"/>
  <c r="B720" i="7"/>
  <c r="C719" i="7"/>
  <c r="B694" i="7"/>
  <c r="C693" i="7"/>
  <c r="C525" i="7"/>
  <c r="B526" i="7"/>
  <c r="C669" i="7"/>
  <c r="B670" i="7"/>
  <c r="B286" i="7"/>
  <c r="C285" i="7"/>
  <c r="B337" i="7"/>
  <c r="C336" i="7"/>
  <c r="C549" i="7"/>
  <c r="B550" i="7"/>
  <c r="B598" i="7"/>
  <c r="C597" i="7"/>
  <c r="C47" i="7"/>
  <c r="B48" i="7"/>
  <c r="B24" i="7"/>
  <c r="C23" i="7"/>
  <c r="C453" i="7"/>
  <c r="B454" i="7"/>
  <c r="B214" i="7"/>
  <c r="C213" i="7"/>
  <c r="B406" i="7"/>
  <c r="C405" i="7"/>
  <c r="B190" i="7"/>
  <c r="C189" i="7"/>
  <c r="B622" i="7"/>
  <c r="C621" i="7"/>
  <c r="C477" i="7"/>
  <c r="B478" i="7"/>
  <c r="C118" i="7"/>
  <c r="B119" i="7"/>
  <c r="B479" i="7" l="1"/>
  <c r="C478" i="7"/>
  <c r="C670" i="7"/>
  <c r="B671" i="7"/>
  <c r="B144" i="7"/>
  <c r="C143" i="7"/>
  <c r="B96" i="7"/>
  <c r="C95" i="7"/>
  <c r="B72" i="7"/>
  <c r="C71" i="7"/>
  <c r="C646" i="7"/>
  <c r="B647" i="7"/>
  <c r="B721" i="7"/>
  <c r="C720" i="7"/>
  <c r="C190" i="7"/>
  <c r="B191" i="7"/>
  <c r="C214" i="7"/>
  <c r="B215" i="7"/>
  <c r="C24" i="7"/>
  <c r="B25" i="7"/>
  <c r="C598" i="7"/>
  <c r="B599" i="7"/>
  <c r="B338" i="7"/>
  <c r="C337" i="7"/>
  <c r="B695" i="7"/>
  <c r="C694" i="7"/>
  <c r="B359" i="7"/>
  <c r="C358" i="7"/>
  <c r="B239" i="7"/>
  <c r="C238" i="7"/>
  <c r="C382" i="7"/>
  <c r="B383" i="7"/>
  <c r="C622" i="7"/>
  <c r="B623" i="7"/>
  <c r="B120" i="7"/>
  <c r="C119" i="7"/>
  <c r="B455" i="7"/>
  <c r="C454" i="7"/>
  <c r="C48" i="7"/>
  <c r="B49" i="7"/>
  <c r="B551" i="7"/>
  <c r="C550" i="7"/>
  <c r="B527" i="7"/>
  <c r="C526" i="7"/>
  <c r="B168" i="7"/>
  <c r="C167" i="7"/>
  <c r="C432" i="7"/>
  <c r="B433" i="7"/>
  <c r="B575" i="7"/>
  <c r="C574" i="7"/>
  <c r="B743" i="7"/>
  <c r="C742" i="7"/>
  <c r="C406" i="7"/>
  <c r="B407" i="7"/>
  <c r="C286" i="7"/>
  <c r="B287" i="7"/>
  <c r="B264" i="7"/>
  <c r="C263" i="7"/>
  <c r="C503" i="7"/>
  <c r="B504" i="7"/>
  <c r="B311" i="7"/>
  <c r="C310" i="7"/>
  <c r="C504" i="7" l="1"/>
  <c r="B505" i="7"/>
  <c r="B288" i="7"/>
  <c r="C287" i="7"/>
  <c r="C433" i="7"/>
  <c r="B434" i="7"/>
  <c r="B50" i="7"/>
  <c r="C49" i="7"/>
  <c r="B384" i="7"/>
  <c r="C383" i="7"/>
  <c r="B26" i="7"/>
  <c r="C25" i="7"/>
  <c r="B192" i="7"/>
  <c r="C191" i="7"/>
  <c r="C647" i="7"/>
  <c r="B648" i="7"/>
  <c r="C671" i="7"/>
  <c r="B672" i="7"/>
  <c r="C743" i="7"/>
  <c r="B744" i="7"/>
  <c r="C527" i="7"/>
  <c r="B528" i="7"/>
  <c r="C120" i="7"/>
  <c r="B121" i="7"/>
  <c r="B360" i="7"/>
  <c r="C359" i="7"/>
  <c r="B339" i="7"/>
  <c r="C338" i="7"/>
  <c r="C96" i="7"/>
  <c r="B97" i="7"/>
  <c r="B408" i="7"/>
  <c r="C407" i="7"/>
  <c r="C623" i="7"/>
  <c r="B624" i="7"/>
  <c r="C599" i="7"/>
  <c r="B600" i="7"/>
  <c r="B216" i="7"/>
  <c r="C215" i="7"/>
  <c r="B312" i="7"/>
  <c r="C311" i="7"/>
  <c r="B265" i="7"/>
  <c r="C264" i="7"/>
  <c r="C575" i="7"/>
  <c r="B576" i="7"/>
  <c r="C168" i="7"/>
  <c r="B169" i="7"/>
  <c r="C551" i="7"/>
  <c r="B552" i="7"/>
  <c r="C455" i="7"/>
  <c r="B456" i="7"/>
  <c r="B240" i="7"/>
  <c r="C239" i="7"/>
  <c r="B696" i="7"/>
  <c r="C695" i="7"/>
  <c r="C721" i="7"/>
  <c r="B722" i="7"/>
  <c r="C72" i="7"/>
  <c r="B73" i="7"/>
  <c r="C144" i="7"/>
  <c r="B145" i="7"/>
  <c r="C479" i="7"/>
  <c r="B480" i="7"/>
  <c r="C722" i="7" l="1"/>
  <c r="B723" i="7"/>
  <c r="B553" i="7"/>
  <c r="C552" i="7"/>
  <c r="B577" i="7"/>
  <c r="C576" i="7"/>
  <c r="C600" i="7"/>
  <c r="B601" i="7"/>
  <c r="B122" i="7"/>
  <c r="C121" i="7"/>
  <c r="B745" i="7"/>
  <c r="C744" i="7"/>
  <c r="B241" i="7"/>
  <c r="C240" i="7"/>
  <c r="B313" i="7"/>
  <c r="C312" i="7"/>
  <c r="C408" i="7"/>
  <c r="B409" i="7"/>
  <c r="B340" i="7"/>
  <c r="C339" i="7"/>
  <c r="C26" i="7"/>
  <c r="B27" i="7"/>
  <c r="C50" i="7"/>
  <c r="B51" i="7"/>
  <c r="B289" i="7"/>
  <c r="C288" i="7"/>
  <c r="C648" i="7"/>
  <c r="B649" i="7"/>
  <c r="C480" i="7"/>
  <c r="B481" i="7"/>
  <c r="B74" i="7"/>
  <c r="C73" i="7"/>
  <c r="C456" i="7"/>
  <c r="B457" i="7"/>
  <c r="B170" i="7"/>
  <c r="C169" i="7"/>
  <c r="C624" i="7"/>
  <c r="B625" i="7"/>
  <c r="B98" i="7"/>
  <c r="C97" i="7"/>
  <c r="B529" i="7"/>
  <c r="C528" i="7"/>
  <c r="C672" i="7"/>
  <c r="B673" i="7"/>
  <c r="B435" i="7"/>
  <c r="C434" i="7"/>
  <c r="C505" i="7"/>
  <c r="B506" i="7"/>
  <c r="B146" i="7"/>
  <c r="C145" i="7"/>
  <c r="B697" i="7"/>
  <c r="C696" i="7"/>
  <c r="B266" i="7"/>
  <c r="C265" i="7"/>
  <c r="C216" i="7"/>
  <c r="B217" i="7"/>
  <c r="B361" i="7"/>
  <c r="C360" i="7"/>
  <c r="C192" i="7"/>
  <c r="B193" i="7"/>
  <c r="C384" i="7"/>
  <c r="B385" i="7"/>
  <c r="B194" i="7" l="1"/>
  <c r="C193" i="7"/>
  <c r="B218" i="7"/>
  <c r="C217" i="7"/>
  <c r="B507" i="7"/>
  <c r="C506" i="7"/>
  <c r="C673" i="7"/>
  <c r="B674" i="7"/>
  <c r="C649" i="7"/>
  <c r="B650" i="7"/>
  <c r="B52" i="7"/>
  <c r="C51" i="7"/>
  <c r="C601" i="7"/>
  <c r="B602" i="7"/>
  <c r="B698" i="7"/>
  <c r="C697" i="7"/>
  <c r="C74" i="7"/>
  <c r="B75" i="7"/>
  <c r="B341" i="7"/>
  <c r="C340" i="7"/>
  <c r="C553" i="7"/>
  <c r="B554" i="7"/>
  <c r="C170" i="7"/>
  <c r="B171" i="7"/>
  <c r="B314" i="7"/>
  <c r="C313" i="7"/>
  <c r="B386" i="7"/>
  <c r="C385" i="7"/>
  <c r="B626" i="7"/>
  <c r="C625" i="7"/>
  <c r="C457" i="7"/>
  <c r="B458" i="7"/>
  <c r="C481" i="7"/>
  <c r="B482" i="7"/>
  <c r="B28" i="7"/>
  <c r="C27" i="7"/>
  <c r="C409" i="7"/>
  <c r="B410" i="7"/>
  <c r="C723" i="7"/>
  <c r="B724" i="7"/>
  <c r="C98" i="7"/>
  <c r="B99" i="7"/>
  <c r="C745" i="7"/>
  <c r="B746" i="7"/>
  <c r="B362" i="7"/>
  <c r="C361" i="7"/>
  <c r="B267" i="7"/>
  <c r="C266" i="7"/>
  <c r="C146" i="7"/>
  <c r="B147" i="7"/>
  <c r="C435" i="7"/>
  <c r="B436" i="7"/>
  <c r="C529" i="7"/>
  <c r="B530" i="7"/>
  <c r="B290" i="7"/>
  <c r="C289" i="7"/>
  <c r="B242" i="7"/>
  <c r="C241" i="7"/>
  <c r="C122" i="7"/>
  <c r="B123" i="7"/>
  <c r="C577" i="7"/>
  <c r="B578" i="7"/>
  <c r="C267" i="7" l="1"/>
  <c r="B268" i="7"/>
  <c r="B124" i="7"/>
  <c r="C123" i="7"/>
  <c r="C436" i="7"/>
  <c r="B437" i="7"/>
  <c r="B747" i="7"/>
  <c r="C746" i="7"/>
  <c r="B725" i="7"/>
  <c r="C724" i="7"/>
  <c r="B459" i="7"/>
  <c r="C458" i="7"/>
  <c r="B172" i="7"/>
  <c r="C171" i="7"/>
  <c r="B675" i="7"/>
  <c r="C674" i="7"/>
  <c r="C386" i="7"/>
  <c r="B387" i="7"/>
  <c r="B342" i="7"/>
  <c r="C341" i="7"/>
  <c r="B699" i="7"/>
  <c r="C698" i="7"/>
  <c r="C52" i="7"/>
  <c r="B53" i="7"/>
  <c r="C218" i="7"/>
  <c r="B219" i="7"/>
  <c r="B579" i="7"/>
  <c r="C578" i="7"/>
  <c r="B531" i="7"/>
  <c r="C530" i="7"/>
  <c r="B148" i="7"/>
  <c r="C147" i="7"/>
  <c r="B100" i="7"/>
  <c r="C99" i="7"/>
  <c r="C410" i="7"/>
  <c r="B411" i="7"/>
  <c r="B483" i="7"/>
  <c r="C482" i="7"/>
  <c r="B555" i="7"/>
  <c r="C554" i="7"/>
  <c r="B76" i="7"/>
  <c r="C75" i="7"/>
  <c r="C602" i="7"/>
  <c r="B603" i="7"/>
  <c r="B651" i="7"/>
  <c r="C650" i="7"/>
  <c r="C290" i="7"/>
  <c r="B291" i="7"/>
  <c r="B29" i="7"/>
  <c r="C28" i="7"/>
  <c r="B243" i="7"/>
  <c r="C242" i="7"/>
  <c r="C362" i="7"/>
  <c r="B363" i="7"/>
  <c r="C626" i="7"/>
  <c r="B627" i="7"/>
  <c r="B315" i="7"/>
  <c r="C314" i="7"/>
  <c r="C507" i="7"/>
  <c r="B508" i="7"/>
  <c r="C194" i="7"/>
  <c r="B195" i="7"/>
  <c r="B244" i="7" l="1"/>
  <c r="C243" i="7"/>
  <c r="C579" i="7"/>
  <c r="B580" i="7"/>
  <c r="C459" i="7"/>
  <c r="B460" i="7"/>
  <c r="B509" i="7"/>
  <c r="C508" i="7"/>
  <c r="C627" i="7"/>
  <c r="B628" i="7"/>
  <c r="B292" i="7"/>
  <c r="C291" i="7"/>
  <c r="B604" i="7"/>
  <c r="C603" i="7"/>
  <c r="C411" i="7"/>
  <c r="B412" i="7"/>
  <c r="C53" i="7"/>
  <c r="B54" i="7"/>
  <c r="C555" i="7"/>
  <c r="B556" i="7"/>
  <c r="C148" i="7"/>
  <c r="B149" i="7"/>
  <c r="B343" i="7"/>
  <c r="C342" i="7"/>
  <c r="C747" i="7"/>
  <c r="B748" i="7"/>
  <c r="B196" i="7"/>
  <c r="C195" i="7"/>
  <c r="B220" i="7"/>
  <c r="C219" i="7"/>
  <c r="B388" i="7"/>
  <c r="C387" i="7"/>
  <c r="C437" i="7"/>
  <c r="B438" i="7"/>
  <c r="C268" i="7"/>
  <c r="B269" i="7"/>
  <c r="C675" i="7"/>
  <c r="B676" i="7"/>
  <c r="C124" i="7"/>
  <c r="B125" i="7"/>
  <c r="B364" i="7"/>
  <c r="C363" i="7"/>
  <c r="B316" i="7"/>
  <c r="C315" i="7"/>
  <c r="B30" i="7"/>
  <c r="C29" i="7"/>
  <c r="C651" i="7"/>
  <c r="B652" i="7"/>
  <c r="C76" i="7"/>
  <c r="B77" i="7"/>
  <c r="C483" i="7"/>
  <c r="B484" i="7"/>
  <c r="C100" i="7"/>
  <c r="B101" i="7"/>
  <c r="C531" i="7"/>
  <c r="B532" i="7"/>
  <c r="B700" i="7"/>
  <c r="C699" i="7"/>
  <c r="C172" i="7"/>
  <c r="B173" i="7"/>
  <c r="C725" i="7"/>
  <c r="B726" i="7"/>
  <c r="B701" i="7" l="1"/>
  <c r="C700" i="7"/>
  <c r="B533" i="7"/>
  <c r="C532" i="7"/>
  <c r="B557" i="7"/>
  <c r="C556" i="7"/>
  <c r="B413" i="7"/>
  <c r="C412" i="7"/>
  <c r="B317" i="7"/>
  <c r="C316" i="7"/>
  <c r="C388" i="7"/>
  <c r="B389" i="7"/>
  <c r="C196" i="7"/>
  <c r="B197" i="7"/>
  <c r="B344" i="7"/>
  <c r="C344" i="7" s="1"/>
  <c r="C343" i="7"/>
  <c r="B293" i="7"/>
  <c r="C292" i="7"/>
  <c r="C509" i="7"/>
  <c r="B510" i="7"/>
  <c r="B174" i="7"/>
  <c r="C173" i="7"/>
  <c r="C484" i="7"/>
  <c r="B485" i="7"/>
  <c r="B653" i="7"/>
  <c r="C652" i="7"/>
  <c r="B126" i="7"/>
  <c r="C125" i="7"/>
  <c r="C269" i="7"/>
  <c r="B270" i="7"/>
  <c r="B581" i="7"/>
  <c r="C580" i="7"/>
  <c r="B727" i="7"/>
  <c r="C726" i="7"/>
  <c r="B102" i="7"/>
  <c r="C101" i="7"/>
  <c r="B78" i="7"/>
  <c r="C77" i="7"/>
  <c r="B677" i="7"/>
  <c r="C676" i="7"/>
  <c r="B439" i="7"/>
  <c r="C438" i="7"/>
  <c r="B749" i="7"/>
  <c r="C748" i="7"/>
  <c r="B150" i="7"/>
  <c r="C149" i="7"/>
  <c r="C54" i="7"/>
  <c r="B55" i="7"/>
  <c r="C628" i="7"/>
  <c r="B629" i="7"/>
  <c r="C460" i="7"/>
  <c r="B461" i="7"/>
  <c r="C30" i="7"/>
  <c r="B31" i="7"/>
  <c r="C364" i="7"/>
  <c r="B365" i="7"/>
  <c r="C220" i="7"/>
  <c r="B221" i="7"/>
  <c r="C604" i="7"/>
  <c r="B605" i="7"/>
  <c r="B245" i="7"/>
  <c r="C244" i="7"/>
  <c r="B606" i="7" l="1"/>
  <c r="C605" i="7"/>
  <c r="C461" i="7"/>
  <c r="B462" i="7"/>
  <c r="B56" i="7"/>
  <c r="C56" i="7" s="1"/>
  <c r="C55" i="7"/>
  <c r="C485" i="7"/>
  <c r="B486" i="7"/>
  <c r="B511" i="7"/>
  <c r="C510" i="7"/>
  <c r="B390" i="7"/>
  <c r="C389" i="7"/>
  <c r="C102" i="7"/>
  <c r="B103" i="7"/>
  <c r="C126" i="7"/>
  <c r="B127" i="7"/>
  <c r="C413" i="7"/>
  <c r="B414" i="7"/>
  <c r="C533" i="7"/>
  <c r="B534" i="7"/>
  <c r="C677" i="7"/>
  <c r="B678" i="7"/>
  <c r="B32" i="7"/>
  <c r="C32" i="7" s="1"/>
  <c r="C31" i="7"/>
  <c r="C270" i="7"/>
  <c r="B271" i="7"/>
  <c r="B198" i="7"/>
  <c r="C197" i="7"/>
  <c r="B366" i="7"/>
  <c r="C365" i="7"/>
  <c r="C749" i="7"/>
  <c r="B750" i="7"/>
  <c r="C581" i="7"/>
  <c r="B582" i="7"/>
  <c r="B222" i="7"/>
  <c r="C221" i="7"/>
  <c r="B630" i="7"/>
  <c r="C629" i="7"/>
  <c r="B246" i="7"/>
  <c r="C245" i="7"/>
  <c r="C150" i="7"/>
  <c r="B151" i="7"/>
  <c r="C439" i="7"/>
  <c r="B440" i="7"/>
  <c r="C440" i="7" s="1"/>
  <c r="C78" i="7"/>
  <c r="B79" i="7"/>
  <c r="C727" i="7"/>
  <c r="B728" i="7"/>
  <c r="C728" i="7" s="1"/>
  <c r="C653" i="7"/>
  <c r="B654" i="7"/>
  <c r="C174" i="7"/>
  <c r="B175" i="7"/>
  <c r="B294" i="7"/>
  <c r="C293" i="7"/>
  <c r="B318" i="7"/>
  <c r="C317" i="7"/>
  <c r="C557" i="7"/>
  <c r="B558" i="7"/>
  <c r="B702" i="7"/>
  <c r="C701" i="7"/>
  <c r="C630" i="7" l="1"/>
  <c r="B631" i="7"/>
  <c r="B176" i="7"/>
  <c r="C176" i="7" s="1"/>
  <c r="C175" i="7"/>
  <c r="B751" i="7"/>
  <c r="C750" i="7"/>
  <c r="B535" i="7"/>
  <c r="C534" i="7"/>
  <c r="B128" i="7"/>
  <c r="C128" i="7" s="1"/>
  <c r="C127" i="7"/>
  <c r="B487" i="7"/>
  <c r="C486" i="7"/>
  <c r="B463" i="7"/>
  <c r="C462" i="7"/>
  <c r="C294" i="7"/>
  <c r="B295" i="7"/>
  <c r="B319" i="7"/>
  <c r="C318" i="7"/>
  <c r="B247" i="7"/>
  <c r="C246" i="7"/>
  <c r="C222" i="7"/>
  <c r="B223" i="7"/>
  <c r="C198" i="7"/>
  <c r="B199" i="7"/>
  <c r="C390" i="7"/>
  <c r="B391" i="7"/>
  <c r="B703" i="7"/>
  <c r="C702" i="7"/>
  <c r="B559" i="7"/>
  <c r="C558" i="7"/>
  <c r="C654" i="7"/>
  <c r="B655" i="7"/>
  <c r="B80" i="7"/>
  <c r="C80" i="7" s="1"/>
  <c r="C79" i="7"/>
  <c r="B152" i="7"/>
  <c r="C152" i="7" s="1"/>
  <c r="C151" i="7"/>
  <c r="B583" i="7"/>
  <c r="C582" i="7"/>
  <c r="C271" i="7"/>
  <c r="B272" i="7"/>
  <c r="C272" i="7" s="1"/>
  <c r="C678" i="7"/>
  <c r="B679" i="7"/>
  <c r="B415" i="7"/>
  <c r="C414" i="7"/>
  <c r="B104" i="7"/>
  <c r="C104" i="7" s="1"/>
  <c r="C103" i="7"/>
  <c r="C366" i="7"/>
  <c r="B367" i="7"/>
  <c r="C511" i="7"/>
  <c r="B512" i="7"/>
  <c r="C512" i="7" s="1"/>
  <c r="C606" i="7"/>
  <c r="B607" i="7"/>
  <c r="C655" i="7" l="1"/>
  <c r="B656" i="7"/>
  <c r="C656" i="7" s="1"/>
  <c r="B200" i="7"/>
  <c r="C200" i="7" s="1"/>
  <c r="C199" i="7"/>
  <c r="B296" i="7"/>
  <c r="C296" i="7" s="1"/>
  <c r="C295" i="7"/>
  <c r="C583" i="7"/>
  <c r="B584" i="7"/>
  <c r="C584" i="7" s="1"/>
  <c r="C559" i="7"/>
  <c r="B560" i="7"/>
  <c r="C560" i="7" s="1"/>
  <c r="B320" i="7"/>
  <c r="C320" i="7" s="1"/>
  <c r="C319" i="7"/>
  <c r="C607" i="7"/>
  <c r="B608" i="7"/>
  <c r="C608" i="7" s="1"/>
  <c r="C703" i="7"/>
  <c r="B704" i="7"/>
  <c r="C704" i="7" s="1"/>
  <c r="C463" i="7"/>
  <c r="B464" i="7"/>
  <c r="C464" i="7" s="1"/>
  <c r="B368" i="7"/>
  <c r="C368" i="7" s="1"/>
  <c r="C367" i="7"/>
  <c r="C415" i="7"/>
  <c r="B416" i="7"/>
  <c r="C416" i="7" s="1"/>
  <c r="B248" i="7"/>
  <c r="C248" i="7" s="1"/>
  <c r="C247" i="7"/>
  <c r="C487" i="7"/>
  <c r="B488" i="7"/>
  <c r="C488" i="7" s="1"/>
  <c r="C535" i="7"/>
  <c r="B536" i="7"/>
  <c r="C536" i="7" s="1"/>
  <c r="C679" i="7"/>
  <c r="B680" i="7"/>
  <c r="C680" i="7" s="1"/>
  <c r="B392" i="7"/>
  <c r="C392" i="7" s="1"/>
  <c r="C391" i="7"/>
  <c r="B224" i="7"/>
  <c r="C224" i="7" s="1"/>
  <c r="C223" i="7"/>
  <c r="C631" i="7"/>
  <c r="B632" i="7"/>
  <c r="C632" i="7" s="1"/>
  <c r="C751" i="7"/>
  <c r="B752" i="7"/>
  <c r="C752" i="7" s="1"/>
</calcChain>
</file>

<file path=xl/sharedStrings.xml><?xml version="1.0" encoding="utf-8"?>
<sst xmlns="http://schemas.openxmlformats.org/spreadsheetml/2006/main" count="488" uniqueCount="204">
  <si>
    <t>LT1SWTR MONTHLY REPORT TO EPA FOR COMPLIANCE DETERMINATION</t>
  </si>
  <si>
    <t>MEMBRANE FILTRATION SYSTEMS (MF, UL, RO)</t>
  </si>
  <si>
    <t>(Due to EPA by 10th day of the following month)</t>
  </si>
  <si>
    <t>Month</t>
  </si>
  <si>
    <t>System/Treatment Plant</t>
  </si>
  <si>
    <t>Quinn's Water Treatment Plant</t>
  </si>
  <si>
    <t>PWSID</t>
  </si>
  <si>
    <t>Year</t>
  </si>
  <si>
    <t>Type of Filtration</t>
  </si>
  <si>
    <t>Membrane Filtration</t>
  </si>
  <si>
    <t>Combined Effluent Turbidity Performance Criteria (DATA ON PAGE 2)</t>
  </si>
  <si>
    <t>A.  Total number of Combined Filter Effluent (CFE)  water turbidity measurements =</t>
  </si>
  <si>
    <r>
      <t xml:space="preserve">B.  Total Number of  CFE  water turbidity measurements that are less than or equal to </t>
    </r>
    <r>
      <rPr>
        <b/>
        <sz val="10"/>
        <rFont val="Arial"/>
        <family val="2"/>
      </rPr>
      <t>0.3</t>
    </r>
    <r>
      <rPr>
        <sz val="10"/>
        <rFont val="Arial"/>
        <family val="2"/>
      </rPr>
      <t xml:space="preserve"> NTU </t>
    </r>
    <r>
      <rPr>
        <sz val="10"/>
        <rFont val="Arial"/>
        <family val="2"/>
      </rPr>
      <t>=</t>
    </r>
  </si>
  <si>
    <t xml:space="preserve">C.  The percentage of CFE turbidity measurements meeting 0.3 NTU  = B / A * 100 = </t>
  </si>
  <si>
    <t>%</t>
  </si>
  <si>
    <r>
      <t xml:space="preserve">D.  Record the date and turbidity value for any CFE measurements exceeding </t>
    </r>
    <r>
      <rPr>
        <b/>
        <sz val="10"/>
        <rFont val="Arial"/>
        <family val="2"/>
      </rPr>
      <t>1 NTU</t>
    </r>
    <r>
      <rPr>
        <sz val="10"/>
        <rFont val="Arial"/>
        <family val="2"/>
      </rPr>
      <t xml:space="preserve">:  If </t>
    </r>
    <r>
      <rPr>
        <sz val="10"/>
        <rFont val="Arial"/>
        <family val="2"/>
      </rPr>
      <t>n</t>
    </r>
    <r>
      <rPr>
        <sz val="10"/>
        <rFont val="Arial"/>
        <family val="2"/>
      </rPr>
      <t>one, enter “</t>
    </r>
    <r>
      <rPr>
        <b/>
        <sz val="10"/>
        <rFont val="Arial"/>
        <family val="2"/>
      </rPr>
      <t>none</t>
    </r>
    <r>
      <rPr>
        <sz val="10"/>
        <rFont val="Arial"/>
        <family val="2"/>
      </rPr>
      <t>” below:</t>
    </r>
  </si>
  <si>
    <t>E. Total number of chlorine residual measurements:</t>
  </si>
  <si>
    <t>Time and Date of Exceedance</t>
  </si>
  <si>
    <t>Highest Trubidity (NTU)</t>
  </si>
  <si>
    <t>Time and Date EPA Was Notified</t>
  </si>
  <si>
    <t>Disinfection Performance Criteria</t>
  </si>
  <si>
    <r>
      <t>A.  Point-of-Entry</t>
    </r>
    <r>
      <rPr>
        <sz val="10"/>
        <rFont val="Arial"/>
        <family val="2"/>
      </rPr>
      <t xml:space="preserve"> Minimum Disinfectant Residual Criteria and CT Criteria</t>
    </r>
  </si>
  <si>
    <r>
      <t xml:space="preserve">The minimum residual concentration must not drop below </t>
    </r>
    <r>
      <rPr>
        <b/>
        <sz val="10"/>
        <rFont val="Arial"/>
        <family val="2"/>
      </rPr>
      <t>0.2</t>
    </r>
    <r>
      <rPr>
        <sz val="10"/>
        <rFont val="Arial"/>
        <family val="2"/>
      </rPr>
      <t xml:space="preserve"> mg/L OR the higher value (&gt;0.2 mg/L) needed each day for adequate inactivation of Giardia and viruses.
</t>
    </r>
  </si>
  <si>
    <t>Date</t>
  </si>
  <si>
    <t>Minimum Disinfectant Residual at Point of Entry to Distribution System (mg/L)</t>
  </si>
  <si>
    <t>Days where the POE Residual Was &lt; 0.2 mg/L for &gt; 4 hours</t>
  </si>
  <si>
    <t>Time/Day</t>
  </si>
  <si>
    <t>Duration of Low Level (indicate hrs)</t>
  </si>
  <si>
    <t>Time and Date Reported to EPA</t>
  </si>
  <si>
    <r>
      <t>B.  Distribution System</t>
    </r>
    <r>
      <rPr>
        <sz val="10"/>
        <rFont val="Arial"/>
        <family val="2"/>
      </rPr>
      <t xml:space="preserve"> Disinfectant Residual Criteria MEASURED WHEN TAKING TCR (BACT)  SAMPLES</t>
    </r>
  </si>
  <si>
    <t xml:space="preserve">A = # of samples this month that disinfectant residual was measured in distribution system = </t>
  </si>
  <si>
    <t xml:space="preserve">C = # of samples this month that disinfectant residual was NOT detected when you measured = </t>
  </si>
  <si>
    <t>V = C / A * 100 =</t>
  </si>
  <si>
    <t xml:space="preserve">For the previous month, V = </t>
  </si>
  <si>
    <t>____________</t>
  </si>
  <si>
    <t xml:space="preserve">Prepared by </t>
  </si>
  <si>
    <t>____________________________________________________________</t>
  </si>
  <si>
    <t>__________________</t>
  </si>
  <si>
    <t/>
  </si>
  <si>
    <t>MONTHLY REPORTING SHEET FOR COMBINED FILTER EFFLUENT (CFE) TURBIDITY</t>
  </si>
  <si>
    <t xml:space="preserve">System Treatment Plant:                                         </t>
  </si>
  <si>
    <t xml:space="preserve">Year                                                                          Filtration Technology:                                                                  </t>
  </si>
  <si>
    <t>PWS ID#:</t>
  </si>
  <si>
    <t>REQUIRED # OF 4-HOUR TURBIDITY READINGS/DAY =</t>
  </si>
  <si>
    <r>
      <t>(UNLESS PLANT OFF – INDICATE “</t>
    </r>
    <r>
      <rPr>
        <b/>
        <sz val="10"/>
        <rFont val="Arial"/>
        <family val="2"/>
      </rPr>
      <t>PO</t>
    </r>
    <r>
      <rPr>
        <sz val="10"/>
        <rFont val="Arial"/>
        <family val="2"/>
      </rPr>
      <t>” IN EACH CELL)</t>
    </r>
  </si>
  <si>
    <t>**REPORT MAXIMUM TURBIDITY READING THAT DAY, EVEN IF IT WAS BETWEEN 4 HOUR READINGS</t>
  </si>
  <si>
    <t>DO NOT REPORT RESULTS COLLECTED DURING BACKWASH, FILTER-TO-WASTE, OR ANY TIME WATER IS NOT BEING PRODUCED FOR CONSUMPTION</t>
  </si>
  <si>
    <t>1200 AM (NTU)</t>
  </si>
  <si>
    <t>4 AM (NTU)</t>
  </si>
  <si>
    <t>8 AM (NTU)</t>
  </si>
  <si>
    <t>12 PM (NTU)</t>
  </si>
  <si>
    <t>4 PM (NTU)</t>
  </si>
  <si>
    <t>8 PM (NTU )</t>
  </si>
  <si>
    <t>**DAILY Max NTU</t>
  </si>
  <si>
    <t>Max Reading</t>
  </si>
  <si>
    <t xml:space="preserve"> </t>
  </si>
  <si>
    <t>DATE OF LAST CALIBRATION OF CFE TURBIDIMETER:</t>
  </si>
  <si>
    <t>______________</t>
  </si>
  <si>
    <t>DATA SHEET FOR INDIVIDUAL MEMBRANE UNIT</t>
  </si>
  <si>
    <t>DAILY DIRECT INTEGRITY (DI) TESTS AND REPAIRS</t>
  </si>
  <si>
    <t>(FILL OUT ONE PAGE PER UNIT/SKID)</t>
  </si>
  <si>
    <t>MONTH</t>
  </si>
  <si>
    <t>PWSID #</t>
  </si>
  <si>
    <t>YEAR</t>
  </si>
  <si>
    <t>PWS NAME</t>
  </si>
  <si>
    <t>MEMBRANE UNIT #</t>
  </si>
  <si>
    <t xml:space="preserve">Daily DI Test Successful (Indicate Y/N Within
Control Limit?)
</t>
  </si>
  <si>
    <t xml:space="preserve">Describe Results of Triggered** or Unsuccessful DI Tests and any Corrective Actions Taken (Diagnostic tests, module repairs or replacements).  Identify serial # of module
</t>
  </si>
  <si>
    <t>** Two 15-min consecutive filtrate turbidity readings exceeding 0.15 NTU triggers DI test – based on turbidity when water is being produced for consumption</t>
  </si>
  <si>
    <t>If Plant Not Operating Indicate “PO”</t>
  </si>
  <si>
    <t xml:space="preserve">Date of Last Chemical Cleaning (CIP) of the Membrane Unit </t>
  </si>
  <si>
    <t>________________________</t>
  </si>
  <si>
    <t xml:space="preserve">Was DI Test Acceptable After Cleaning?  </t>
  </si>
  <si>
    <t xml:space="preserve">Date of last Calibration of Individual Unit Filtrate Turbidimeter(s) </t>
  </si>
  <si>
    <t>Y</t>
  </si>
  <si>
    <t>4-HR VIRUS INACTIVATION CT WORKSHEET FOR INPUT TO MONTHLY REPORTING</t>
  </si>
  <si>
    <t>Quinns Junction WTP</t>
  </si>
  <si>
    <t>UPDATED FORMAT, JUNE 7, 2012, Adomonoske</t>
  </si>
  <si>
    <t>Plant Operating Data</t>
  </si>
  <si>
    <t>CT Calcs</t>
  </si>
  <si>
    <t>RESULTS</t>
  </si>
  <si>
    <t>Min Ratio for Day</t>
  </si>
  <si>
    <t>Date and Time</t>
  </si>
  <si>
    <t>Day</t>
  </si>
  <si>
    <t>Current High Service flow</t>
  </si>
  <si>
    <t>Temp.</t>
  </si>
  <si>
    <t>Clearwell Level</t>
  </si>
  <si>
    <t>Chlorine Residual from the analyzer</t>
  </si>
  <si>
    <t>Required CTr</t>
  </si>
  <si>
    <t>Sequence 1
Inlet Pipe
Effective Time</t>
  </si>
  <si>
    <t>Sequence 2 Clearwell
Effective Time</t>
  </si>
  <si>
    <t>Sequence 1
Inlet Pipe
CTa</t>
  </si>
  <si>
    <t>Sequence 2
Clearwell
CTa</t>
  </si>
  <si>
    <t>Total
CTa</t>
  </si>
  <si>
    <t>Compliance Ratio</t>
  </si>
  <si>
    <t>Status</t>
  </si>
  <si>
    <t>(gpm)</t>
  </si>
  <si>
    <t>(Deg. F)</t>
  </si>
  <si>
    <t>(ft)</t>
  </si>
  <si>
    <t>(mM/L)</t>
  </si>
  <si>
    <t>(mg-min/L)</t>
  </si>
  <si>
    <t>(min)</t>
  </si>
  <si>
    <t>CTa/CTr</t>
  </si>
  <si>
    <t>NOTES,  CALCULATIONS, AND ASSUMPTIONS</t>
  </si>
  <si>
    <t>Quinns must obtain 3.5 log removal credit for virus from chlorine disinfection prior to the first customer.</t>
  </si>
  <si>
    <t>Yellow fields are for input.</t>
  </si>
  <si>
    <t>Compliance ration must be greater than 1.0 ninety-five percent of the time on a monthly basis.</t>
  </si>
  <si>
    <t>Required CTr for 3.5 log removal taken from Table C-7, EPA Guidance Manual Disinfection Profiling and Benchmarking and interpolated</t>
  </si>
  <si>
    <t xml:space="preserve">Sequence 1 Inlet Pipe time   =   (Clearwell inlet pipe volume) /  (flow in gpm) *  (T10/T ratio)  </t>
  </si>
  <si>
    <t xml:space="preserve">Sequence 2 Clearwell time   =   (Clearwell volume/ft depth) * depth  /  (flow in gpm) *  (T10/T ratio)  </t>
  </si>
  <si>
    <t>CTa   =   (time) * (chlorine concentration)</t>
  </si>
  <si>
    <t>Total Cta  =  Clearwell Cta  + Clearwell Inlet Cta</t>
  </si>
  <si>
    <t>Contact volume per ft of clearwell includes the volume from the inlet up to the first pump (the way the water flows).</t>
  </si>
  <si>
    <t>The clearwell inlet pipe volume is 1,630 gallons based on 100 ft of 20" pipe</t>
  </si>
  <si>
    <t>Volume</t>
  </si>
  <si>
    <t>T10/T</t>
  </si>
  <si>
    <t>(Gals)</t>
  </si>
  <si>
    <t>(-)</t>
  </si>
  <si>
    <t xml:space="preserve">Sequence 1: Clearwell inlet pipe </t>
  </si>
  <si>
    <t>100 ft of 20" pipe</t>
  </si>
  <si>
    <t>Sequence 2: Clearwell Contact Vol per ft depth</t>
  </si>
  <si>
    <t>Contact volume includes the 70.5' of the north leg, and 42 ft of the south leg</t>
  </si>
  <si>
    <t>Temp (Deg F)</t>
  </si>
  <si>
    <t>Temp (Deg C)</t>
  </si>
  <si>
    <t>Req'd CTr (mg-min/L)</t>
  </si>
  <si>
    <t>FIRST DISINFECTION SEQUENCE -- INLET PIPE - Quinns WTP</t>
  </si>
  <si>
    <t>Month:</t>
  </si>
  <si>
    <t>Utility Name:</t>
  </si>
  <si>
    <t>Park City Municipal Corporation</t>
  </si>
  <si>
    <t>Year:</t>
  </si>
  <si>
    <t>Treatment Plant:</t>
  </si>
  <si>
    <t>Quinn's WTP</t>
  </si>
  <si>
    <t>System Number:</t>
  </si>
  <si>
    <t>Prepared by:</t>
  </si>
  <si>
    <t>Giardia and Crypto Log Inactivation Treatment Credit granted by Utah DDW:</t>
  </si>
  <si>
    <t>Required Giardia and Crypto Log Inactivation for Disinfection:</t>
  </si>
  <si>
    <t>None</t>
  </si>
  <si>
    <t>Virus Log Inactivation Treatment Credit granted by Utah DDW:</t>
  </si>
  <si>
    <t>Required Virus Log Inactivation for Disinfection (see table below):</t>
  </si>
  <si>
    <t>Inactivation Ratio Calculation  -  All data for the same point in time, and at the end of the sequence.</t>
  </si>
  <si>
    <t>Peak Flow</t>
  </si>
  <si>
    <r>
      <t>Peak Flow Cl</t>
    </r>
    <r>
      <rPr>
        <vertAlign val="subscript"/>
        <sz val="10"/>
        <rFont val="Arial"/>
        <family val="2"/>
      </rPr>
      <t>2</t>
    </r>
  </si>
  <si>
    <t>CT Required</t>
  </si>
  <si>
    <t>Inactivation</t>
  </si>
  <si>
    <t>Detention Time</t>
  </si>
  <si>
    <t>Residual</t>
  </si>
  <si>
    <t>Temperature</t>
  </si>
  <si>
    <t>CT Provided</t>
  </si>
  <si>
    <t>3.5 log Virus</t>
  </si>
  <si>
    <t>Ratio</t>
  </si>
  <si>
    <t>(Minutes)</t>
  </si>
  <si>
    <t>(mg/l)</t>
  </si>
  <si>
    <t>pH</t>
  </si>
  <si>
    <t>(Deg C)</t>
  </si>
  <si>
    <t>(min.*mg/L)</t>
  </si>
  <si>
    <t>Provided</t>
  </si>
  <si>
    <t>AVG</t>
  </si>
  <si>
    <t>MAX</t>
  </si>
  <si>
    <t>MIN</t>
  </si>
  <si>
    <t>SECOND DISINFECTION SEQUENCE - CLEARWELL - Quinns WTP</t>
  </si>
  <si>
    <t>Monthly Report for Water Treatment Technique Compliance - Disinfection</t>
  </si>
  <si>
    <t>Park City Water</t>
  </si>
  <si>
    <t>Quinn's Junction</t>
  </si>
  <si>
    <t>Filtration Technology:</t>
  </si>
  <si>
    <t>D.</t>
  </si>
  <si>
    <t>Record the daily minimum disinfectant residual at the point-of-entry (POE) to the distribution system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</si>
  <si>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</si>
  <si>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t>Min POE</t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</si>
  <si>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</si>
  <si>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t xml:space="preserve">   Total Inactivation</t>
  </si>
  <si>
    <t>(mg/L)</t>
  </si>
  <si>
    <t xml:space="preserve">          Ratio</t>
  </si>
  <si>
    <t xml:space="preserve">           Ratio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</si>
  <si>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</si>
  <si>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</si>
  <si>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</si>
  <si>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</si>
  <si>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 xml:space="preserve">    Type of Event</t>
  </si>
  <si>
    <t>Pertinent Residual or</t>
  </si>
  <si>
    <t xml:space="preserve"> (Residual or Total</t>
  </si>
  <si>
    <t>Duration</t>
  </si>
  <si>
    <t xml:space="preserve">    Date Reported</t>
  </si>
  <si>
    <t xml:space="preserve">    Date of Public</t>
  </si>
  <si>
    <t xml:space="preserve">      Inactivation)</t>
  </si>
  <si>
    <t>(Hours)</t>
  </si>
  <si>
    <t xml:space="preserve">      Ratio Value</t>
  </si>
  <si>
    <t xml:space="preserve">         to State</t>
  </si>
  <si>
    <t xml:space="preserve">         Notice</t>
  </si>
  <si>
    <t>none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</si>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</sst>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m/d;@"/>
    <numFmt numFmtId="165" formatCode="0.000"/>
    <numFmt numFmtId="166" formatCode="[$-409]m/d/yy\ h:mm\ AM/PM;@"/>
    <numFmt numFmtId="167" formatCode="0.0"/>
    <numFmt numFmtId="168" formatCode="_(* #,##0_);_(* \(#,##0\);_(* &quot;-&quot;??_);_(@_)"/>
    <numFmt numFmtId="169" formatCode="mmmm"/>
    <numFmt numFmtId="170" formatCode="yyyy"/>
    <numFmt numFmtId="171" formatCode="m/d/yy"/>
    <numFmt numFmtId="172" formatCode="m/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MS Sans Serif"/>
      <family val="2"/>
    </font>
    <font>
      <sz val="14"/>
      <name val="Times New Roman"/>
      <family val="1"/>
    </font>
    <font>
      <sz val="10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4" fillId="0" borderId="0"/>
    <xf numFmtId="0" fontId="5" fillId="0" borderId="0"/>
  </cellStyleXfs>
  <cellXfs count="355">
    <xf numFmtId="0" fontId="0" fillId="0" borderId="0" xfId="0"/>
    <xf numFmtId="0" fontId="0" fillId="0" borderId="0" xfId="0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 applyProtection="1">
      <protection locked="0"/>
    </xf>
    <xf numFmtId="0" fontId="5" fillId="0" borderId="0" xfId="0" applyFont="1" applyAlignment="1"/>
    <xf numFmtId="0" fontId="0" fillId="0" borderId="0" xfId="0" applyAlignment="1" applyProtection="1">
      <protection locked="0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6" fillId="0" borderId="0" xfId="0" applyFont="1" applyAlignment="1" applyProtection="1">
      <protection locked="0"/>
    </xf>
    <xf numFmtId="2" fontId="4" fillId="0" borderId="0" xfId="0" applyNumberFormat="1" applyFont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5" fillId="0" borderId="1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5" fillId="0" borderId="1" xfId="0" applyFont="1" applyBorder="1" applyAlignment="1"/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164" fontId="0" fillId="0" borderId="4" xfId="0" applyNumberFormat="1" applyBorder="1" applyAlignment="1">
      <alignment horizontal="right"/>
    </xf>
    <xf numFmtId="2" fontId="0" fillId="0" borderId="1" xfId="0" applyNumberFormat="1" applyBorder="1" applyAlignment="1" applyProtection="1">
      <alignment horizontal="right"/>
      <protection locked="0"/>
    </xf>
    <xf numFmtId="2" fontId="0" fillId="0" borderId="2" xfId="0" applyNumberFormat="1" applyBorder="1" applyAlignment="1" applyProtection="1">
      <alignment horizontal="right"/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7" fillId="0" borderId="4" xfId="0" applyFont="1" applyBorder="1" applyAlignment="1"/>
    <xf numFmtId="0" fontId="0" fillId="0" borderId="4" xfId="0" applyBorder="1" applyAlignment="1" applyProtection="1">
      <protection locked="0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2" fontId="0" fillId="0" borderId="0" xfId="0" applyNumberFormat="1" applyAlignment="1" applyProtection="1">
      <alignment horizontal="right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4" fontId="4" fillId="0" borderId="0" xfId="0" applyNumberFormat="1" applyFont="1" applyAlignme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Alignment="1">
      <alignment horizontal="left"/>
    </xf>
    <xf numFmtId="0" fontId="4" fillId="0" borderId="0" xfId="0" applyFont="1" applyAlignment="1" applyProtection="1">
      <protection locked="0"/>
    </xf>
    <xf numFmtId="0" fontId="7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/>
    <xf numFmtId="0" fontId="0" fillId="0" borderId="4" xfId="0" applyBorder="1" applyAlignment="1"/>
    <xf numFmtId="0" fontId="5" fillId="0" borderId="4" xfId="0" applyFont="1" applyBorder="1" applyAlignment="1"/>
    <xf numFmtId="164" fontId="0" fillId="0" borderId="4" xfId="0" applyNumberFormat="1" applyBorder="1" applyAlignment="1"/>
    <xf numFmtId="165" fontId="0" fillId="0" borderId="4" xfId="0" applyNumberFormat="1" applyBorder="1" applyAlignment="1" applyProtection="1">
      <alignment horizontal="right"/>
      <protection locked="0"/>
    </xf>
    <xf numFmtId="165" fontId="0" fillId="0" borderId="4" xfId="0" applyNumberFormat="1" applyBorder="1" applyAlignment="1" applyProtection="1">
      <protection locked="0"/>
    </xf>
    <xf numFmtId="165" fontId="2" fillId="0" borderId="4" xfId="0" applyNumberFormat="1" applyFont="1" applyBorder="1" applyAlignment="1" applyProtection="1"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0" xfId="0" applyBorder="1"/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4" fontId="0" fillId="0" borderId="4" xfId="0" applyNumberFormat="1" applyBorder="1"/>
    <xf numFmtId="0" fontId="0" fillId="0" borderId="4" xfId="0" applyBorder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0" xfId="0" applyFont="1" applyAlignment="1">
      <alignment horizontal="centerContinuous"/>
    </xf>
    <xf numFmtId="0" fontId="10" fillId="0" borderId="0" xfId="0" applyFont="1" applyFill="1" applyAlignment="1">
      <alignment horizontal="centerContinuous"/>
    </xf>
    <xf numFmtId="2" fontId="10" fillId="0" borderId="0" xfId="0" applyNumberFormat="1" applyFont="1" applyAlignment="1">
      <alignment horizontal="centerContinuous"/>
    </xf>
    <xf numFmtId="0" fontId="10" fillId="0" borderId="0" xfId="0" applyFont="1"/>
    <xf numFmtId="0" fontId="10" fillId="0" borderId="13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5" xfId="0" applyFont="1" applyFill="1" applyBorder="1" applyAlignment="1">
      <alignment horizontal="centerContinuous"/>
    </xf>
    <xf numFmtId="2" fontId="10" fillId="0" borderId="15" xfId="0" applyNumberFormat="1" applyFont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2" fontId="10" fillId="0" borderId="16" xfId="0" applyNumberFormat="1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22" xfId="0" quotePrefix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0" fillId="0" borderId="2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 wrapText="1"/>
    </xf>
    <xf numFmtId="1" fontId="11" fillId="0" borderId="23" xfId="0" applyNumberFormat="1" applyFont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" fontId="11" fillId="0" borderId="23" xfId="0" applyNumberFormat="1" applyFont="1" applyFill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1" fontId="11" fillId="2" borderId="23" xfId="0" applyNumberFormat="1" applyFont="1" applyFill="1" applyBorder="1" applyAlignment="1">
      <alignment horizontal="center"/>
    </xf>
    <xf numFmtId="167" fontId="11" fillId="2" borderId="23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7" fontId="11" fillId="0" borderId="23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66" fontId="11" fillId="0" borderId="24" xfId="0" applyNumberFormat="1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1" fontId="11" fillId="2" borderId="24" xfId="0" applyNumberFormat="1" applyFont="1" applyFill="1" applyBorder="1" applyAlignment="1">
      <alignment horizontal="center"/>
    </xf>
    <xf numFmtId="167" fontId="11" fillId="2" borderId="24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67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1" fontId="11" fillId="0" borderId="25" xfId="0" applyNumberFormat="1" applyFont="1" applyFill="1" applyBorder="1" applyAlignment="1">
      <alignment horizontal="center"/>
    </xf>
    <xf numFmtId="167" fontId="11" fillId="0" borderId="25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66" fontId="11" fillId="0" borderId="26" xfId="0" applyNumberFormat="1" applyFont="1" applyFill="1" applyBorder="1" applyAlignment="1">
      <alignment horizontal="center"/>
    </xf>
    <xf numFmtId="1" fontId="11" fillId="0" borderId="26" xfId="0" applyNumberFormat="1" applyFont="1" applyFill="1" applyBorder="1" applyAlignment="1">
      <alignment horizontal="center"/>
    </xf>
    <xf numFmtId="167" fontId="11" fillId="0" borderId="26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7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/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Continuous"/>
    </xf>
    <xf numFmtId="0" fontId="11" fillId="0" borderId="6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2" fontId="10" fillId="0" borderId="6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Continuous"/>
    </xf>
    <xf numFmtId="0" fontId="10" fillId="0" borderId="11" xfId="0" applyFont="1" applyFill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2" fontId="10" fillId="0" borderId="11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0" xfId="0" applyFont="1" applyFill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2" fontId="11" fillId="3" borderId="0" xfId="0" applyNumberFormat="1" applyFont="1" applyFill="1" applyBorder="1"/>
    <xf numFmtId="167" fontId="11" fillId="3" borderId="29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2" fontId="11" fillId="3" borderId="0" xfId="1" applyNumberFormat="1" applyFont="1" applyFill="1" applyBorder="1" applyAlignment="1"/>
    <xf numFmtId="0" fontId="11" fillId="3" borderId="29" xfId="0" applyFont="1" applyFill="1" applyBorder="1" applyAlignment="1">
      <alignment horizontal="center"/>
    </xf>
    <xf numFmtId="0" fontId="11" fillId="0" borderId="11" xfId="0" applyFont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2" fontId="11" fillId="3" borderId="11" xfId="0" applyNumberFormat="1" applyFont="1" applyFill="1" applyBorder="1"/>
    <xf numFmtId="0" fontId="11" fillId="3" borderId="28" xfId="0" applyFont="1" applyFill="1" applyBorder="1" applyAlignment="1">
      <alignment horizontal="center"/>
    </xf>
    <xf numFmtId="168" fontId="11" fillId="0" borderId="0" xfId="1" applyNumberFormat="1" applyFont="1"/>
    <xf numFmtId="168" fontId="11" fillId="0" borderId="0" xfId="1" applyNumberFormat="1" applyFont="1" applyFill="1"/>
    <xf numFmtId="2" fontId="11" fillId="0" borderId="0" xfId="0" applyNumberFormat="1" applyFont="1"/>
    <xf numFmtId="0" fontId="10" fillId="0" borderId="0" xfId="0" applyFont="1" applyFill="1"/>
    <xf numFmtId="167" fontId="10" fillId="0" borderId="0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7" fontId="11" fillId="0" borderId="0" xfId="0" applyNumberFormat="1" applyFont="1"/>
    <xf numFmtId="2" fontId="0" fillId="0" borderId="0" xfId="0" applyNumberFormat="1"/>
    <xf numFmtId="0" fontId="10" fillId="0" borderId="0" xfId="2" applyFont="1"/>
    <xf numFmtId="0" fontId="5" fillId="0" borderId="0" xfId="2" applyFont="1"/>
    <xf numFmtId="167" fontId="5" fillId="0" borderId="0" xfId="2" applyNumberFormat="1" applyFont="1"/>
    <xf numFmtId="2" fontId="5" fillId="0" borderId="0" xfId="2" applyNumberFormat="1" applyFont="1"/>
    <xf numFmtId="165" fontId="5" fillId="0" borderId="0" xfId="2" applyNumberFormat="1" applyFont="1"/>
    <xf numFmtId="0" fontId="12" fillId="0" borderId="0" xfId="0" applyFont="1" applyAlignment="1" applyProtection="1">
      <alignment horizontal="right"/>
      <protection locked="0"/>
    </xf>
    <xf numFmtId="169" fontId="9" fillId="4" borderId="4" xfId="0" applyNumberFormat="1" applyFont="1" applyFill="1" applyBorder="1" applyAlignment="1" applyProtection="1">
      <alignment horizontal="center"/>
      <protection locked="0"/>
    </xf>
    <xf numFmtId="169" fontId="12" fillId="0" borderId="0" xfId="0" applyNumberFormat="1" applyFont="1" applyBorder="1" applyAlignment="1" applyProtection="1">
      <alignment horizontal="center"/>
      <protection locked="0"/>
    </xf>
    <xf numFmtId="169" fontId="9" fillId="0" borderId="11" xfId="0" applyNumberFormat="1" applyFont="1" applyBorder="1" applyAlignment="1" applyProtection="1">
      <alignment horizontal="left"/>
      <protection locked="0"/>
    </xf>
    <xf numFmtId="169" fontId="9" fillId="0" borderId="11" xfId="0" applyNumberFormat="1" applyFont="1" applyBorder="1" applyAlignment="1" applyProtection="1">
      <alignment horizontal="center"/>
      <protection locked="0"/>
    </xf>
    <xf numFmtId="170" fontId="9" fillId="4" borderId="4" xfId="0" applyNumberFormat="1" applyFont="1" applyFill="1" applyBorder="1" applyAlignment="1" applyProtection="1">
      <alignment horizontal="center"/>
      <protection locked="0"/>
    </xf>
    <xf numFmtId="169" fontId="9" fillId="0" borderId="2" xfId="0" applyNumberFormat="1" applyFont="1" applyBorder="1" applyAlignment="1" applyProtection="1">
      <alignment horizontal="left"/>
      <protection locked="0"/>
    </xf>
    <xf numFmtId="169" fontId="9" fillId="0" borderId="2" xfId="0" applyNumberFormat="1" applyFont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9" fillId="4" borderId="4" xfId="0" applyNumberFormat="1" applyFont="1" applyFill="1" applyBorder="1" applyAlignment="1" applyProtection="1">
      <alignment horizontal="center"/>
      <protection locked="0"/>
    </xf>
    <xf numFmtId="2" fontId="5" fillId="0" borderId="0" xfId="2" applyNumberFormat="1" applyFont="1" applyProtection="1">
      <protection locked="0"/>
    </xf>
    <xf numFmtId="0" fontId="5" fillId="0" borderId="0" xfId="2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Alignment="1" applyProtection="1">
      <alignment horizontal="right"/>
      <protection locked="0"/>
    </xf>
    <xf numFmtId="169" fontId="9" fillId="0" borderId="0" xfId="0" applyNumberFormat="1" applyFont="1" applyBorder="1" applyAlignment="1" applyProtection="1">
      <alignment horizontal="center"/>
      <protection locked="0"/>
    </xf>
    <xf numFmtId="2" fontId="5" fillId="0" borderId="0" xfId="2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5" fillId="0" borderId="0" xfId="2" applyFont="1" applyAlignment="1" applyProtection="1">
      <alignment horizontal="right"/>
    </xf>
    <xf numFmtId="167" fontId="5" fillId="0" borderId="11" xfId="2" applyNumberFormat="1" applyFont="1" applyBorder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165" fontId="5" fillId="0" borderId="0" xfId="2" applyNumberFormat="1" applyFont="1" applyProtection="1">
      <protection locked="0"/>
    </xf>
    <xf numFmtId="0" fontId="5" fillId="0" borderId="0" xfId="2" applyFont="1" applyProtection="1"/>
    <xf numFmtId="167" fontId="5" fillId="0" borderId="0" xfId="2" applyNumberFormat="1" applyFont="1" applyProtection="1"/>
    <xf numFmtId="2" fontId="5" fillId="0" borderId="0" xfId="2" applyNumberFormat="1" applyFont="1" applyProtection="1"/>
    <xf numFmtId="165" fontId="5" fillId="0" borderId="0" xfId="2" applyNumberFormat="1" applyFont="1" applyProtection="1"/>
    <xf numFmtId="0" fontId="5" fillId="0" borderId="30" xfId="2" applyFont="1" applyBorder="1" applyAlignment="1" applyProtection="1">
      <alignment horizontal="center"/>
    </xf>
    <xf numFmtId="167" fontId="5" fillId="0" borderId="31" xfId="2" applyNumberFormat="1" applyFont="1" applyBorder="1" applyAlignment="1">
      <alignment horizontal="center"/>
    </xf>
    <xf numFmtId="2" fontId="5" fillId="0" borderId="31" xfId="2" applyNumberFormat="1" applyFont="1" applyBorder="1" applyAlignment="1">
      <alignment horizontal="center"/>
    </xf>
    <xf numFmtId="165" fontId="5" fillId="0" borderId="31" xfId="2" applyNumberFormat="1" applyFont="1" applyBorder="1" applyAlignment="1">
      <alignment horizontal="center"/>
    </xf>
    <xf numFmtId="2" fontId="5" fillId="0" borderId="32" xfId="2" applyNumberFormat="1" applyFont="1" applyBorder="1" applyAlignment="1">
      <alignment horizontal="center"/>
    </xf>
    <xf numFmtId="0" fontId="5" fillId="0" borderId="33" xfId="2" applyFont="1" applyBorder="1" applyAlignment="1" applyProtection="1">
      <alignment horizontal="center" vertical="top"/>
    </xf>
    <xf numFmtId="167" fontId="5" fillId="0" borderId="9" xfId="2" applyNumberFormat="1" applyFont="1" applyBorder="1" applyAlignment="1">
      <alignment horizontal="center"/>
    </xf>
    <xf numFmtId="2" fontId="5" fillId="0" borderId="9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2" fontId="5" fillId="0" borderId="34" xfId="2" applyNumberFormat="1" applyFont="1" applyBorder="1" applyAlignment="1">
      <alignment horizontal="center"/>
    </xf>
    <xf numFmtId="0" fontId="5" fillId="0" borderId="35" xfId="2" applyFont="1" applyBorder="1" applyAlignment="1" applyProtection="1">
      <alignment horizontal="center"/>
    </xf>
    <xf numFmtId="167" fontId="5" fillId="0" borderId="36" xfId="2" applyNumberFormat="1" applyFont="1" applyBorder="1" applyAlignment="1">
      <alignment horizontal="center"/>
    </xf>
    <xf numFmtId="2" fontId="5" fillId="0" borderId="36" xfId="2" applyNumberFormat="1" applyFont="1" applyBorder="1" applyAlignment="1">
      <alignment horizontal="center"/>
    </xf>
    <xf numFmtId="165" fontId="5" fillId="0" borderId="36" xfId="2" applyNumberFormat="1" applyFont="1" applyBorder="1" applyAlignment="1">
      <alignment horizontal="center"/>
    </xf>
    <xf numFmtId="2" fontId="5" fillId="0" borderId="37" xfId="2" applyNumberFormat="1" applyFont="1" applyBorder="1" applyAlignment="1">
      <alignment horizontal="center"/>
    </xf>
    <xf numFmtId="0" fontId="5" fillId="0" borderId="38" xfId="2" applyFont="1" applyBorder="1" applyAlignment="1" applyProtection="1">
      <alignment horizontal="left"/>
    </xf>
    <xf numFmtId="2" fontId="5" fillId="0" borderId="12" xfId="3" applyNumberFormat="1" applyFont="1" applyBorder="1" applyAlignment="1" applyProtection="1">
      <alignment horizontal="center"/>
      <protection locked="0"/>
    </xf>
    <xf numFmtId="167" fontId="5" fillId="4" borderId="39" xfId="2" applyNumberFormat="1" applyFont="1" applyFill="1" applyBorder="1" applyAlignment="1" applyProtection="1">
      <alignment horizontal="center"/>
      <protection hidden="1"/>
    </xf>
    <xf numFmtId="167" fontId="5" fillId="4" borderId="12" xfId="2" applyNumberFormat="1" applyFont="1" applyFill="1" applyBorder="1" applyAlignment="1" applyProtection="1">
      <alignment horizontal="center"/>
      <protection hidden="1"/>
    </xf>
    <xf numFmtId="2" fontId="5" fillId="4" borderId="40" xfId="2" applyNumberFormat="1" applyFont="1" applyFill="1" applyBorder="1" applyAlignment="1" applyProtection="1">
      <alignment horizontal="center"/>
      <protection hidden="1"/>
    </xf>
    <xf numFmtId="0" fontId="5" fillId="0" borderId="41" xfId="2" applyFont="1" applyBorder="1" applyAlignment="1" applyProtection="1">
      <alignment horizontal="left"/>
    </xf>
    <xf numFmtId="2" fontId="5" fillId="4" borderId="42" xfId="2" applyNumberFormat="1" applyFont="1" applyFill="1" applyBorder="1" applyAlignment="1" applyProtection="1">
      <alignment horizontal="center"/>
      <protection hidden="1"/>
    </xf>
    <xf numFmtId="0" fontId="5" fillId="0" borderId="43" xfId="2" applyFont="1" applyBorder="1" applyAlignment="1" applyProtection="1">
      <alignment horizontal="left"/>
    </xf>
    <xf numFmtId="2" fontId="5" fillId="0" borderId="4" xfId="2" applyNumberFormat="1" applyFont="1" applyBorder="1" applyAlignment="1" applyProtection="1">
      <alignment horizontal="center"/>
      <protection locked="0"/>
    </xf>
    <xf numFmtId="0" fontId="5" fillId="0" borderId="35" xfId="2" applyFont="1" applyBorder="1" applyAlignment="1" applyProtection="1">
      <alignment horizontal="left"/>
    </xf>
    <xf numFmtId="2" fontId="5" fillId="0" borderId="36" xfId="2" applyNumberFormat="1" applyFont="1" applyBorder="1" applyAlignment="1" applyProtection="1">
      <alignment horizontal="center"/>
      <protection locked="0"/>
    </xf>
    <xf numFmtId="167" fontId="2" fillId="4" borderId="44" xfId="2" applyNumberFormat="1" applyFont="1" applyFill="1" applyBorder="1" applyAlignment="1" applyProtection="1">
      <alignment horizontal="center"/>
      <protection hidden="1"/>
    </xf>
    <xf numFmtId="2" fontId="2" fillId="4" borderId="44" xfId="2" applyNumberFormat="1" applyFont="1" applyFill="1" applyBorder="1" applyAlignment="1" applyProtection="1">
      <alignment horizontal="center"/>
      <protection hidden="1"/>
    </xf>
    <xf numFmtId="2" fontId="2" fillId="4" borderId="45" xfId="2" applyNumberFormat="1" applyFont="1" applyFill="1" applyBorder="1" applyAlignment="1" applyProtection="1">
      <alignment horizontal="center"/>
      <protection hidden="1"/>
    </xf>
    <xf numFmtId="0" fontId="5" fillId="0" borderId="33" xfId="2" applyFont="1" applyBorder="1" applyAlignment="1" applyProtection="1">
      <alignment horizontal="center"/>
    </xf>
    <xf numFmtId="167" fontId="2" fillId="4" borderId="4" xfId="2" applyNumberFormat="1" applyFont="1" applyFill="1" applyBorder="1" applyAlignment="1" applyProtection="1">
      <alignment horizontal="center"/>
      <protection hidden="1"/>
    </xf>
    <xf numFmtId="2" fontId="2" fillId="4" borderId="4" xfId="2" applyNumberFormat="1" applyFont="1" applyFill="1" applyBorder="1" applyAlignment="1" applyProtection="1">
      <alignment horizontal="center"/>
      <protection hidden="1"/>
    </xf>
    <xf numFmtId="2" fontId="2" fillId="4" borderId="46" xfId="2" applyNumberFormat="1" applyFont="1" applyFill="1" applyBorder="1" applyAlignment="1" applyProtection="1">
      <alignment horizontal="center"/>
      <protection hidden="1"/>
    </xf>
    <xf numFmtId="167" fontId="2" fillId="4" borderId="47" xfId="2" applyNumberFormat="1" applyFont="1" applyFill="1" applyBorder="1" applyAlignment="1" applyProtection="1">
      <alignment horizontal="center"/>
      <protection hidden="1"/>
    </xf>
    <xf numFmtId="2" fontId="2" fillId="4" borderId="47" xfId="2" applyNumberFormat="1" applyFont="1" applyFill="1" applyBorder="1" applyAlignment="1" applyProtection="1">
      <alignment horizontal="center"/>
      <protection hidden="1"/>
    </xf>
    <xf numFmtId="2" fontId="2" fillId="4" borderId="48" xfId="2" applyNumberFormat="1" applyFont="1" applyFill="1" applyBorder="1" applyAlignment="1" applyProtection="1">
      <alignment horizontal="center"/>
      <protection hidden="1"/>
    </xf>
    <xf numFmtId="2" fontId="5" fillId="0" borderId="0" xfId="2" applyNumberFormat="1" applyFont="1" applyAlignment="1">
      <alignment horizontal="center"/>
    </xf>
    <xf numFmtId="169" fontId="9" fillId="0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9" fontId="0" fillId="4" borderId="4" xfId="0" applyNumberFormat="1" applyFill="1" applyBorder="1" applyAlignment="1" applyProtection="1">
      <alignment horizontal="center"/>
      <protection locked="0"/>
    </xf>
    <xf numFmtId="169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4" applyProtection="1"/>
    <xf numFmtId="0" fontId="16" fillId="0" borderId="11" xfId="0" applyNumberFormat="1" applyFont="1" applyBorder="1" applyAlignment="1" applyProtection="1">
      <alignment horizontal="center"/>
      <protection locked="0"/>
    </xf>
    <xf numFmtId="170" fontId="0" fillId="4" borderId="4" xfId="0" quotePrefix="1" applyNumberFormat="1" applyFill="1" applyBorder="1" applyAlignment="1" applyProtection="1">
      <alignment horizontal="center"/>
      <protection locked="0"/>
    </xf>
    <xf numFmtId="170" fontId="0" fillId="0" borderId="0" xfId="0" applyNumberFormat="1" applyFill="1" applyBorder="1" applyAlignment="1" applyProtection="1">
      <alignment horizontal="center"/>
      <protection locked="0"/>
    </xf>
    <xf numFmtId="169" fontId="16" fillId="0" borderId="2" xfId="0" applyNumberFormat="1" applyFont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5" fillId="0" borderId="0" xfId="2" applyProtection="1"/>
    <xf numFmtId="0" fontId="9" fillId="0" borderId="0" xfId="4" applyFont="1" applyProtection="1"/>
    <xf numFmtId="0" fontId="5" fillId="0" borderId="30" xfId="2" applyBorder="1" applyAlignment="1" applyProtection="1">
      <alignment horizontal="center"/>
    </xf>
    <xf numFmtId="0" fontId="5" fillId="0" borderId="49" xfId="2" applyBorder="1" applyAlignment="1" applyProtection="1">
      <alignment horizontal="center"/>
    </xf>
    <xf numFmtId="0" fontId="5" fillId="0" borderId="50" xfId="2" applyBorder="1" applyProtection="1"/>
    <xf numFmtId="0" fontId="5" fillId="0" borderId="32" xfId="2" applyBorder="1" applyProtection="1"/>
    <xf numFmtId="0" fontId="5" fillId="0" borderId="33" xfId="2" applyBorder="1" applyAlignment="1" applyProtection="1">
      <alignment horizontal="center"/>
    </xf>
    <xf numFmtId="0" fontId="5" fillId="0" borderId="29" xfId="2" applyBorder="1" applyAlignment="1" applyProtection="1">
      <alignment horizontal="center"/>
    </xf>
    <xf numFmtId="0" fontId="5" fillId="0" borderId="0" xfId="2" applyBorder="1" applyProtection="1"/>
    <xf numFmtId="0" fontId="5" fillId="0" borderId="34" xfId="2" applyBorder="1" applyProtection="1"/>
    <xf numFmtId="0" fontId="5" fillId="0" borderId="51" xfId="2" applyBorder="1" applyProtection="1"/>
    <xf numFmtId="171" fontId="5" fillId="4" borderId="38" xfId="2" applyNumberFormat="1" applyFill="1" applyBorder="1" applyAlignment="1" applyProtection="1">
      <alignment horizontal="center"/>
    </xf>
    <xf numFmtId="2" fontId="5" fillId="0" borderId="52" xfId="2" applyNumberFormat="1" applyBorder="1" applyAlignment="1" applyProtection="1">
      <alignment horizontal="center"/>
      <protection locked="0"/>
    </xf>
    <xf numFmtId="2" fontId="2" fillId="4" borderId="10" xfId="2" applyNumberFormat="1" applyFont="1" applyFill="1" applyBorder="1" applyAlignment="1" applyProtection="1">
      <alignment horizontal="right"/>
    </xf>
    <xf numFmtId="2" fontId="5" fillId="4" borderId="40" xfId="2" applyNumberFormat="1" applyFill="1" applyBorder="1" applyProtection="1"/>
    <xf numFmtId="171" fontId="5" fillId="4" borderId="43" xfId="2" applyNumberFormat="1" applyFill="1" applyBorder="1" applyAlignment="1" applyProtection="1">
      <alignment horizontal="center"/>
    </xf>
    <xf numFmtId="2" fontId="5" fillId="0" borderId="1" xfId="2" applyNumberFormat="1" applyBorder="1" applyAlignment="1" applyProtection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right"/>
    </xf>
    <xf numFmtId="2" fontId="5" fillId="4" borderId="53" xfId="2" applyNumberFormat="1" applyFill="1" applyBorder="1" applyProtection="1"/>
    <xf numFmtId="171" fontId="5" fillId="4" borderId="54" xfId="2" applyNumberFormat="1" applyFill="1" applyBorder="1" applyAlignment="1" applyProtection="1">
      <alignment horizontal="center"/>
    </xf>
    <xf numFmtId="2" fontId="2" fillId="4" borderId="55" xfId="2" applyNumberFormat="1" applyFont="1" applyFill="1" applyBorder="1" applyAlignment="1" applyProtection="1">
      <alignment horizontal="right"/>
    </xf>
    <xf numFmtId="2" fontId="5" fillId="4" borderId="56" xfId="2" applyNumberFormat="1" applyFill="1" applyBorder="1" applyProtection="1"/>
    <xf numFmtId="0" fontId="5" fillId="4" borderId="57" xfId="2" applyFill="1" applyBorder="1" applyProtection="1"/>
    <xf numFmtId="2" fontId="5" fillId="4" borderId="58" xfId="2" applyNumberFormat="1" applyFill="1" applyBorder="1" applyProtection="1"/>
    <xf numFmtId="2" fontId="5" fillId="4" borderId="37" xfId="2" applyNumberFormat="1" applyFill="1" applyBorder="1" applyProtection="1"/>
    <xf numFmtId="171" fontId="5" fillId="4" borderId="35" xfId="2" applyNumberFormat="1" applyFill="1" applyBorder="1" applyAlignment="1" applyProtection="1">
      <alignment horizontal="center"/>
    </xf>
    <xf numFmtId="2" fontId="2" fillId="4" borderId="51" xfId="2" applyNumberFormat="1" applyFont="1" applyFill="1" applyBorder="1" applyAlignment="1" applyProtection="1">
      <alignment horizontal="right"/>
    </xf>
    <xf numFmtId="0" fontId="5" fillId="0" borderId="49" xfId="2" applyBorder="1" applyProtection="1"/>
    <xf numFmtId="0" fontId="5" fillId="0" borderId="31" xfId="2" applyBorder="1" applyAlignment="1" applyProtection="1">
      <alignment horizontal="center"/>
    </xf>
    <xf numFmtId="0" fontId="5" fillId="0" borderId="31" xfId="2" applyBorder="1" applyProtection="1"/>
    <xf numFmtId="0" fontId="5" fillId="0" borderId="29" xfId="2" applyBorder="1" applyProtection="1"/>
    <xf numFmtId="0" fontId="5" fillId="0" borderId="9" xfId="2" applyBorder="1" applyAlignment="1" applyProtection="1">
      <alignment horizontal="center"/>
    </xf>
    <xf numFmtId="0" fontId="5" fillId="0" borderId="9" xfId="2" applyBorder="1" applyProtection="1"/>
    <xf numFmtId="0" fontId="5" fillId="0" borderId="35" xfId="2" applyBorder="1" applyAlignment="1" applyProtection="1">
      <alignment horizontal="center"/>
    </xf>
    <xf numFmtId="0" fontId="5" fillId="0" borderId="59" xfId="2" applyBorder="1" applyProtection="1"/>
    <xf numFmtId="0" fontId="5" fillId="0" borderId="36" xfId="2" applyBorder="1" applyAlignment="1" applyProtection="1">
      <alignment horizontal="center"/>
    </xf>
    <xf numFmtId="0" fontId="5" fillId="0" borderId="58" xfId="2" applyBorder="1" applyProtection="1"/>
    <xf numFmtId="0" fontId="5" fillId="0" borderId="36" xfId="2" applyBorder="1" applyProtection="1"/>
    <xf numFmtId="0" fontId="5" fillId="0" borderId="37" xfId="2" applyBorder="1" applyProtection="1"/>
    <xf numFmtId="172" fontId="5" fillId="0" borderId="43" xfId="2" quotePrefix="1" applyNumberFormat="1" applyBorder="1" applyAlignment="1" applyProtection="1">
      <alignment horizontal="center"/>
      <protection locked="0"/>
    </xf>
    <xf numFmtId="0" fontId="5" fillId="0" borderId="4" xfId="2" applyBorder="1" applyAlignment="1" applyProtection="1">
      <alignment horizontal="center"/>
      <protection locked="0"/>
    </xf>
    <xf numFmtId="167" fontId="5" fillId="0" borderId="4" xfId="2" applyNumberFormat="1" applyBorder="1" applyAlignment="1" applyProtection="1">
      <alignment horizontal="center"/>
      <protection locked="0"/>
    </xf>
    <xf numFmtId="0" fontId="5" fillId="0" borderId="52" xfId="2" quotePrefix="1" applyBorder="1" applyAlignment="1" applyProtection="1">
      <alignment horizontal="center"/>
      <protection locked="0"/>
    </xf>
    <xf numFmtId="0" fontId="5" fillId="0" borderId="39" xfId="2" quotePrefix="1" applyBorder="1" applyAlignment="1" applyProtection="1">
      <alignment horizontal="center"/>
      <protection locked="0"/>
    </xf>
    <xf numFmtId="172" fontId="5" fillId="0" borderId="4" xfId="2" applyNumberFormat="1" applyBorder="1" applyAlignment="1" applyProtection="1">
      <alignment horizontal="center"/>
      <protection locked="0"/>
    </xf>
    <xf numFmtId="172" fontId="5" fillId="0" borderId="52" xfId="2" applyNumberFormat="1" applyBorder="1" applyAlignment="1" applyProtection="1">
      <alignment horizontal="center"/>
      <protection locked="0"/>
    </xf>
    <xf numFmtId="172" fontId="5" fillId="0" borderId="40" xfId="2" applyNumberFormat="1" applyBorder="1" applyAlignment="1" applyProtection="1">
      <alignment horizontal="center"/>
      <protection locked="0"/>
    </xf>
    <xf numFmtId="167" fontId="5" fillId="0" borderId="4" xfId="2" quotePrefix="1" applyNumberFormat="1" applyBorder="1" applyAlignment="1" applyProtection="1">
      <alignment horizontal="center"/>
      <protection locked="0"/>
    </xf>
    <xf numFmtId="0" fontId="5" fillId="0" borderId="1" xfId="2" quotePrefix="1" applyBorder="1" applyAlignment="1" applyProtection="1">
      <alignment horizontal="center"/>
      <protection locked="0"/>
    </xf>
    <xf numFmtId="0" fontId="5" fillId="0" borderId="3" xfId="2" quotePrefix="1" applyBorder="1" applyAlignment="1" applyProtection="1">
      <alignment horizontal="center"/>
      <protection locked="0"/>
    </xf>
    <xf numFmtId="172" fontId="5" fillId="0" borderId="4" xfId="2" quotePrefix="1" applyNumberFormat="1" applyBorder="1" applyAlignment="1" applyProtection="1">
      <alignment horizontal="center"/>
      <protection locked="0"/>
    </xf>
    <xf numFmtId="172" fontId="5" fillId="0" borderId="1" xfId="2" quotePrefix="1" applyNumberFormat="1" applyBorder="1" applyAlignment="1" applyProtection="1">
      <alignment horizontal="center"/>
      <protection locked="0"/>
    </xf>
    <xf numFmtId="172" fontId="5" fillId="0" borderId="53" xfId="2" quotePrefix="1" applyNumberFormat="1" applyBorder="1" applyAlignment="1" applyProtection="1">
      <alignment horizontal="center"/>
      <protection locked="0"/>
    </xf>
    <xf numFmtId="172" fontId="5" fillId="0" borderId="35" xfId="2" applyNumberFormat="1" applyBorder="1" applyAlignment="1" applyProtection="1">
      <alignment horizontal="center"/>
      <protection locked="0"/>
    </xf>
    <xf numFmtId="0" fontId="5" fillId="0" borderId="59" xfId="2" applyBorder="1" applyAlignment="1" applyProtection="1">
      <alignment horizontal="center"/>
      <protection locked="0"/>
    </xf>
    <xf numFmtId="167" fontId="5" fillId="0" borderId="36" xfId="2" applyNumberFormat="1" applyBorder="1" applyAlignment="1" applyProtection="1">
      <alignment horizontal="center"/>
      <protection locked="0"/>
    </xf>
    <xf numFmtId="0" fontId="5" fillId="0" borderId="55" xfId="2" applyBorder="1" applyAlignment="1" applyProtection="1">
      <alignment horizontal="center"/>
      <protection locked="0"/>
    </xf>
    <xf numFmtId="0" fontId="5" fillId="0" borderId="60" xfId="2" applyBorder="1" applyAlignment="1" applyProtection="1">
      <alignment horizontal="center"/>
      <protection locked="0"/>
    </xf>
    <xf numFmtId="172" fontId="5" fillId="0" borderId="59" xfId="2" applyNumberFormat="1" applyBorder="1" applyAlignment="1" applyProtection="1">
      <alignment horizontal="center"/>
      <protection locked="0"/>
    </xf>
    <xf numFmtId="172" fontId="5" fillId="0" borderId="55" xfId="2" applyNumberFormat="1" applyBorder="1" applyAlignment="1" applyProtection="1">
      <alignment horizontal="center"/>
      <protection locked="0"/>
    </xf>
    <xf numFmtId="172" fontId="5" fillId="0" borderId="56" xfId="2" applyNumberFormat="1" applyBorder="1" applyAlignment="1" applyProtection="1">
      <alignment horizontal="center"/>
      <protection locked="0"/>
    </xf>
    <xf numFmtId="0" fontId="5" fillId="0" borderId="61" xfId="2" applyBorder="1" applyProtection="1"/>
    <xf numFmtId="0" fontId="5" fillId="0" borderId="62" xfId="2" applyBorder="1" applyProtection="1"/>
    <xf numFmtId="0" fontId="5" fillId="0" borderId="39" xfId="2" applyBorder="1" applyAlignment="1" applyProtection="1">
      <alignment horizontal="right"/>
    </xf>
    <xf numFmtId="0" fontId="5" fillId="0" borderId="40" xfId="2" applyBorder="1" applyAlignment="1" applyProtection="1">
      <alignment horizontal="left"/>
      <protection locked="0"/>
    </xf>
    <xf numFmtId="0" fontId="5" fillId="0" borderId="63" xfId="2" applyBorder="1" applyProtection="1"/>
    <xf numFmtId="0" fontId="5" fillId="0" borderId="11" xfId="2" applyBorder="1" applyProtection="1"/>
    <xf numFmtId="0" fontId="5" fillId="0" borderId="12" xfId="2" applyBorder="1" applyAlignment="1" applyProtection="1">
      <alignment horizontal="right"/>
    </xf>
    <xf numFmtId="0" fontId="5" fillId="0" borderId="42" xfId="2" applyBorder="1" applyAlignment="1" applyProtection="1">
      <alignment horizontal="left"/>
      <protection locked="0"/>
    </xf>
    <xf numFmtId="0" fontId="5" fillId="0" borderId="57" xfId="2" applyBorder="1" applyProtection="1"/>
    <xf numFmtId="0" fontId="5" fillId="0" borderId="36" xfId="2" applyBorder="1" applyAlignment="1" applyProtection="1">
      <alignment horizontal="right"/>
    </xf>
    <xf numFmtId="0" fontId="5" fillId="0" borderId="37" xfId="2" applyBorder="1" applyAlignment="1" applyProtection="1">
      <alignment horizontal="left"/>
      <protection locked="0"/>
    </xf>
    <xf numFmtId="2" fontId="2" fillId="4" borderId="11" xfId="2" applyNumberFormat="1" applyFont="1" applyFill="1" applyBorder="1" applyProtection="1"/>
    <xf numFmtId="2" fontId="5" fillId="0" borderId="11" xfId="2" applyNumberFormat="1" applyBorder="1" applyProtection="1">
      <protection locked="0"/>
    </xf>
    <xf numFmtId="0" fontId="5" fillId="0" borderId="0" xfId="2" applyProtection="1">
      <protection locked="0" hidden="1"/>
    </xf>
    <xf numFmtId="0" fontId="5" fillId="0" borderId="0" xfId="2" applyAlignment="1" applyProtection="1">
      <alignment horizontal="right"/>
      <protection locked="0" hidden="1"/>
    </xf>
  </cellXfs>
  <cellStyles count="5">
    <cellStyle name="Comma" xfId="1" builtinId="3"/>
    <cellStyle name="Normal" xfId="0" builtinId="0"/>
    <cellStyle name="Normal_CT_unprotectedMaster" xfId="4"/>
    <cellStyle name="Normal_CT-BASIN (MASTER COPY)" xfId="3"/>
    <cellStyle name="Normal_OctoberCT" xfId="2"/>
  </cellStyles>
  <dxfs count="27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62</xdr:row>
      <xdr:rowOff>19050</xdr:rowOff>
    </xdr:to>
    <xdr:pic>
      <xdr:nvPicPr>
        <xdr:cNvPr id="2" name="Picture 1" descr="Document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72400" cy="857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 Monthly Summary"/>
      <sheetName val="Turbidity Daily Data Sheet"/>
      <sheetName val="Unit(1) DI Testing"/>
      <sheetName val="Unit(2) DI Testing"/>
      <sheetName val="Unit(3) DI Testing"/>
      <sheetName val="Unit(4) DI Testing"/>
      <sheetName val="Operational Worksheet"/>
      <sheetName val="Disinfection Report"/>
      <sheetName val="Sequence 1"/>
      <sheetName val="Sequence 2"/>
      <sheetName val="CT Description"/>
      <sheetName val="Parameters"/>
      <sheetName val="IncuityInfo"/>
      <sheetName val="Raw_Data"/>
      <sheetName val="Raw_Data_2"/>
      <sheetName val="Raw_Data_3"/>
    </sheetNames>
    <sheetDataSet>
      <sheetData sheetId="0">
        <row r="5">
          <cell r="F5">
            <v>11</v>
          </cell>
        </row>
      </sheetData>
      <sheetData sheetId="1">
        <row r="17">
          <cell r="B17">
            <v>42310</v>
          </cell>
        </row>
        <row r="18">
          <cell r="B18">
            <v>42311</v>
          </cell>
        </row>
        <row r="19">
          <cell r="B19">
            <v>42312</v>
          </cell>
        </row>
        <row r="20">
          <cell r="B20">
            <v>42313</v>
          </cell>
        </row>
        <row r="21">
          <cell r="B21">
            <v>42314</v>
          </cell>
        </row>
        <row r="22">
          <cell r="B22">
            <v>42315</v>
          </cell>
        </row>
        <row r="23">
          <cell r="B23">
            <v>42316</v>
          </cell>
        </row>
        <row r="24">
          <cell r="B24">
            <v>42317</v>
          </cell>
        </row>
        <row r="25">
          <cell r="B25">
            <v>42318</v>
          </cell>
        </row>
        <row r="26">
          <cell r="B26">
            <v>42319</v>
          </cell>
        </row>
        <row r="27">
          <cell r="B27">
            <v>42320</v>
          </cell>
        </row>
        <row r="28">
          <cell r="B28">
            <v>42321</v>
          </cell>
        </row>
        <row r="29">
          <cell r="B29">
            <v>42322</v>
          </cell>
        </row>
        <row r="30">
          <cell r="B30">
            <v>42323</v>
          </cell>
        </row>
        <row r="31">
          <cell r="B31">
            <v>42324</v>
          </cell>
        </row>
        <row r="32">
          <cell r="B32">
            <v>42325</v>
          </cell>
        </row>
        <row r="33">
          <cell r="B33">
            <v>42326</v>
          </cell>
        </row>
        <row r="34">
          <cell r="B34">
            <v>42327</v>
          </cell>
        </row>
        <row r="35">
          <cell r="B35">
            <v>42328</v>
          </cell>
        </row>
        <row r="36">
          <cell r="B36">
            <v>42329</v>
          </cell>
        </row>
        <row r="37">
          <cell r="B37">
            <v>42330</v>
          </cell>
        </row>
        <row r="38">
          <cell r="B38">
            <v>42331</v>
          </cell>
        </row>
        <row r="39">
          <cell r="B39">
            <v>42332</v>
          </cell>
        </row>
        <row r="40">
          <cell r="B40">
            <v>42333</v>
          </cell>
        </row>
        <row r="41">
          <cell r="B41">
            <v>42334</v>
          </cell>
        </row>
        <row r="42">
          <cell r="B42">
            <v>42335</v>
          </cell>
        </row>
        <row r="43">
          <cell r="B43">
            <v>42336</v>
          </cell>
        </row>
        <row r="44">
          <cell r="B44">
            <v>42337</v>
          </cell>
        </row>
        <row r="45">
          <cell r="B45">
            <v>42338</v>
          </cell>
        </row>
        <row r="46">
          <cell r="B46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0"/>
  <sheetViews>
    <sheetView tabSelected="1" workbookViewId="0"/>
  </sheetViews>
  <sheetFormatPr defaultRowHeight="15" x14ac:dyDescent="0.25"/>
  <cols>
    <col min="1" max="4" width="1.7109375" customWidth="1"/>
    <col min="5" max="5" width="1.5703125" customWidth="1"/>
    <col min="6" max="10" width="1.7109375" customWidth="1"/>
    <col min="11" max="11" width="3.42578125" customWidth="1"/>
    <col min="12" max="12" width="1.7109375" customWidth="1"/>
    <col min="13" max="13" width="0.5703125" customWidth="1"/>
    <col min="14" max="19" width="1.7109375" customWidth="1"/>
    <col min="20" max="20" width="1.140625" customWidth="1"/>
    <col min="21" max="22" width="1.7109375" customWidth="1"/>
    <col min="23" max="23" width="3.42578125" customWidth="1"/>
    <col min="24" max="24" width="2.42578125" customWidth="1"/>
    <col min="25" max="27" width="1.7109375" customWidth="1"/>
    <col min="28" max="28" width="3" customWidth="1"/>
    <col min="29" max="60" width="1.7109375" customWidth="1"/>
  </cols>
  <sheetData>
    <row r="1" spans="1:58" ht="12.7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12.75" customHeight="1" x14ac:dyDescent="0.25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2.75" customHeight="1" x14ac:dyDescent="0.25">
      <c r="A3" s="1"/>
      <c r="B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2.75" customHeight="1" x14ac:dyDescent="0.25">
      <c r="A4" s="1"/>
    </row>
    <row r="5" spans="1:58" ht="12.75" customHeight="1" x14ac:dyDescent="0.25">
      <c r="A5" s="1"/>
      <c r="B5" s="5" t="s">
        <v>3</v>
      </c>
      <c r="C5" s="5"/>
      <c r="D5" s="5"/>
      <c r="E5" s="5"/>
      <c r="F5" s="6">
        <v>11</v>
      </c>
      <c r="G5" s="5"/>
      <c r="H5" s="5"/>
      <c r="I5" s="5"/>
      <c r="J5" s="5"/>
      <c r="K5" s="5"/>
      <c r="L5" s="7" t="s">
        <v>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 t="s">
        <v>5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 t="s">
        <v>6</v>
      </c>
      <c r="AW5" s="5"/>
      <c r="AX5" s="5"/>
      <c r="AY5" s="5"/>
      <c r="AZ5" s="6">
        <v>22011</v>
      </c>
      <c r="BA5" s="8"/>
      <c r="BB5" s="8"/>
      <c r="BC5" s="8"/>
      <c r="BD5" s="8"/>
      <c r="BE5" s="8"/>
      <c r="BF5" s="8"/>
    </row>
    <row r="6" spans="1:58" ht="12.75" customHeight="1" x14ac:dyDescent="0.25">
      <c r="A6" s="1"/>
      <c r="B6" s="5" t="s">
        <v>7</v>
      </c>
      <c r="C6" s="5"/>
      <c r="D6" s="5"/>
      <c r="E6" s="5"/>
      <c r="F6" s="6">
        <v>2015</v>
      </c>
      <c r="G6" s="6"/>
      <c r="H6" s="6"/>
      <c r="I6" s="6"/>
      <c r="J6" s="6"/>
      <c r="K6" s="6"/>
      <c r="L6" s="9" t="s">
        <v>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6" t="s">
        <v>9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58" ht="12.75" customHeight="1" x14ac:dyDescent="0.25">
      <c r="A7" s="1"/>
    </row>
    <row r="8" spans="1:58" ht="12.75" customHeight="1" x14ac:dyDescent="0.25">
      <c r="A8" s="1"/>
      <c r="B8" s="11" t="s">
        <v>10</v>
      </c>
    </row>
    <row r="9" spans="1:58" ht="12.75" customHeight="1" x14ac:dyDescent="0.25">
      <c r="A9" s="1"/>
      <c r="B9" s="11"/>
    </row>
    <row r="10" spans="1:58" ht="12.75" customHeight="1" x14ac:dyDescent="0.25">
      <c r="A10" s="1"/>
      <c r="B10" s="7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2">
        <f>COUNTIF('Turbidity Daily Data Sheet'!C16:H46,"&gt;0")</f>
        <v>180</v>
      </c>
      <c r="AR10" s="8"/>
      <c r="AS10" s="8"/>
      <c r="AT10" s="8"/>
      <c r="AU10" s="8"/>
      <c r="AV10" s="8"/>
    </row>
    <row r="11" spans="1:58" ht="12.75" customHeight="1" x14ac:dyDescent="0.25">
      <c r="A11" s="1"/>
      <c r="B11" s="7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12">
        <f>COUNTIF('Turbidity Daily Data Sheet'!C16:H46,"&lt;0.3")</f>
        <v>180</v>
      </c>
      <c r="AX11" s="8"/>
      <c r="AY11" s="8"/>
      <c r="AZ11" s="8"/>
      <c r="BA11" s="8"/>
      <c r="BB11" s="8"/>
    </row>
    <row r="12" spans="1:58" ht="12.75" customHeight="1" x14ac:dyDescent="0.25">
      <c r="A12" s="1"/>
      <c r="B12" s="7" t="s">
        <v>13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3">
        <f>IF(AND(ISNUMBER(AQ10),ISNUMBER(AW11)),AW11/AQ10*100,"XX.XX")</f>
        <v>100</v>
      </c>
      <c r="AS12" s="14"/>
      <c r="AT12" s="14"/>
      <c r="AU12" s="14"/>
      <c r="AV12" s="14"/>
      <c r="AW12" s="14"/>
      <c r="AX12" s="15" t="s">
        <v>14</v>
      </c>
    </row>
    <row r="13" spans="1:58" ht="12.75" customHeight="1" x14ac:dyDescent="0.25">
      <c r="A13" s="1"/>
      <c r="B13" s="7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8" ht="12.75" customHeight="1" x14ac:dyDescent="0.25">
      <c r="A14" s="1"/>
      <c r="B14" s="16" t="s">
        <v>16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8">
        <v>31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8" ht="12.75" customHeight="1" x14ac:dyDescent="0.25">
      <c r="A15" s="1"/>
    </row>
    <row r="16" spans="1:58" ht="12.75" customHeight="1" x14ac:dyDescent="0.25">
      <c r="A16" s="1"/>
      <c r="F16" s="19" t="s">
        <v>17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1"/>
      <c r="V16" s="22" t="s">
        <v>18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  <c r="AI16" s="22" t="s">
        <v>19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</row>
    <row r="17" spans="1:58" ht="12.75" customHeight="1" x14ac:dyDescent="0.25">
      <c r="A17" s="1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3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5"/>
      <c r="AI17" s="23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8" ht="12.75" customHeight="1" x14ac:dyDescent="0.25">
      <c r="A18" s="1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3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5"/>
      <c r="AI18" s="23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8" ht="12.75" customHeight="1" x14ac:dyDescent="0.25">
      <c r="A19" s="1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3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5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8" ht="12.75" customHeight="1" x14ac:dyDescent="0.25">
      <c r="A20" s="1"/>
    </row>
    <row r="21" spans="1:58" ht="12.75" customHeight="1" x14ac:dyDescent="0.25">
      <c r="A21" s="1"/>
    </row>
    <row r="22" spans="1:58" ht="12.75" customHeight="1" x14ac:dyDescent="0.25">
      <c r="A22" s="1"/>
      <c r="B22" s="26" t="s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58" ht="12.75" customHeight="1" x14ac:dyDescent="0.25">
      <c r="A23" s="1"/>
      <c r="B23" s="27" t="s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 spans="1:58" ht="12.75" customHeight="1" x14ac:dyDescent="0.25">
      <c r="A24" s="1"/>
      <c r="B24" s="28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  <row r="25" spans="1:58" ht="12.75" customHeight="1" x14ac:dyDescent="0.2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1:58" ht="12.75" customHeight="1" x14ac:dyDescent="0.25">
      <c r="A26" s="1"/>
    </row>
    <row r="27" spans="1:58" ht="12.75" customHeight="1" x14ac:dyDescent="0.25">
      <c r="A27" s="1"/>
      <c r="B27" s="30" t="s">
        <v>23</v>
      </c>
      <c r="C27" s="31"/>
      <c r="D27" s="31"/>
      <c r="E27" s="31"/>
      <c r="F27" s="32" t="s">
        <v>24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0" t="s">
        <v>23</v>
      </c>
      <c r="V27" s="31"/>
      <c r="W27" s="31"/>
      <c r="X27" s="31"/>
      <c r="Y27" s="32" t="s">
        <v>24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0" t="s">
        <v>23</v>
      </c>
      <c r="AO27" s="31"/>
      <c r="AP27" s="31"/>
      <c r="AQ27" s="31"/>
      <c r="AR27" s="32" t="s">
        <v>24</v>
      </c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</row>
    <row r="28" spans="1:58" ht="12.75" customHeight="1" x14ac:dyDescent="0.25">
      <c r="A28" s="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</row>
    <row r="29" spans="1:58" ht="12.75" customHeight="1" x14ac:dyDescent="0.25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</row>
    <row r="30" spans="1:58" ht="12.75" customHeight="1" x14ac:dyDescent="0.25">
      <c r="A30" s="1"/>
      <c r="B30" s="33">
        <v>42309</v>
      </c>
      <c r="C30" s="33">
        <v>42309</v>
      </c>
      <c r="D30" s="33">
        <v>42309</v>
      </c>
      <c r="E30" s="33">
        <v>42309</v>
      </c>
      <c r="F30" s="34">
        <v>2.228571891784668</v>
      </c>
      <c r="G30" s="35">
        <v>2.228571891784668</v>
      </c>
      <c r="H30" s="35">
        <v>2.228571891784668</v>
      </c>
      <c r="I30" s="35">
        <v>2.228571891784668</v>
      </c>
      <c r="J30" s="35">
        <v>2.228571891784668</v>
      </c>
      <c r="K30" s="35">
        <v>2.228571891784668</v>
      </c>
      <c r="L30" s="35">
        <v>2.228571891784668</v>
      </c>
      <c r="M30" s="35">
        <v>2.228571891784668</v>
      </c>
      <c r="N30" s="35">
        <v>2.228571891784668</v>
      </c>
      <c r="O30" s="35">
        <v>2.228571891784668</v>
      </c>
      <c r="P30" s="35">
        <v>2.228571891784668</v>
      </c>
      <c r="Q30" s="35">
        <v>2.228571891784668</v>
      </c>
      <c r="R30" s="35">
        <v>2.228571891784668</v>
      </c>
      <c r="S30" s="35">
        <v>2.228571891784668</v>
      </c>
      <c r="T30" s="36">
        <v>2.228571891784668</v>
      </c>
      <c r="U30" s="37">
        <f>B39+1</f>
        <v>42319</v>
      </c>
      <c r="V30" s="37"/>
      <c r="W30" s="37"/>
      <c r="X30" s="37"/>
      <c r="Y30" s="34">
        <v>2.4897909164428711</v>
      </c>
      <c r="Z30" s="35">
        <v>2.4897909164428711</v>
      </c>
      <c r="AA30" s="35">
        <v>2.4897909164428711</v>
      </c>
      <c r="AB30" s="35">
        <v>2.4897909164428711</v>
      </c>
      <c r="AC30" s="35">
        <v>2.4897909164428711</v>
      </c>
      <c r="AD30" s="35">
        <v>2.4897909164428711</v>
      </c>
      <c r="AE30" s="35">
        <v>2.4897909164428711</v>
      </c>
      <c r="AF30" s="35">
        <v>2.4897909164428711</v>
      </c>
      <c r="AG30" s="35">
        <v>2.4897909164428711</v>
      </c>
      <c r="AH30" s="35">
        <v>2.4897909164428711</v>
      </c>
      <c r="AI30" s="35">
        <v>2.4897909164428711</v>
      </c>
      <c r="AJ30" s="35">
        <v>2.4897909164428711</v>
      </c>
      <c r="AK30" s="35">
        <v>2.4897909164428711</v>
      </c>
      <c r="AL30" s="35">
        <v>2.4897909164428711</v>
      </c>
      <c r="AM30" s="36">
        <v>2.4897909164428711</v>
      </c>
      <c r="AN30" s="37">
        <f>U39+1</f>
        <v>42329</v>
      </c>
      <c r="AO30" s="38"/>
      <c r="AP30" s="38"/>
      <c r="AQ30" s="38"/>
      <c r="AR30" s="34">
        <v>2.1669321060180664</v>
      </c>
      <c r="AS30" s="35">
        <v>2.1669321060180664</v>
      </c>
      <c r="AT30" s="35">
        <v>2.1669321060180664</v>
      </c>
      <c r="AU30" s="35">
        <v>2.1669321060180664</v>
      </c>
      <c r="AV30" s="35">
        <v>2.1669321060180664</v>
      </c>
      <c r="AW30" s="35">
        <v>2.1669321060180664</v>
      </c>
      <c r="AX30" s="35">
        <v>2.1669321060180664</v>
      </c>
      <c r="AY30" s="35">
        <v>2.1669321060180664</v>
      </c>
      <c r="AZ30" s="35">
        <v>2.1669321060180664</v>
      </c>
      <c r="BA30" s="35">
        <v>2.1669321060180664</v>
      </c>
      <c r="BB30" s="35">
        <v>2.1669321060180664</v>
      </c>
      <c r="BC30" s="35">
        <v>2.1669321060180664</v>
      </c>
      <c r="BD30" s="35">
        <v>2.1669321060180664</v>
      </c>
      <c r="BE30" s="35">
        <v>2.1669321060180664</v>
      </c>
      <c r="BF30" s="36">
        <v>2.1669321060180664</v>
      </c>
    </row>
    <row r="31" spans="1:58" ht="12.75" customHeight="1" x14ac:dyDescent="0.25">
      <c r="A31" s="1"/>
      <c r="B31" s="33">
        <f>B30+1</f>
        <v>42310</v>
      </c>
      <c r="C31" s="33"/>
      <c r="D31" s="33"/>
      <c r="E31" s="33"/>
      <c r="F31" s="34">
        <v>2.2904253005981445</v>
      </c>
      <c r="G31" s="35">
        <v>2.2904253005981445</v>
      </c>
      <c r="H31" s="35">
        <v>2.2904253005981445</v>
      </c>
      <c r="I31" s="35">
        <v>2.2904253005981445</v>
      </c>
      <c r="J31" s="35">
        <v>2.2904253005981445</v>
      </c>
      <c r="K31" s="35">
        <v>2.2904253005981445</v>
      </c>
      <c r="L31" s="35">
        <v>2.2904253005981445</v>
      </c>
      <c r="M31" s="35">
        <v>2.2904253005981445</v>
      </c>
      <c r="N31" s="35">
        <v>2.2904253005981445</v>
      </c>
      <c r="O31" s="35">
        <v>2.2904253005981445</v>
      </c>
      <c r="P31" s="35">
        <v>2.2904253005981445</v>
      </c>
      <c r="Q31" s="35">
        <v>2.2904253005981445</v>
      </c>
      <c r="R31" s="35">
        <v>2.2904253005981445</v>
      </c>
      <c r="S31" s="35">
        <v>2.2904253005981445</v>
      </c>
      <c r="T31" s="36">
        <v>2.2904253005981445</v>
      </c>
      <c r="U31" s="37">
        <f>U30+1</f>
        <v>42320</v>
      </c>
      <c r="V31" s="37"/>
      <c r="W31" s="37"/>
      <c r="X31" s="37"/>
      <c r="Y31" s="34">
        <v>2.5103375911712646</v>
      </c>
      <c r="Z31" s="35">
        <v>2.5103375911712646</v>
      </c>
      <c r="AA31" s="35">
        <v>2.5103375911712646</v>
      </c>
      <c r="AB31" s="35">
        <v>2.5103375911712646</v>
      </c>
      <c r="AC31" s="35">
        <v>2.5103375911712646</v>
      </c>
      <c r="AD31" s="35">
        <v>2.5103375911712646</v>
      </c>
      <c r="AE31" s="35">
        <v>2.5103375911712646</v>
      </c>
      <c r="AF31" s="35">
        <v>2.5103375911712646</v>
      </c>
      <c r="AG31" s="35">
        <v>2.5103375911712646</v>
      </c>
      <c r="AH31" s="35">
        <v>2.5103375911712646</v>
      </c>
      <c r="AI31" s="35">
        <v>2.5103375911712646</v>
      </c>
      <c r="AJ31" s="35">
        <v>2.5103375911712646</v>
      </c>
      <c r="AK31" s="35">
        <v>2.5103375911712646</v>
      </c>
      <c r="AL31" s="35">
        <v>2.5103375911712646</v>
      </c>
      <c r="AM31" s="36">
        <v>2.5103375911712646</v>
      </c>
      <c r="AN31" s="37">
        <f>AN30+1</f>
        <v>42330</v>
      </c>
      <c r="AO31" s="38"/>
      <c r="AP31" s="38"/>
      <c r="AQ31" s="38"/>
      <c r="AR31" s="34">
        <v>2.3590207099914551</v>
      </c>
      <c r="AS31" s="35">
        <v>2.3590207099914551</v>
      </c>
      <c r="AT31" s="35">
        <v>2.3590207099914551</v>
      </c>
      <c r="AU31" s="35">
        <v>2.3590207099914551</v>
      </c>
      <c r="AV31" s="35">
        <v>2.3590207099914551</v>
      </c>
      <c r="AW31" s="35">
        <v>2.3590207099914551</v>
      </c>
      <c r="AX31" s="35">
        <v>2.3590207099914551</v>
      </c>
      <c r="AY31" s="35">
        <v>2.3590207099914551</v>
      </c>
      <c r="AZ31" s="35">
        <v>2.3590207099914551</v>
      </c>
      <c r="BA31" s="35">
        <v>2.3590207099914551</v>
      </c>
      <c r="BB31" s="35">
        <v>2.3590207099914551</v>
      </c>
      <c r="BC31" s="35">
        <v>2.3590207099914551</v>
      </c>
      <c r="BD31" s="35">
        <v>2.3590207099914551</v>
      </c>
      <c r="BE31" s="35">
        <v>2.3590207099914551</v>
      </c>
      <c r="BF31" s="36">
        <v>2.3590207099914551</v>
      </c>
    </row>
    <row r="32" spans="1:58" ht="12.75" customHeight="1" x14ac:dyDescent="0.25">
      <c r="A32" s="1"/>
      <c r="B32" s="33">
        <f t="shared" ref="B32:B38" si="0">B31+1</f>
        <v>42311</v>
      </c>
      <c r="C32" s="33"/>
      <c r="D32" s="33"/>
      <c r="E32" s="33"/>
      <c r="F32" s="34">
        <v>2.01582932472229</v>
      </c>
      <c r="G32" s="35">
        <v>2.01582932472229</v>
      </c>
      <c r="H32" s="35">
        <v>2.01582932472229</v>
      </c>
      <c r="I32" s="35">
        <v>2.01582932472229</v>
      </c>
      <c r="J32" s="35">
        <v>2.01582932472229</v>
      </c>
      <c r="K32" s="35">
        <v>2.01582932472229</v>
      </c>
      <c r="L32" s="35">
        <v>2.01582932472229</v>
      </c>
      <c r="M32" s="35">
        <v>2.01582932472229</v>
      </c>
      <c r="N32" s="35">
        <v>2.01582932472229</v>
      </c>
      <c r="O32" s="35">
        <v>2.01582932472229</v>
      </c>
      <c r="P32" s="35">
        <v>2.01582932472229</v>
      </c>
      <c r="Q32" s="35">
        <v>2.01582932472229</v>
      </c>
      <c r="R32" s="35">
        <v>2.01582932472229</v>
      </c>
      <c r="S32" s="35">
        <v>2.01582932472229</v>
      </c>
      <c r="T32" s="36">
        <v>2.01582932472229</v>
      </c>
      <c r="U32" s="37">
        <f t="shared" ref="U32:U39" si="1">U31+1</f>
        <v>42321</v>
      </c>
      <c r="V32" s="37"/>
      <c r="W32" s="37"/>
      <c r="X32" s="37"/>
      <c r="Y32" s="34">
        <v>2.4832632541656494</v>
      </c>
      <c r="Z32" s="35">
        <v>2.4832632541656494</v>
      </c>
      <c r="AA32" s="35">
        <v>2.4832632541656494</v>
      </c>
      <c r="AB32" s="35">
        <v>2.4832632541656494</v>
      </c>
      <c r="AC32" s="35">
        <v>2.4832632541656494</v>
      </c>
      <c r="AD32" s="35">
        <v>2.4832632541656494</v>
      </c>
      <c r="AE32" s="35">
        <v>2.4832632541656494</v>
      </c>
      <c r="AF32" s="35">
        <v>2.4832632541656494</v>
      </c>
      <c r="AG32" s="35">
        <v>2.4832632541656494</v>
      </c>
      <c r="AH32" s="35">
        <v>2.4832632541656494</v>
      </c>
      <c r="AI32" s="35">
        <v>2.4832632541656494</v>
      </c>
      <c r="AJ32" s="35">
        <v>2.4832632541656494</v>
      </c>
      <c r="AK32" s="35">
        <v>2.4832632541656494</v>
      </c>
      <c r="AL32" s="35">
        <v>2.4832632541656494</v>
      </c>
      <c r="AM32" s="36">
        <v>2.4832632541656494</v>
      </c>
      <c r="AN32" s="37">
        <f t="shared" ref="AN32:AN37" si="2">AN31+1</f>
        <v>42331</v>
      </c>
      <c r="AO32" s="38"/>
      <c r="AP32" s="38"/>
      <c r="AQ32" s="38"/>
      <c r="AR32" s="34">
        <v>2.1877999305725098</v>
      </c>
      <c r="AS32" s="35">
        <v>2.1877999305725098</v>
      </c>
      <c r="AT32" s="35">
        <v>2.1877999305725098</v>
      </c>
      <c r="AU32" s="35">
        <v>2.1877999305725098</v>
      </c>
      <c r="AV32" s="35">
        <v>2.1877999305725098</v>
      </c>
      <c r="AW32" s="35">
        <v>2.1877999305725098</v>
      </c>
      <c r="AX32" s="35">
        <v>2.1877999305725098</v>
      </c>
      <c r="AY32" s="35">
        <v>2.1877999305725098</v>
      </c>
      <c r="AZ32" s="35">
        <v>2.1877999305725098</v>
      </c>
      <c r="BA32" s="35">
        <v>2.1877999305725098</v>
      </c>
      <c r="BB32" s="35">
        <v>2.1877999305725098</v>
      </c>
      <c r="BC32" s="35">
        <v>2.1877999305725098</v>
      </c>
      <c r="BD32" s="35">
        <v>2.1877999305725098</v>
      </c>
      <c r="BE32" s="35">
        <v>2.1877999305725098</v>
      </c>
      <c r="BF32" s="36">
        <v>2.1877999305725098</v>
      </c>
    </row>
    <row r="33" spans="1:58" ht="12.75" customHeight="1" x14ac:dyDescent="0.25">
      <c r="A33" s="1"/>
      <c r="B33" s="33">
        <f t="shared" si="0"/>
        <v>42312</v>
      </c>
      <c r="C33" s="33"/>
      <c r="D33" s="33"/>
      <c r="E33" s="33"/>
      <c r="F33" s="34">
        <v>2.2286787033081055</v>
      </c>
      <c r="G33" s="35">
        <v>2.2286787033081055</v>
      </c>
      <c r="H33" s="35">
        <v>2.2286787033081055</v>
      </c>
      <c r="I33" s="35">
        <v>2.2286787033081055</v>
      </c>
      <c r="J33" s="35">
        <v>2.2286787033081055</v>
      </c>
      <c r="K33" s="35">
        <v>2.2286787033081055</v>
      </c>
      <c r="L33" s="35">
        <v>2.2286787033081055</v>
      </c>
      <c r="M33" s="35">
        <v>2.2286787033081055</v>
      </c>
      <c r="N33" s="35">
        <v>2.2286787033081055</v>
      </c>
      <c r="O33" s="35">
        <v>2.2286787033081055</v>
      </c>
      <c r="P33" s="35">
        <v>2.2286787033081055</v>
      </c>
      <c r="Q33" s="35">
        <v>2.2286787033081055</v>
      </c>
      <c r="R33" s="35">
        <v>2.2286787033081055</v>
      </c>
      <c r="S33" s="35">
        <v>2.2286787033081055</v>
      </c>
      <c r="T33" s="36">
        <v>2.2286787033081055</v>
      </c>
      <c r="U33" s="37">
        <f t="shared" si="1"/>
        <v>42322</v>
      </c>
      <c r="V33" s="37"/>
      <c r="W33" s="37"/>
      <c r="X33" s="37"/>
      <c r="Y33" s="34">
        <v>2.2217228412628174</v>
      </c>
      <c r="Z33" s="35">
        <v>2.2217228412628174</v>
      </c>
      <c r="AA33" s="35">
        <v>2.2217228412628174</v>
      </c>
      <c r="AB33" s="35">
        <v>2.2217228412628174</v>
      </c>
      <c r="AC33" s="35">
        <v>2.2217228412628174</v>
      </c>
      <c r="AD33" s="35">
        <v>2.2217228412628174</v>
      </c>
      <c r="AE33" s="35">
        <v>2.2217228412628174</v>
      </c>
      <c r="AF33" s="35">
        <v>2.2217228412628174</v>
      </c>
      <c r="AG33" s="35">
        <v>2.2217228412628174</v>
      </c>
      <c r="AH33" s="35">
        <v>2.2217228412628174</v>
      </c>
      <c r="AI33" s="35">
        <v>2.2217228412628174</v>
      </c>
      <c r="AJ33" s="35">
        <v>2.2217228412628174</v>
      </c>
      <c r="AK33" s="35">
        <v>2.2217228412628174</v>
      </c>
      <c r="AL33" s="35">
        <v>2.2217228412628174</v>
      </c>
      <c r="AM33" s="36">
        <v>2.2217228412628174</v>
      </c>
      <c r="AN33" s="37">
        <f t="shared" si="2"/>
        <v>42332</v>
      </c>
      <c r="AO33" s="38"/>
      <c r="AP33" s="38"/>
      <c r="AQ33" s="38"/>
      <c r="AR33" s="34">
        <v>2.373039722442627</v>
      </c>
      <c r="AS33" s="35">
        <v>2.373039722442627</v>
      </c>
      <c r="AT33" s="35">
        <v>2.373039722442627</v>
      </c>
      <c r="AU33" s="35">
        <v>2.373039722442627</v>
      </c>
      <c r="AV33" s="35">
        <v>2.373039722442627</v>
      </c>
      <c r="AW33" s="35">
        <v>2.373039722442627</v>
      </c>
      <c r="AX33" s="35">
        <v>2.373039722442627</v>
      </c>
      <c r="AY33" s="35">
        <v>2.373039722442627</v>
      </c>
      <c r="AZ33" s="35">
        <v>2.373039722442627</v>
      </c>
      <c r="BA33" s="35">
        <v>2.373039722442627</v>
      </c>
      <c r="BB33" s="35">
        <v>2.373039722442627</v>
      </c>
      <c r="BC33" s="35">
        <v>2.373039722442627</v>
      </c>
      <c r="BD33" s="35">
        <v>2.373039722442627</v>
      </c>
      <c r="BE33" s="35">
        <v>2.373039722442627</v>
      </c>
      <c r="BF33" s="36">
        <v>2.373039722442627</v>
      </c>
    </row>
    <row r="34" spans="1:58" ht="12.75" customHeight="1" x14ac:dyDescent="0.25">
      <c r="A34" s="1"/>
      <c r="B34" s="33">
        <f t="shared" si="0"/>
        <v>42313</v>
      </c>
      <c r="C34" s="33"/>
      <c r="D34" s="33"/>
      <c r="E34" s="33"/>
      <c r="F34" s="34">
        <v>2.2493324279785156</v>
      </c>
      <c r="G34" s="35">
        <v>2.2493324279785156</v>
      </c>
      <c r="H34" s="35">
        <v>2.2493324279785156</v>
      </c>
      <c r="I34" s="35">
        <v>2.2493324279785156</v>
      </c>
      <c r="J34" s="35">
        <v>2.2493324279785156</v>
      </c>
      <c r="K34" s="35">
        <v>2.2493324279785156</v>
      </c>
      <c r="L34" s="35">
        <v>2.2493324279785156</v>
      </c>
      <c r="M34" s="35">
        <v>2.2493324279785156</v>
      </c>
      <c r="N34" s="35">
        <v>2.2493324279785156</v>
      </c>
      <c r="O34" s="35">
        <v>2.2493324279785156</v>
      </c>
      <c r="P34" s="35">
        <v>2.2493324279785156</v>
      </c>
      <c r="Q34" s="35">
        <v>2.2493324279785156</v>
      </c>
      <c r="R34" s="35">
        <v>2.2493324279785156</v>
      </c>
      <c r="S34" s="35">
        <v>2.2493324279785156</v>
      </c>
      <c r="T34" s="36">
        <v>2.2493324279785156</v>
      </c>
      <c r="U34" s="37">
        <f t="shared" si="1"/>
        <v>42323</v>
      </c>
      <c r="V34" s="37"/>
      <c r="W34" s="37"/>
      <c r="X34" s="37"/>
      <c r="Y34" s="34">
        <v>2.3591279983520508</v>
      </c>
      <c r="Z34" s="35">
        <v>2.3591279983520508</v>
      </c>
      <c r="AA34" s="35">
        <v>2.3591279983520508</v>
      </c>
      <c r="AB34" s="35">
        <v>2.3591279983520508</v>
      </c>
      <c r="AC34" s="35">
        <v>2.3591279983520508</v>
      </c>
      <c r="AD34" s="35">
        <v>2.3591279983520508</v>
      </c>
      <c r="AE34" s="35">
        <v>2.3591279983520508</v>
      </c>
      <c r="AF34" s="35">
        <v>2.3591279983520508</v>
      </c>
      <c r="AG34" s="35">
        <v>2.3591279983520508</v>
      </c>
      <c r="AH34" s="35">
        <v>2.3591279983520508</v>
      </c>
      <c r="AI34" s="35">
        <v>2.3591279983520508</v>
      </c>
      <c r="AJ34" s="35">
        <v>2.3591279983520508</v>
      </c>
      <c r="AK34" s="35">
        <v>2.3591279983520508</v>
      </c>
      <c r="AL34" s="35">
        <v>2.3591279983520508</v>
      </c>
      <c r="AM34" s="36">
        <v>2.3591279983520508</v>
      </c>
      <c r="AN34" s="37">
        <f t="shared" si="2"/>
        <v>42333</v>
      </c>
      <c r="AO34" s="38"/>
      <c r="AP34" s="38"/>
      <c r="AQ34" s="38"/>
      <c r="AR34" s="34">
        <v>2.2426974773406982</v>
      </c>
      <c r="AS34" s="35">
        <v>2.2426974773406982</v>
      </c>
      <c r="AT34" s="35">
        <v>2.2426974773406982</v>
      </c>
      <c r="AU34" s="35">
        <v>2.2426974773406982</v>
      </c>
      <c r="AV34" s="35">
        <v>2.2426974773406982</v>
      </c>
      <c r="AW34" s="35">
        <v>2.2426974773406982</v>
      </c>
      <c r="AX34" s="35">
        <v>2.2426974773406982</v>
      </c>
      <c r="AY34" s="35">
        <v>2.2426974773406982</v>
      </c>
      <c r="AZ34" s="35">
        <v>2.2426974773406982</v>
      </c>
      <c r="BA34" s="35">
        <v>2.2426974773406982</v>
      </c>
      <c r="BB34" s="35">
        <v>2.2426974773406982</v>
      </c>
      <c r="BC34" s="35">
        <v>2.2426974773406982</v>
      </c>
      <c r="BD34" s="35">
        <v>2.2426974773406982</v>
      </c>
      <c r="BE34" s="35">
        <v>2.2426974773406982</v>
      </c>
      <c r="BF34" s="36">
        <v>2.2426974773406982</v>
      </c>
    </row>
    <row r="35" spans="1:58" ht="12.75" customHeight="1" x14ac:dyDescent="0.25">
      <c r="A35" s="1"/>
      <c r="B35" s="33">
        <f t="shared" si="0"/>
        <v>42314</v>
      </c>
      <c r="C35" s="33"/>
      <c r="D35" s="33"/>
      <c r="E35" s="33"/>
      <c r="F35" s="34">
        <v>2.2834694385528564</v>
      </c>
      <c r="G35" s="35">
        <v>2.2834694385528564</v>
      </c>
      <c r="H35" s="35">
        <v>2.2834694385528564</v>
      </c>
      <c r="I35" s="35">
        <v>2.2834694385528564</v>
      </c>
      <c r="J35" s="35">
        <v>2.2834694385528564</v>
      </c>
      <c r="K35" s="35">
        <v>2.2834694385528564</v>
      </c>
      <c r="L35" s="35">
        <v>2.2834694385528564</v>
      </c>
      <c r="M35" s="35">
        <v>2.2834694385528564</v>
      </c>
      <c r="N35" s="35">
        <v>2.2834694385528564</v>
      </c>
      <c r="O35" s="35">
        <v>2.2834694385528564</v>
      </c>
      <c r="P35" s="35">
        <v>2.2834694385528564</v>
      </c>
      <c r="Q35" s="35">
        <v>2.2834694385528564</v>
      </c>
      <c r="R35" s="35">
        <v>2.2834694385528564</v>
      </c>
      <c r="S35" s="35">
        <v>2.2834694385528564</v>
      </c>
      <c r="T35" s="36">
        <v>2.2834694385528564</v>
      </c>
      <c r="U35" s="37">
        <f t="shared" si="1"/>
        <v>42324</v>
      </c>
      <c r="V35" s="37"/>
      <c r="W35" s="37"/>
      <c r="X35" s="37"/>
      <c r="Y35" s="34">
        <v>2.407390832901001</v>
      </c>
      <c r="Z35" s="35">
        <v>2.407390832901001</v>
      </c>
      <c r="AA35" s="35">
        <v>2.407390832901001</v>
      </c>
      <c r="AB35" s="35">
        <v>2.407390832901001</v>
      </c>
      <c r="AC35" s="35">
        <v>2.407390832901001</v>
      </c>
      <c r="AD35" s="35">
        <v>2.407390832901001</v>
      </c>
      <c r="AE35" s="35">
        <v>2.407390832901001</v>
      </c>
      <c r="AF35" s="35">
        <v>2.407390832901001</v>
      </c>
      <c r="AG35" s="35">
        <v>2.407390832901001</v>
      </c>
      <c r="AH35" s="35">
        <v>2.407390832901001</v>
      </c>
      <c r="AI35" s="35">
        <v>2.407390832901001</v>
      </c>
      <c r="AJ35" s="35">
        <v>2.407390832901001</v>
      </c>
      <c r="AK35" s="35">
        <v>2.407390832901001</v>
      </c>
      <c r="AL35" s="35">
        <v>2.407390832901001</v>
      </c>
      <c r="AM35" s="36">
        <v>2.407390832901001</v>
      </c>
      <c r="AN35" s="37">
        <f t="shared" si="2"/>
        <v>42334</v>
      </c>
      <c r="AO35" s="38"/>
      <c r="AP35" s="38"/>
      <c r="AQ35" s="38"/>
      <c r="AR35" s="34">
        <v>2.2358486652374268</v>
      </c>
      <c r="AS35" s="35">
        <v>2.2358486652374268</v>
      </c>
      <c r="AT35" s="35">
        <v>2.2358486652374268</v>
      </c>
      <c r="AU35" s="35">
        <v>2.2358486652374268</v>
      </c>
      <c r="AV35" s="35">
        <v>2.2358486652374268</v>
      </c>
      <c r="AW35" s="35">
        <v>2.2358486652374268</v>
      </c>
      <c r="AX35" s="35">
        <v>2.2358486652374268</v>
      </c>
      <c r="AY35" s="35">
        <v>2.2358486652374268</v>
      </c>
      <c r="AZ35" s="35">
        <v>2.2358486652374268</v>
      </c>
      <c r="BA35" s="35">
        <v>2.2358486652374268</v>
      </c>
      <c r="BB35" s="35">
        <v>2.2358486652374268</v>
      </c>
      <c r="BC35" s="35">
        <v>2.2358486652374268</v>
      </c>
      <c r="BD35" s="35">
        <v>2.2358486652374268</v>
      </c>
      <c r="BE35" s="35">
        <v>2.2358486652374268</v>
      </c>
      <c r="BF35" s="36">
        <v>2.2358486652374268</v>
      </c>
    </row>
    <row r="36" spans="1:58" ht="12.75" customHeight="1" x14ac:dyDescent="0.25">
      <c r="A36" s="1"/>
      <c r="B36" s="33">
        <f t="shared" si="0"/>
        <v>42315</v>
      </c>
      <c r="C36" s="33"/>
      <c r="D36" s="33"/>
      <c r="E36" s="33"/>
      <c r="F36" s="34">
        <v>2.30401611328125</v>
      </c>
      <c r="G36" s="35">
        <v>2.30401611328125</v>
      </c>
      <c r="H36" s="35">
        <v>2.30401611328125</v>
      </c>
      <c r="I36" s="35">
        <v>2.30401611328125</v>
      </c>
      <c r="J36" s="35">
        <v>2.30401611328125</v>
      </c>
      <c r="K36" s="35">
        <v>2.30401611328125</v>
      </c>
      <c r="L36" s="35">
        <v>2.30401611328125</v>
      </c>
      <c r="M36" s="35">
        <v>2.30401611328125</v>
      </c>
      <c r="N36" s="35">
        <v>2.30401611328125</v>
      </c>
      <c r="O36" s="35">
        <v>2.30401611328125</v>
      </c>
      <c r="P36" s="35">
        <v>2.30401611328125</v>
      </c>
      <c r="Q36" s="35">
        <v>2.30401611328125</v>
      </c>
      <c r="R36" s="35">
        <v>2.30401611328125</v>
      </c>
      <c r="S36" s="35">
        <v>2.30401611328125</v>
      </c>
      <c r="T36" s="36">
        <v>2.30401611328125</v>
      </c>
      <c r="U36" s="37">
        <f t="shared" si="1"/>
        <v>42325</v>
      </c>
      <c r="V36" s="37"/>
      <c r="W36" s="37"/>
      <c r="X36" s="37"/>
      <c r="Y36" s="34">
        <v>2.4625027179718018</v>
      </c>
      <c r="Z36" s="35">
        <v>2.4625027179718018</v>
      </c>
      <c r="AA36" s="35">
        <v>2.4625027179718018</v>
      </c>
      <c r="AB36" s="35">
        <v>2.4625027179718018</v>
      </c>
      <c r="AC36" s="35">
        <v>2.4625027179718018</v>
      </c>
      <c r="AD36" s="35">
        <v>2.4625027179718018</v>
      </c>
      <c r="AE36" s="35">
        <v>2.4625027179718018</v>
      </c>
      <c r="AF36" s="35">
        <v>2.4625027179718018</v>
      </c>
      <c r="AG36" s="35">
        <v>2.4625027179718018</v>
      </c>
      <c r="AH36" s="35">
        <v>2.4625027179718018</v>
      </c>
      <c r="AI36" s="35">
        <v>2.4625027179718018</v>
      </c>
      <c r="AJ36" s="35">
        <v>2.4625027179718018</v>
      </c>
      <c r="AK36" s="35">
        <v>2.4625027179718018</v>
      </c>
      <c r="AL36" s="35">
        <v>2.4625027179718018</v>
      </c>
      <c r="AM36" s="36">
        <v>2.4625027179718018</v>
      </c>
      <c r="AN36" s="37">
        <f t="shared" si="2"/>
        <v>42335</v>
      </c>
      <c r="AO36" s="38"/>
      <c r="AP36" s="38"/>
      <c r="AQ36" s="38"/>
      <c r="AR36" s="34">
        <v>2.3521721363067627</v>
      </c>
      <c r="AS36" s="35">
        <v>2.3521721363067627</v>
      </c>
      <c r="AT36" s="35">
        <v>2.3521721363067627</v>
      </c>
      <c r="AU36" s="35">
        <v>2.3521721363067627</v>
      </c>
      <c r="AV36" s="35">
        <v>2.3521721363067627</v>
      </c>
      <c r="AW36" s="35">
        <v>2.3521721363067627</v>
      </c>
      <c r="AX36" s="35">
        <v>2.3521721363067627</v>
      </c>
      <c r="AY36" s="35">
        <v>2.3521721363067627</v>
      </c>
      <c r="AZ36" s="35">
        <v>2.3521721363067627</v>
      </c>
      <c r="BA36" s="35">
        <v>2.3521721363067627</v>
      </c>
      <c r="BB36" s="35">
        <v>2.3521721363067627</v>
      </c>
      <c r="BC36" s="35">
        <v>2.3521721363067627</v>
      </c>
      <c r="BD36" s="35">
        <v>2.3521721363067627</v>
      </c>
      <c r="BE36" s="35">
        <v>2.3521721363067627</v>
      </c>
      <c r="BF36" s="36">
        <v>2.3521721363067627</v>
      </c>
    </row>
    <row r="37" spans="1:58" ht="12.75" customHeight="1" x14ac:dyDescent="0.25">
      <c r="A37" s="1"/>
      <c r="B37" s="33">
        <f t="shared" si="0"/>
        <v>42316</v>
      </c>
      <c r="C37" s="33"/>
      <c r="D37" s="33"/>
      <c r="E37" s="33"/>
      <c r="F37" s="34">
        <v>2.0638785362243652</v>
      </c>
      <c r="G37" s="35">
        <v>2.0638785362243652</v>
      </c>
      <c r="H37" s="35">
        <v>2.0638785362243652</v>
      </c>
      <c r="I37" s="35">
        <v>2.0638785362243652</v>
      </c>
      <c r="J37" s="35">
        <v>2.0638785362243652</v>
      </c>
      <c r="K37" s="35">
        <v>2.0638785362243652</v>
      </c>
      <c r="L37" s="35">
        <v>2.0638785362243652</v>
      </c>
      <c r="M37" s="35">
        <v>2.0638785362243652</v>
      </c>
      <c r="N37" s="35">
        <v>2.0638785362243652</v>
      </c>
      <c r="O37" s="35">
        <v>2.0638785362243652</v>
      </c>
      <c r="P37" s="35">
        <v>2.0638785362243652</v>
      </c>
      <c r="Q37" s="35">
        <v>2.0638785362243652</v>
      </c>
      <c r="R37" s="35">
        <v>2.0638785362243652</v>
      </c>
      <c r="S37" s="35">
        <v>2.0638785362243652</v>
      </c>
      <c r="T37" s="36">
        <v>2.0638785362243652</v>
      </c>
      <c r="U37" s="37">
        <f t="shared" si="1"/>
        <v>42326</v>
      </c>
      <c r="V37" s="37"/>
      <c r="W37" s="37"/>
      <c r="X37" s="37"/>
      <c r="Y37" s="34">
        <v>2.6068634986877441</v>
      </c>
      <c r="Z37" s="35">
        <v>2.6068634986877441</v>
      </c>
      <c r="AA37" s="35">
        <v>2.6068634986877441</v>
      </c>
      <c r="AB37" s="35">
        <v>2.6068634986877441</v>
      </c>
      <c r="AC37" s="35">
        <v>2.6068634986877441</v>
      </c>
      <c r="AD37" s="35">
        <v>2.6068634986877441</v>
      </c>
      <c r="AE37" s="35">
        <v>2.6068634986877441</v>
      </c>
      <c r="AF37" s="35">
        <v>2.6068634986877441</v>
      </c>
      <c r="AG37" s="35">
        <v>2.6068634986877441</v>
      </c>
      <c r="AH37" s="35">
        <v>2.6068634986877441</v>
      </c>
      <c r="AI37" s="35">
        <v>2.6068634986877441</v>
      </c>
      <c r="AJ37" s="35">
        <v>2.6068634986877441</v>
      </c>
      <c r="AK37" s="35">
        <v>2.6068634986877441</v>
      </c>
      <c r="AL37" s="35">
        <v>2.6068634986877441</v>
      </c>
      <c r="AM37" s="36">
        <v>2.6068634986877441</v>
      </c>
      <c r="AN37" s="37">
        <f t="shared" si="2"/>
        <v>42336</v>
      </c>
      <c r="AO37" s="38"/>
      <c r="AP37" s="38"/>
      <c r="AQ37" s="38"/>
      <c r="AR37" s="34">
        <v>2.2974882125854492</v>
      </c>
      <c r="AS37" s="35">
        <v>2.2974882125854492</v>
      </c>
      <c r="AT37" s="35">
        <v>2.2974882125854492</v>
      </c>
      <c r="AU37" s="35">
        <v>2.2974882125854492</v>
      </c>
      <c r="AV37" s="35">
        <v>2.2974882125854492</v>
      </c>
      <c r="AW37" s="35">
        <v>2.2974882125854492</v>
      </c>
      <c r="AX37" s="35">
        <v>2.2974882125854492</v>
      </c>
      <c r="AY37" s="35">
        <v>2.2974882125854492</v>
      </c>
      <c r="AZ37" s="35">
        <v>2.2974882125854492</v>
      </c>
      <c r="BA37" s="35">
        <v>2.2974882125854492</v>
      </c>
      <c r="BB37" s="35">
        <v>2.2974882125854492</v>
      </c>
      <c r="BC37" s="35">
        <v>2.2974882125854492</v>
      </c>
      <c r="BD37" s="35">
        <v>2.2974882125854492</v>
      </c>
      <c r="BE37" s="35">
        <v>2.2974882125854492</v>
      </c>
      <c r="BF37" s="36">
        <v>2.2974882125854492</v>
      </c>
    </row>
    <row r="38" spans="1:58" ht="12.75" customHeight="1" x14ac:dyDescent="0.25">
      <c r="A38" s="1"/>
      <c r="B38" s="33">
        <f t="shared" si="0"/>
        <v>42317</v>
      </c>
      <c r="C38" s="33"/>
      <c r="D38" s="33"/>
      <c r="E38" s="33"/>
      <c r="F38" s="34">
        <v>2.2356345653533936</v>
      </c>
      <c r="G38" s="35">
        <v>2.2356345653533936</v>
      </c>
      <c r="H38" s="35">
        <v>2.2356345653533936</v>
      </c>
      <c r="I38" s="35">
        <v>2.2356345653533936</v>
      </c>
      <c r="J38" s="35">
        <v>2.2356345653533936</v>
      </c>
      <c r="K38" s="35">
        <v>2.2356345653533936</v>
      </c>
      <c r="L38" s="35">
        <v>2.2356345653533936</v>
      </c>
      <c r="M38" s="35">
        <v>2.2356345653533936</v>
      </c>
      <c r="N38" s="35">
        <v>2.2356345653533936</v>
      </c>
      <c r="O38" s="35">
        <v>2.2356345653533936</v>
      </c>
      <c r="P38" s="35">
        <v>2.2356345653533936</v>
      </c>
      <c r="Q38" s="35">
        <v>2.2356345653533936</v>
      </c>
      <c r="R38" s="35">
        <v>2.2356345653533936</v>
      </c>
      <c r="S38" s="35">
        <v>2.2356345653533936</v>
      </c>
      <c r="T38" s="36">
        <v>2.2356345653533936</v>
      </c>
      <c r="U38" s="37">
        <f t="shared" si="1"/>
        <v>42327</v>
      </c>
      <c r="V38" s="37"/>
      <c r="W38" s="37"/>
      <c r="X38" s="37"/>
      <c r="Y38" s="34">
        <v>2.3731467723846436</v>
      </c>
      <c r="Z38" s="35">
        <v>2.3731467723846436</v>
      </c>
      <c r="AA38" s="35">
        <v>2.3731467723846436</v>
      </c>
      <c r="AB38" s="35">
        <v>2.3731467723846436</v>
      </c>
      <c r="AC38" s="35">
        <v>2.3731467723846436</v>
      </c>
      <c r="AD38" s="35">
        <v>2.3731467723846436</v>
      </c>
      <c r="AE38" s="35">
        <v>2.3731467723846436</v>
      </c>
      <c r="AF38" s="35">
        <v>2.3731467723846436</v>
      </c>
      <c r="AG38" s="35">
        <v>2.3731467723846436</v>
      </c>
      <c r="AH38" s="35">
        <v>2.3731467723846436</v>
      </c>
      <c r="AI38" s="35">
        <v>2.3731467723846436</v>
      </c>
      <c r="AJ38" s="35">
        <v>2.3731467723846436</v>
      </c>
      <c r="AK38" s="35">
        <v>2.3731467723846436</v>
      </c>
      <c r="AL38" s="35">
        <v>2.3731467723846436</v>
      </c>
      <c r="AM38" s="36">
        <v>2.3731467723846436</v>
      </c>
      <c r="AN38" s="37">
        <f>IF(F5&lt;&gt;2,AN37+1,"")</f>
        <v>42337</v>
      </c>
      <c r="AO38" s="38"/>
      <c r="AP38" s="38"/>
      <c r="AQ38" s="38"/>
      <c r="AR38" s="34">
        <v>2.084317684173584</v>
      </c>
      <c r="AS38" s="35">
        <v>2.084317684173584</v>
      </c>
      <c r="AT38" s="35">
        <v>2.084317684173584</v>
      </c>
      <c r="AU38" s="35">
        <v>2.084317684173584</v>
      </c>
      <c r="AV38" s="35">
        <v>2.084317684173584</v>
      </c>
      <c r="AW38" s="35">
        <v>2.084317684173584</v>
      </c>
      <c r="AX38" s="35">
        <v>2.084317684173584</v>
      </c>
      <c r="AY38" s="35">
        <v>2.084317684173584</v>
      </c>
      <c r="AZ38" s="35">
        <v>2.084317684173584</v>
      </c>
      <c r="BA38" s="35">
        <v>2.084317684173584</v>
      </c>
      <c r="BB38" s="35">
        <v>2.084317684173584</v>
      </c>
      <c r="BC38" s="35">
        <v>2.084317684173584</v>
      </c>
      <c r="BD38" s="35">
        <v>2.084317684173584</v>
      </c>
      <c r="BE38" s="35">
        <v>2.084317684173584</v>
      </c>
      <c r="BF38" s="36">
        <v>2.084317684173584</v>
      </c>
    </row>
    <row r="39" spans="1:58" ht="12.75" customHeight="1" x14ac:dyDescent="0.25">
      <c r="A39" s="1"/>
      <c r="B39" s="33">
        <f>B38+1</f>
        <v>42318</v>
      </c>
      <c r="C39" s="33"/>
      <c r="D39" s="33"/>
      <c r="E39" s="33"/>
      <c r="F39" s="34">
        <v>2.2014973163604736</v>
      </c>
      <c r="G39" s="35">
        <v>2.2014973163604736</v>
      </c>
      <c r="H39" s="35">
        <v>2.2014973163604736</v>
      </c>
      <c r="I39" s="35">
        <v>2.2014973163604736</v>
      </c>
      <c r="J39" s="35">
        <v>2.2014973163604736</v>
      </c>
      <c r="K39" s="35">
        <v>2.2014973163604736</v>
      </c>
      <c r="L39" s="35">
        <v>2.2014973163604736</v>
      </c>
      <c r="M39" s="35">
        <v>2.2014973163604736</v>
      </c>
      <c r="N39" s="35">
        <v>2.2014973163604736</v>
      </c>
      <c r="O39" s="35">
        <v>2.2014973163604736</v>
      </c>
      <c r="P39" s="35">
        <v>2.2014973163604736</v>
      </c>
      <c r="Q39" s="35">
        <v>2.2014973163604736</v>
      </c>
      <c r="R39" s="35">
        <v>2.2014973163604736</v>
      </c>
      <c r="S39" s="35">
        <v>2.2014973163604736</v>
      </c>
      <c r="T39" s="36">
        <v>2.2014973163604736</v>
      </c>
      <c r="U39" s="37">
        <f t="shared" si="1"/>
        <v>42328</v>
      </c>
      <c r="V39" s="37"/>
      <c r="W39" s="37"/>
      <c r="X39" s="37"/>
      <c r="Y39" s="34">
        <v>2.3521721363067627</v>
      </c>
      <c r="Z39" s="35">
        <v>2.3521721363067627</v>
      </c>
      <c r="AA39" s="35">
        <v>2.3521721363067627</v>
      </c>
      <c r="AB39" s="35">
        <v>2.3521721363067627</v>
      </c>
      <c r="AC39" s="35">
        <v>2.3521721363067627</v>
      </c>
      <c r="AD39" s="35">
        <v>2.3521721363067627</v>
      </c>
      <c r="AE39" s="35">
        <v>2.3521721363067627</v>
      </c>
      <c r="AF39" s="35">
        <v>2.3521721363067627</v>
      </c>
      <c r="AG39" s="35">
        <v>2.3521721363067627</v>
      </c>
      <c r="AH39" s="35">
        <v>2.3521721363067627</v>
      </c>
      <c r="AI39" s="35">
        <v>2.3521721363067627</v>
      </c>
      <c r="AJ39" s="35">
        <v>2.3521721363067627</v>
      </c>
      <c r="AK39" s="35">
        <v>2.3521721363067627</v>
      </c>
      <c r="AL39" s="35">
        <v>2.3521721363067627</v>
      </c>
      <c r="AM39" s="36">
        <v>2.3521721363067627</v>
      </c>
      <c r="AN39" s="37">
        <f>IF(F5&lt;&gt;2,AN38+1,"")</f>
        <v>42338</v>
      </c>
      <c r="AO39" s="38"/>
      <c r="AP39" s="38"/>
      <c r="AQ39" s="38"/>
      <c r="AR39" s="34">
        <v>2.4966397285461426</v>
      </c>
      <c r="AS39" s="35">
        <v>2.4966397285461426</v>
      </c>
      <c r="AT39" s="35">
        <v>2.4966397285461426</v>
      </c>
      <c r="AU39" s="35">
        <v>2.4966397285461426</v>
      </c>
      <c r="AV39" s="35">
        <v>2.4966397285461426</v>
      </c>
      <c r="AW39" s="35">
        <v>2.4966397285461426</v>
      </c>
      <c r="AX39" s="35">
        <v>2.4966397285461426</v>
      </c>
      <c r="AY39" s="35">
        <v>2.4966397285461426</v>
      </c>
      <c r="AZ39" s="35">
        <v>2.4966397285461426</v>
      </c>
      <c r="BA39" s="35">
        <v>2.4966397285461426</v>
      </c>
      <c r="BB39" s="35">
        <v>2.4966397285461426</v>
      </c>
      <c r="BC39" s="35">
        <v>2.4966397285461426</v>
      </c>
      <c r="BD39" s="35">
        <v>2.4966397285461426</v>
      </c>
      <c r="BE39" s="35">
        <v>2.4966397285461426</v>
      </c>
      <c r="BF39" s="36">
        <v>2.4966397285461426</v>
      </c>
    </row>
    <row r="40" spans="1:58" ht="12.75" customHeight="1" x14ac:dyDescent="0.25">
      <c r="A40" s="1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7" t="str">
        <f>IF(OR(F5=1, F5=3, F5=5, F5=7, F5=8, F5=10, F5=12),AN39+1,"")</f>
        <v/>
      </c>
      <c r="AO40" s="38"/>
      <c r="AP40" s="38"/>
      <c r="AQ40" s="38"/>
      <c r="AR40" s="34" t="s">
        <v>38</v>
      </c>
      <c r="AS40" s="35" t="s">
        <v>38</v>
      </c>
      <c r="AT40" s="35" t="s">
        <v>38</v>
      </c>
      <c r="AU40" s="35" t="s">
        <v>38</v>
      </c>
      <c r="AV40" s="35" t="s">
        <v>38</v>
      </c>
      <c r="AW40" s="35" t="s">
        <v>38</v>
      </c>
      <c r="AX40" s="35" t="s">
        <v>38</v>
      </c>
      <c r="AY40" s="35" t="s">
        <v>38</v>
      </c>
      <c r="AZ40" s="35" t="s">
        <v>38</v>
      </c>
      <c r="BA40" s="35" t="s">
        <v>38</v>
      </c>
      <c r="BB40" s="35" t="s">
        <v>38</v>
      </c>
      <c r="BC40" s="35" t="s">
        <v>38</v>
      </c>
      <c r="BD40" s="35" t="s">
        <v>38</v>
      </c>
      <c r="BE40" s="35" t="s">
        <v>38</v>
      </c>
      <c r="BF40" s="36" t="s">
        <v>38</v>
      </c>
    </row>
    <row r="41" spans="1:58" ht="12.75" customHeight="1" x14ac:dyDescent="0.25">
      <c r="A41" s="1"/>
    </row>
    <row r="42" spans="1:58" ht="12.75" customHeight="1" x14ac:dyDescent="0.25">
      <c r="A42" s="1"/>
      <c r="B42" s="39" t="s">
        <v>25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</row>
    <row r="43" spans="1:58" ht="12.75" customHeight="1" x14ac:dyDescent="0.25">
      <c r="A43" s="1"/>
      <c r="B43" s="38" t="s">
        <v>26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40" t="s">
        <v>27</v>
      </c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40" t="s">
        <v>28</v>
      </c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</row>
    <row r="44" spans="1:58" ht="12.75" customHeight="1" x14ac:dyDescent="0.25">
      <c r="A44" s="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</row>
    <row r="45" spans="1:58" ht="12.75" customHeight="1" x14ac:dyDescent="0.25">
      <c r="A45" s="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</row>
    <row r="46" spans="1:58" ht="12.75" customHeight="1" x14ac:dyDescent="0.25">
      <c r="A46" s="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</row>
    <row r="47" spans="1:58" ht="12.75" customHeight="1" x14ac:dyDescent="0.25">
      <c r="A47" s="1"/>
    </row>
    <row r="48" spans="1:58" ht="12.75" customHeight="1" x14ac:dyDescent="0.25">
      <c r="A48" s="1"/>
      <c r="B48" s="27" t="s">
        <v>29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</row>
    <row r="49" spans="1:58" ht="12.75" customHeight="1" x14ac:dyDescent="0.25">
      <c r="A49" s="1"/>
      <c r="B49" s="42" t="s">
        <v>30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6">
        <v>0</v>
      </c>
      <c r="AZ49" s="8"/>
      <c r="BA49" s="8"/>
      <c r="BB49" s="8"/>
      <c r="BC49" s="8"/>
      <c r="BD49" s="8"/>
      <c r="BE49" s="8"/>
      <c r="BF49" s="8"/>
    </row>
    <row r="50" spans="1:58" ht="12.75" customHeight="1" x14ac:dyDescent="0.25">
      <c r="A50" s="1"/>
      <c r="B50" s="42" t="s">
        <v>31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6">
        <v>0</v>
      </c>
      <c r="AZ50" s="6"/>
      <c r="BA50" s="6"/>
      <c r="BB50" s="6"/>
      <c r="BC50" s="6"/>
      <c r="BD50" s="6"/>
      <c r="BE50" s="6"/>
      <c r="BF50" s="6"/>
    </row>
    <row r="51" spans="1:58" ht="12.75" customHeight="1" x14ac:dyDescent="0.25">
      <c r="A51" s="1"/>
      <c r="B51" s="42" t="s">
        <v>32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3" t="e">
        <f>IF(AND(ISNUMBER(AY49),ISNUMBER(AY50)),AY50/AY49*100,"XX.XX")</f>
        <v>#DIV/0!</v>
      </c>
      <c r="O51" s="44"/>
      <c r="P51" s="44"/>
      <c r="Q51" s="44"/>
      <c r="R51" s="44"/>
      <c r="S51" s="44"/>
      <c r="T51" s="44"/>
      <c r="U51" s="44"/>
      <c r="V51" s="17" t="s">
        <v>14</v>
      </c>
      <c r="W51" s="15"/>
      <c r="X51" s="15"/>
      <c r="Y51" s="15"/>
      <c r="Z51" s="7" t="s">
        <v>33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45" t="s">
        <v>34</v>
      </c>
      <c r="AO51" s="46"/>
      <c r="AP51" s="46"/>
      <c r="AQ51" s="46"/>
      <c r="AR51" s="46"/>
      <c r="AS51" s="46"/>
      <c r="AT51" s="46"/>
      <c r="AU51" s="46"/>
      <c r="AV51" t="s">
        <v>14</v>
      </c>
    </row>
    <row r="52" spans="1:58" ht="12.75" customHeight="1" x14ac:dyDescent="0.25">
      <c r="A52" s="1"/>
    </row>
    <row r="53" spans="1:58" ht="12.75" customHeight="1" x14ac:dyDescent="0.25">
      <c r="A53" s="1"/>
    </row>
    <row r="54" spans="1:58" ht="12.75" customHeight="1" x14ac:dyDescent="0.25">
      <c r="A54" s="1"/>
      <c r="B54" s="5" t="s">
        <v>35</v>
      </c>
      <c r="C54" s="5"/>
      <c r="D54" s="5"/>
      <c r="E54" s="5"/>
      <c r="F54" s="5"/>
      <c r="G54" s="5"/>
      <c r="H54" s="5"/>
      <c r="I54" s="6" t="s">
        <v>36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5" t="s">
        <v>23</v>
      </c>
      <c r="AT54" s="5"/>
      <c r="AU54" s="5"/>
      <c r="AV54" s="47" t="s">
        <v>37</v>
      </c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1:58" ht="12.75" customHeight="1" x14ac:dyDescent="0.25">
      <c r="A55" s="1"/>
    </row>
    <row r="56" spans="1:58" ht="12.75" customHeight="1" x14ac:dyDescent="0.25">
      <c r="A56" s="1"/>
    </row>
    <row r="57" spans="1:58" ht="12.75" customHeight="1" x14ac:dyDescent="0.25">
      <c r="A57" s="1"/>
    </row>
    <row r="58" spans="1:58" ht="12.75" customHeight="1" x14ac:dyDescent="0.25">
      <c r="A58" s="1"/>
    </row>
    <row r="59" spans="1:58" ht="12.75" customHeight="1" x14ac:dyDescent="0.25">
      <c r="A59" s="1"/>
    </row>
    <row r="60" spans="1:58" ht="12.75" customHeight="1" x14ac:dyDescent="0.25">
      <c r="A60" s="1"/>
    </row>
    <row r="61" spans="1:58" ht="12.75" customHeight="1" x14ac:dyDescent="0.25"/>
    <row r="62" spans="1:58" ht="12.75" customHeight="1" x14ac:dyDescent="0.25"/>
    <row r="63" spans="1:58" ht="12.75" customHeight="1" x14ac:dyDescent="0.25"/>
    <row r="64" spans="1:5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3">
    <mergeCell ref="B54:H54"/>
    <mergeCell ref="I54:AR54"/>
    <mergeCell ref="AS54:AU54"/>
    <mergeCell ref="AV54:BF54"/>
    <mergeCell ref="B48:BF48"/>
    <mergeCell ref="B49:AX49"/>
    <mergeCell ref="AY49:BF49"/>
    <mergeCell ref="B50:AX50"/>
    <mergeCell ref="AY50:BF50"/>
    <mergeCell ref="B51:M51"/>
    <mergeCell ref="N51:U51"/>
    <mergeCell ref="Z51:AM51"/>
    <mergeCell ref="AN51:AU51"/>
    <mergeCell ref="B45:T45"/>
    <mergeCell ref="U45:AM45"/>
    <mergeCell ref="AN45:BF45"/>
    <mergeCell ref="B46:T46"/>
    <mergeCell ref="U46:AM46"/>
    <mergeCell ref="AN46:BF46"/>
    <mergeCell ref="B42:BF42"/>
    <mergeCell ref="B43:T43"/>
    <mergeCell ref="U43:AM43"/>
    <mergeCell ref="AN43:BF43"/>
    <mergeCell ref="B44:T44"/>
    <mergeCell ref="U44:AM44"/>
    <mergeCell ref="AN44:BF44"/>
    <mergeCell ref="B40:E40"/>
    <mergeCell ref="F40:T40"/>
    <mergeCell ref="U40:X40"/>
    <mergeCell ref="Y40:AM40"/>
    <mergeCell ref="AN40:AQ40"/>
    <mergeCell ref="AR40:BF40"/>
    <mergeCell ref="B39:E39"/>
    <mergeCell ref="F39:T39"/>
    <mergeCell ref="U39:X39"/>
    <mergeCell ref="Y39:AM39"/>
    <mergeCell ref="AN39:AQ39"/>
    <mergeCell ref="AR39:BF39"/>
    <mergeCell ref="B38:E38"/>
    <mergeCell ref="F38:T38"/>
    <mergeCell ref="U38:X38"/>
    <mergeCell ref="Y38:AM38"/>
    <mergeCell ref="AN38:AQ38"/>
    <mergeCell ref="AR38:BF38"/>
    <mergeCell ref="B37:E37"/>
    <mergeCell ref="F37:T37"/>
    <mergeCell ref="U37:X37"/>
    <mergeCell ref="Y37:AM37"/>
    <mergeCell ref="AN37:AQ37"/>
    <mergeCell ref="AR37:BF37"/>
    <mergeCell ref="B36:E36"/>
    <mergeCell ref="F36:T36"/>
    <mergeCell ref="U36:X36"/>
    <mergeCell ref="Y36:AM36"/>
    <mergeCell ref="AN36:AQ36"/>
    <mergeCell ref="AR36:BF36"/>
    <mergeCell ref="B35:E35"/>
    <mergeCell ref="F35:T35"/>
    <mergeCell ref="U35:X35"/>
    <mergeCell ref="Y35:AM35"/>
    <mergeCell ref="AN35:AQ35"/>
    <mergeCell ref="AR35:BF35"/>
    <mergeCell ref="B34:E34"/>
    <mergeCell ref="F34:T34"/>
    <mergeCell ref="U34:X34"/>
    <mergeCell ref="Y34:AM34"/>
    <mergeCell ref="AN34:AQ34"/>
    <mergeCell ref="AR34:BF34"/>
    <mergeCell ref="B33:E33"/>
    <mergeCell ref="F33:T33"/>
    <mergeCell ref="U33:X33"/>
    <mergeCell ref="Y33:AM33"/>
    <mergeCell ref="AN33:AQ33"/>
    <mergeCell ref="AR33:BF33"/>
    <mergeCell ref="B32:E32"/>
    <mergeCell ref="F32:T32"/>
    <mergeCell ref="U32:X32"/>
    <mergeCell ref="Y32:AM32"/>
    <mergeCell ref="AN32:AQ32"/>
    <mergeCell ref="AR32:BF32"/>
    <mergeCell ref="B31:E31"/>
    <mergeCell ref="F31:T31"/>
    <mergeCell ref="U31:X31"/>
    <mergeCell ref="Y31:AM31"/>
    <mergeCell ref="AN31:AQ31"/>
    <mergeCell ref="AR31:BF31"/>
    <mergeCell ref="B30:E30"/>
    <mergeCell ref="F30:T30"/>
    <mergeCell ref="U30:X30"/>
    <mergeCell ref="Y30:AM30"/>
    <mergeCell ref="AN30:AQ30"/>
    <mergeCell ref="AR30:BF30"/>
    <mergeCell ref="B27:E29"/>
    <mergeCell ref="F27:T29"/>
    <mergeCell ref="U27:X29"/>
    <mergeCell ref="Y27:AM29"/>
    <mergeCell ref="AN27:AQ29"/>
    <mergeCell ref="AR27:BF29"/>
    <mergeCell ref="F19:U19"/>
    <mergeCell ref="V19:AH19"/>
    <mergeCell ref="AI19:AZ19"/>
    <mergeCell ref="B22:T22"/>
    <mergeCell ref="B23:BF23"/>
    <mergeCell ref="B24:BF25"/>
    <mergeCell ref="F17:U17"/>
    <mergeCell ref="V17:AH17"/>
    <mergeCell ref="AI17:AZ17"/>
    <mergeCell ref="F18:U18"/>
    <mergeCell ref="V18:AH18"/>
    <mergeCell ref="AI18:AZ18"/>
    <mergeCell ref="B11:AV11"/>
    <mergeCell ref="AW11:BB11"/>
    <mergeCell ref="B12:AQ12"/>
    <mergeCell ref="AR12:AW12"/>
    <mergeCell ref="B13:BE13"/>
    <mergeCell ref="F16:U16"/>
    <mergeCell ref="V16:AH16"/>
    <mergeCell ref="AI16:AZ16"/>
    <mergeCell ref="B6:E6"/>
    <mergeCell ref="F6:K6"/>
    <mergeCell ref="L6:W6"/>
    <mergeCell ref="X6:AU6"/>
    <mergeCell ref="B10:AP10"/>
    <mergeCell ref="AQ10:AV10"/>
    <mergeCell ref="B1:BF1"/>
    <mergeCell ref="B2:BF2"/>
    <mergeCell ref="B3:BF3"/>
    <mergeCell ref="B5:E5"/>
    <mergeCell ref="F5:K5"/>
    <mergeCell ref="L5:W5"/>
    <mergeCell ref="X5:AU5"/>
    <mergeCell ref="AV5:AY5"/>
    <mergeCell ref="AZ5:B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95" t="s">
        <v>159</v>
      </c>
      <c r="B1" s="196"/>
      <c r="C1" s="197"/>
      <c r="D1" s="198"/>
      <c r="E1" s="198"/>
      <c r="F1" s="197"/>
      <c r="G1" s="199"/>
      <c r="H1" s="199"/>
      <c r="I1" s="198"/>
      <c r="J1" s="196"/>
    </row>
    <row r="2" spans="1:10" ht="15" customHeight="1" x14ac:dyDescent="0.25">
      <c r="A2" s="195"/>
      <c r="B2" s="200" t="s">
        <v>126</v>
      </c>
      <c r="C2" s="201">
        <v>42309</v>
      </c>
      <c r="D2" s="262"/>
      <c r="E2" s="202"/>
      <c r="F2" s="200" t="s">
        <v>127</v>
      </c>
      <c r="G2" s="203" t="s">
        <v>128</v>
      </c>
      <c r="H2" s="204"/>
      <c r="I2" s="198"/>
      <c r="J2" s="196"/>
    </row>
    <row r="3" spans="1:10" ht="15" customHeight="1" x14ac:dyDescent="0.25">
      <c r="A3" s="195"/>
      <c r="B3" s="200" t="s">
        <v>129</v>
      </c>
      <c r="C3" s="205">
        <v>41061</v>
      </c>
      <c r="D3" s="263"/>
      <c r="E3" s="202"/>
      <c r="F3" s="200" t="s">
        <v>130</v>
      </c>
      <c r="G3" s="206" t="s">
        <v>131</v>
      </c>
      <c r="H3" s="206"/>
      <c r="I3" s="198"/>
      <c r="J3" s="196"/>
    </row>
    <row r="4" spans="1:10" ht="15" customHeight="1" x14ac:dyDescent="0.25">
      <c r="A4" s="208"/>
      <c r="B4" s="200" t="s">
        <v>132</v>
      </c>
      <c r="C4" s="209">
        <v>22011</v>
      </c>
      <c r="D4" s="264"/>
      <c r="E4" s="202"/>
      <c r="F4" s="200" t="s">
        <v>133</v>
      </c>
      <c r="G4" s="207"/>
      <c r="H4" s="207"/>
      <c r="I4" s="210"/>
      <c r="J4" s="196"/>
    </row>
    <row r="5" spans="1:10" ht="15" customHeight="1" x14ac:dyDescent="0.25">
      <c r="A5" s="211"/>
      <c r="B5" s="212"/>
      <c r="C5" s="212"/>
      <c r="D5" s="265"/>
      <c r="E5" s="202"/>
      <c r="F5" s="213"/>
      <c r="G5" s="214"/>
      <c r="H5" s="214"/>
      <c r="I5" s="215"/>
      <c r="J5" s="196"/>
    </row>
    <row r="6" spans="1:10" ht="15" customHeight="1" x14ac:dyDescent="0.25">
      <c r="A6" s="211"/>
      <c r="B6" s="212"/>
      <c r="C6" s="212"/>
      <c r="D6" s="216"/>
      <c r="E6" s="216"/>
      <c r="F6" s="216"/>
      <c r="G6" s="212"/>
      <c r="H6" s="217" t="s">
        <v>134</v>
      </c>
      <c r="I6" s="218">
        <v>4</v>
      </c>
      <c r="J6" s="196"/>
    </row>
    <row r="7" spans="1:10" ht="15" customHeight="1" x14ac:dyDescent="0.25">
      <c r="A7" s="211"/>
      <c r="B7" s="212"/>
      <c r="C7" s="212"/>
      <c r="D7" s="212"/>
      <c r="E7" s="216"/>
      <c r="F7" s="216"/>
      <c r="G7" s="212"/>
      <c r="H7" s="217" t="s">
        <v>135</v>
      </c>
      <c r="I7" s="218" t="s">
        <v>136</v>
      </c>
      <c r="J7" s="196"/>
    </row>
    <row r="8" spans="1:10" ht="12.75" customHeight="1" x14ac:dyDescent="0.25">
      <c r="A8" s="208"/>
      <c r="B8" s="208"/>
      <c r="C8" s="219"/>
      <c r="D8" s="210"/>
      <c r="E8" s="210"/>
      <c r="F8" s="219"/>
      <c r="G8" s="220"/>
      <c r="H8" s="220"/>
      <c r="I8" s="210"/>
      <c r="J8" s="196"/>
    </row>
    <row r="9" spans="1:10" ht="15" customHeight="1" x14ac:dyDescent="0.25">
      <c r="A9" s="211"/>
      <c r="B9" s="212"/>
      <c r="C9" s="212"/>
      <c r="D9" s="212"/>
      <c r="E9" s="216"/>
      <c r="F9" s="216"/>
      <c r="G9" s="212"/>
      <c r="H9" s="217" t="s">
        <v>137</v>
      </c>
      <c r="I9" s="218">
        <v>0.5</v>
      </c>
      <c r="J9" s="196"/>
    </row>
    <row r="10" spans="1:10" ht="15" customHeight="1" x14ac:dyDescent="0.25">
      <c r="A10" s="211"/>
      <c r="B10" s="212"/>
      <c r="C10" s="212"/>
      <c r="D10" s="212"/>
      <c r="E10" s="216"/>
      <c r="F10" s="216"/>
      <c r="G10" s="212"/>
      <c r="H10" s="217" t="s">
        <v>138</v>
      </c>
      <c r="I10" s="218">
        <f>4-I9</f>
        <v>3.5</v>
      </c>
      <c r="J10" s="196"/>
    </row>
    <row r="11" spans="1:10" ht="12.75" customHeight="1" x14ac:dyDescent="0.25">
      <c r="A11" s="221"/>
      <c r="B11" s="221"/>
      <c r="C11" s="197"/>
      <c r="D11" s="198"/>
      <c r="E11" s="198"/>
      <c r="F11" s="197"/>
      <c r="G11" s="199"/>
      <c r="H11" s="199"/>
      <c r="I11" s="198"/>
      <c r="J11" s="196"/>
    </row>
    <row r="12" spans="1:10" ht="12.75" customHeight="1" x14ac:dyDescent="0.25">
      <c r="A12" s="221"/>
      <c r="B12" s="221" t="s">
        <v>139</v>
      </c>
      <c r="C12" s="222"/>
      <c r="D12" s="223"/>
      <c r="E12" s="223"/>
      <c r="F12" s="222"/>
      <c r="G12" s="224"/>
      <c r="H12" s="224"/>
      <c r="I12" s="198"/>
      <c r="J12" s="196"/>
    </row>
    <row r="13" spans="1:10" ht="13.5" customHeight="1" thickBot="1" x14ac:dyDescent="0.3">
      <c r="A13" s="221"/>
      <c r="B13" s="221"/>
      <c r="C13" s="197"/>
      <c r="D13" s="198"/>
      <c r="E13" s="198"/>
      <c r="F13" s="197"/>
      <c r="G13" s="199"/>
      <c r="H13" s="199"/>
      <c r="I13" s="198"/>
      <c r="J13" s="196"/>
    </row>
    <row r="14" spans="1:10" ht="16.5" customHeight="1" thickTop="1" x14ac:dyDescent="0.3">
      <c r="A14" s="221"/>
      <c r="B14" s="225"/>
      <c r="C14" s="226" t="s">
        <v>140</v>
      </c>
      <c r="D14" s="227" t="s">
        <v>141</v>
      </c>
      <c r="E14" s="227"/>
      <c r="F14" s="226"/>
      <c r="G14" s="228"/>
      <c r="H14" s="228" t="s">
        <v>142</v>
      </c>
      <c r="I14" s="229" t="s">
        <v>143</v>
      </c>
      <c r="J14" s="196"/>
    </row>
    <row r="15" spans="1:10" ht="12.75" customHeight="1" x14ac:dyDescent="0.25">
      <c r="A15" s="221"/>
      <c r="B15" s="230" t="s">
        <v>23</v>
      </c>
      <c r="C15" s="231" t="s">
        <v>144</v>
      </c>
      <c r="D15" s="232" t="s">
        <v>145</v>
      </c>
      <c r="E15" s="232"/>
      <c r="F15" s="231" t="s">
        <v>146</v>
      </c>
      <c r="G15" s="233" t="s">
        <v>147</v>
      </c>
      <c r="H15" s="233" t="s">
        <v>148</v>
      </c>
      <c r="I15" s="234" t="s">
        <v>149</v>
      </c>
      <c r="J15" s="196"/>
    </row>
    <row r="16" spans="1:10" ht="13.5" customHeight="1" thickBot="1" x14ac:dyDescent="0.3">
      <c r="A16" s="221"/>
      <c r="B16" s="235"/>
      <c r="C16" s="236" t="s">
        <v>150</v>
      </c>
      <c r="D16" s="237" t="s">
        <v>151</v>
      </c>
      <c r="E16" s="237" t="s">
        <v>152</v>
      </c>
      <c r="F16" s="236" t="s">
        <v>153</v>
      </c>
      <c r="G16" s="238" t="s">
        <v>154</v>
      </c>
      <c r="H16" s="238" t="s">
        <v>154</v>
      </c>
      <c r="I16" s="239" t="s">
        <v>155</v>
      </c>
      <c r="J16" s="196"/>
    </row>
    <row r="17" spans="1:10" ht="13.5" customHeight="1" thickTop="1" x14ac:dyDescent="0.25">
      <c r="A17" s="221"/>
      <c r="B17" s="240">
        <v>1</v>
      </c>
      <c r="C17" s="241">
        <f>VLOOKUP(1,'Operational Worksheet'!$A$9:$O$32,10)</f>
        <v>27.640242431189517</v>
      </c>
      <c r="D17" s="241">
        <f>VLOOKUP(1,'Operational Worksheet'!$A$9:$O$32,7)</f>
        <v>2.1461715698242187</v>
      </c>
      <c r="E17" s="241"/>
      <c r="F17" s="241">
        <f>(VLOOKUP(1,'Operational Worksheet'!$A$9:$O$32,5)-32)/1.8</f>
        <v>9.0980772522684141</v>
      </c>
      <c r="G17" s="242">
        <f>C17*D17</f>
        <v>59.320702488867987</v>
      </c>
      <c r="H17" s="243">
        <f>VLOOKUP(1,'Operational Worksheet'!$A$9:$O$32,8)</f>
        <v>5.6000000000000005</v>
      </c>
      <c r="I17" s="244">
        <f>G17/H17</f>
        <v>10.592982587297854</v>
      </c>
      <c r="J17" s="196"/>
    </row>
    <row r="18" spans="1:10" ht="12.75" customHeight="1" x14ac:dyDescent="0.25">
      <c r="A18" s="221"/>
      <c r="B18" s="245">
        <v>2</v>
      </c>
      <c r="C18" s="241">
        <f>VLOOKUP(1,'Operational Worksheet'!$A$33:$O$56,10)</f>
        <v>21.462501689317559</v>
      </c>
      <c r="D18" s="241">
        <f>VLOOKUP(1,'Operational Worksheet'!$A$33:$O$56,7)</f>
        <v>1.9745224714279175</v>
      </c>
      <c r="E18" s="241"/>
      <c r="F18" s="241">
        <f>(VLOOKUP(1,'Operational Worksheet'!$A$33:$O$56,5)-32)/1.8</f>
        <v>9.4803266090288929</v>
      </c>
      <c r="G18" s="243">
        <f>C18*D18</f>
        <v>42.378191878617159</v>
      </c>
      <c r="H18" s="243">
        <f>VLOOKUP(1,'Operational Worksheet'!$A$33:$O$56,8)</f>
        <v>5.6000000000000005</v>
      </c>
      <c r="I18" s="246">
        <f>G18/H18</f>
        <v>7.5675342640387777</v>
      </c>
      <c r="J18" s="196"/>
    </row>
    <row r="19" spans="1:10" ht="12.75" customHeight="1" x14ac:dyDescent="0.25">
      <c r="A19" s="221"/>
      <c r="B19" s="245">
        <v>3</v>
      </c>
      <c r="C19" s="241">
        <f>VLOOKUP(1,'Operational Worksheet'!$A$57:$O$80,10)</f>
        <v>28.285633380920885</v>
      </c>
      <c r="D19" s="241">
        <f>VLOOKUP(1,'Operational Worksheet'!$A$57:$O$80,7)</f>
        <v>2.2834694385528564</v>
      </c>
      <c r="E19" s="241"/>
      <c r="F19" s="241">
        <f>(VLOOKUP(1,'Operational Worksheet'!$A$57:$O$80,5)-32)/1.8</f>
        <v>8.5820414139156167</v>
      </c>
      <c r="G19" s="243">
        <f>C19*D19</f>
        <v>64.589379375443343</v>
      </c>
      <c r="H19" s="243">
        <f>VLOOKUP(1,'Operational Worksheet'!$A$57:$O$80,8)</f>
        <v>5.9499999999999993</v>
      </c>
      <c r="I19" s="246">
        <f>G19/H19</f>
        <v>10.855357878225773</v>
      </c>
      <c r="J19" s="196"/>
    </row>
    <row r="20" spans="1:10" ht="12.75" customHeight="1" x14ac:dyDescent="0.25">
      <c r="A20" s="221"/>
      <c r="B20" s="245">
        <v>4</v>
      </c>
      <c r="C20" s="241">
        <f>VLOOKUP(1,'Operational Worksheet'!$A$81:$O$104,10)</f>
        <v>28.375649846624572</v>
      </c>
      <c r="D20" s="241">
        <f>VLOOKUP(1,'Operational Worksheet'!$A$81:$O$104,7)</f>
        <v>2.3453233242034912</v>
      </c>
      <c r="E20" s="241"/>
      <c r="F20" s="241">
        <f>(VLOOKUP(1,'Operational Worksheet'!$A$81:$O$104,5)-32)/1.8</f>
        <v>7.8846952650282116</v>
      </c>
      <c r="G20" s="243">
        <f>C20*D20</f>
        <v>66.550073424719827</v>
      </c>
      <c r="H20" s="243">
        <f>VLOOKUP(1,'Operational Worksheet'!$A$81:$O$104,8)</f>
        <v>6.3000000000000007</v>
      </c>
      <c r="I20" s="246">
        <f>G20/H20</f>
        <v>10.563503718209494</v>
      </c>
      <c r="J20" s="196"/>
    </row>
    <row r="21" spans="1:10" ht="12.75" customHeight="1" x14ac:dyDescent="0.25">
      <c r="A21" s="221"/>
      <c r="B21" s="245">
        <v>5</v>
      </c>
      <c r="C21" s="241">
        <f>VLOOKUP(1,'Operational Worksheet'!$A$105:$O$128,10)</f>
        <v>28.148523134046329</v>
      </c>
      <c r="D21" s="241">
        <f>VLOOKUP(1,'Operational Worksheet'!$A$105:$O$128,7)</f>
        <v>2.1049714088439941</v>
      </c>
      <c r="E21" s="241"/>
      <c r="F21" s="241">
        <f>(VLOOKUP(1,'Operational Worksheet'!$A$105:$O$128,5)-32)/1.8</f>
        <v>7.7944013807508679</v>
      </c>
      <c r="G21" s="243">
        <f>C21*D21</f>
        <v>59.251836398351259</v>
      </c>
      <c r="H21" s="243">
        <f>VLOOKUP(1,'Operational Worksheet'!$A$105:$O$128,8)</f>
        <v>6.3000000000000007</v>
      </c>
      <c r="I21" s="246">
        <f>G21/H21</f>
        <v>9.4050533965636909</v>
      </c>
      <c r="J21" s="196"/>
    </row>
    <row r="22" spans="1:10" ht="12.75" customHeight="1" x14ac:dyDescent="0.25">
      <c r="A22" s="221"/>
      <c r="B22" s="245">
        <v>6</v>
      </c>
      <c r="C22" s="241">
        <f>VLOOKUP(1,'Operational Worksheet'!$A$129:$O$152,10)</f>
        <v>20.776272696250849</v>
      </c>
      <c r="D22" s="241">
        <f>VLOOKUP(1,'Operational Worksheet'!$A$129:$O$152,7)</f>
        <v>2.3248836994171143</v>
      </c>
      <c r="E22" s="241"/>
      <c r="F22" s="241">
        <f>VLOOKUP(1,'Operational Worksheet'!$A$129:$O$152,5)-32/1.8</f>
        <v>27.418297661675346</v>
      </c>
      <c r="G22" s="243">
        <f>C22*D22</f>
        <v>48.30241772615846</v>
      </c>
      <c r="H22" s="243">
        <f>VLOOKUP(1,'Operational Worksheet'!$A$129:$O$152,8)</f>
        <v>6.3000000000000007</v>
      </c>
      <c r="I22" s="246">
        <f>G22/H22</f>
        <v>7.6670504327235642</v>
      </c>
      <c r="J22" s="196"/>
    </row>
    <row r="23" spans="1:10" ht="12.75" customHeight="1" x14ac:dyDescent="0.25">
      <c r="A23" s="221"/>
      <c r="B23" s="245">
        <v>7</v>
      </c>
      <c r="C23" s="241">
        <f>VLOOKUP(1,'Operational Worksheet'!$A$153:$O$176,10)</f>
        <v>23.909154544806235</v>
      </c>
      <c r="D23" s="241">
        <f>VLOOKUP(1,'Operational Worksheet'!$A$153:$O$176,7)</f>
        <v>2.1323668956756592</v>
      </c>
      <c r="E23" s="241"/>
      <c r="F23" s="241">
        <f>(VLOOKUP(1,'Operational Worksheet'!$A$153:$O$176,5)-32)/1.8</f>
        <v>5.0443585713704424</v>
      </c>
      <c r="G23" s="243">
        <f>C23*D23</f>
        <v>50.983089654938048</v>
      </c>
      <c r="H23" s="243">
        <f>VLOOKUP(1,'Operational Worksheet'!$A$153:$O$176,8)</f>
        <v>7</v>
      </c>
      <c r="I23" s="246">
        <f>G23/H23</f>
        <v>7.2832985221340065</v>
      </c>
      <c r="J23" s="196"/>
    </row>
    <row r="24" spans="1:10" ht="12.75" customHeight="1" x14ac:dyDescent="0.25">
      <c r="A24" s="221"/>
      <c r="B24" s="245">
        <v>8</v>
      </c>
      <c r="C24" s="241">
        <f>VLOOKUP(1,'Operational Worksheet'!$A$177:$O$200,10)</f>
        <v>24.114664487787095</v>
      </c>
      <c r="D24" s="241">
        <f>VLOOKUP(1,'Operational Worksheet'!$A$177:$O$200,7)</f>
        <v>2.1323668956756592</v>
      </c>
      <c r="E24" s="241"/>
      <c r="F24" s="241">
        <f>(VLOOKUP(1,'Operational Worksheet'!$A$177:$O$200,5)-32)/1.8</f>
        <v>4.7675874498155384</v>
      </c>
      <c r="G24" s="243">
        <f>C24*D24</f>
        <v>51.421312254082629</v>
      </c>
      <c r="H24" s="243">
        <f>VLOOKUP(1,'Operational Worksheet'!$A$177:$O$200,8)</f>
        <v>7.7875000000000005</v>
      </c>
      <c r="I24" s="246">
        <f>G24/H24</f>
        <v>6.6030577533332426</v>
      </c>
      <c r="J24" s="196"/>
    </row>
    <row r="25" spans="1:10" ht="12.75" customHeight="1" x14ac:dyDescent="0.25">
      <c r="A25" s="221"/>
      <c r="B25" s="245">
        <v>9</v>
      </c>
      <c r="C25" s="241">
        <f>VLOOKUP(1,'Operational Worksheet'!$A$201:$O$224,10)</f>
        <v>22.339044330367329</v>
      </c>
      <c r="D25" s="241">
        <f>VLOOKUP(1,'Operational Worksheet'!$A$201:$O$224,7)</f>
        <v>2.2973811626434326</v>
      </c>
      <c r="E25" s="241"/>
      <c r="F25" s="241">
        <f>(VLOOKUP(1,'Operational Worksheet'!$A$201:$O$224,5)-32)/1.8</f>
        <v>5.0875430636935759</v>
      </c>
      <c r="G25" s="243">
        <f>C25*D25</f>
        <v>51.321299636042475</v>
      </c>
      <c r="H25" s="243">
        <f>VLOOKUP(1,'Operational Worksheet'!$A$201:$O$224,8)</f>
        <v>7</v>
      </c>
      <c r="I25" s="246">
        <f>G25/H25</f>
        <v>7.3316142337203534</v>
      </c>
      <c r="J25" s="196"/>
    </row>
    <row r="26" spans="1:10" ht="12.75" customHeight="1" x14ac:dyDescent="0.25">
      <c r="A26" s="221"/>
      <c r="B26" s="245">
        <v>10</v>
      </c>
      <c r="C26" s="241">
        <f>VLOOKUP(1,'Operational Worksheet'!$A$225:$O$248,10)</f>
        <v>17.715011562973906</v>
      </c>
      <c r="D26" s="241">
        <f>VLOOKUP(1,'Operational Worksheet'!$A$225:$O$248,7)</f>
        <v>2.5516448020935059</v>
      </c>
      <c r="E26" s="241"/>
      <c r="F26" s="241">
        <f>(VLOOKUP(1,'Operational Worksheet'!$A$225:$O$248,5)-32)/1.8</f>
        <v>6.2044419182671442</v>
      </c>
      <c r="G26" s="243">
        <f>C26*D26</f>
        <v>45.202417173688723</v>
      </c>
      <c r="H26" s="243">
        <f>VLOOKUP(1,'Operational Worksheet'!$A$225:$O$248,8)</f>
        <v>6.6499999999999995</v>
      </c>
      <c r="I26" s="246">
        <f>G26/H26</f>
        <v>6.7973559659682294</v>
      </c>
      <c r="J26" s="196"/>
    </row>
    <row r="27" spans="1:10" ht="12.75" customHeight="1" x14ac:dyDescent="0.25">
      <c r="A27" s="221"/>
      <c r="B27" s="245">
        <v>11</v>
      </c>
      <c r="C27" s="241">
        <f>VLOOKUP(1,'Operational Worksheet'!$A$249:$O$272,10)</f>
        <v>19.016296848914958</v>
      </c>
      <c r="D27" s="241">
        <f>VLOOKUP(1,'Operational Worksheet'!$A$249:$O$272,7)</f>
        <v>2.4897909164428711</v>
      </c>
      <c r="E27" s="241"/>
      <c r="F27" s="241">
        <f>(VLOOKUP(1,'Operational Worksheet'!$A$249:$O$272,5)-32)/1.8</f>
        <v>4.4417444864908857</v>
      </c>
      <c r="G27" s="243">
        <f>C27*D27</f>
        <v>47.346603158809657</v>
      </c>
      <c r="H27" s="243">
        <f>VLOOKUP(1,'Operational Worksheet'!$A$249:$O$272,8)</f>
        <v>7.7875000000000005</v>
      </c>
      <c r="I27" s="246">
        <f>G27/H27</f>
        <v>6.0798206303447389</v>
      </c>
      <c r="J27" s="196"/>
    </row>
    <row r="28" spans="1:10" ht="12.75" customHeight="1" x14ac:dyDescent="0.25">
      <c r="A28" s="221"/>
      <c r="B28" s="245">
        <v>12</v>
      </c>
      <c r="C28" s="241">
        <f>VLOOKUP(1,'Operational Worksheet'!$A$273:$O$296,10)</f>
        <v>19.039695468290237</v>
      </c>
      <c r="D28" s="241">
        <f>VLOOKUP(1,'Operational Worksheet'!$A$273:$O$296,7)</f>
        <v>2.3590207099914551</v>
      </c>
      <c r="E28" s="241"/>
      <c r="F28" s="241">
        <f>(VLOOKUP(1,'Operational Worksheet'!$A$273:$O$296,5)-32)/1.8</f>
        <v>4.4444906661165717</v>
      </c>
      <c r="G28" s="243">
        <f>C28*D28</f>
        <v>44.915035921627123</v>
      </c>
      <c r="H28" s="243">
        <f>VLOOKUP(1,'Operational Worksheet'!$A$273:$O$296,8)</f>
        <v>7.7875000000000005</v>
      </c>
      <c r="I28" s="246">
        <f>G28/H28</f>
        <v>5.7675808567097429</v>
      </c>
      <c r="J28" s="196"/>
    </row>
    <row r="29" spans="1:10" ht="12.75" customHeight="1" x14ac:dyDescent="0.25">
      <c r="A29" s="221"/>
      <c r="B29" s="245">
        <v>13</v>
      </c>
      <c r="C29" s="241">
        <f>VLOOKUP(1,'Operational Worksheet'!$A$297:$O$320,10)</f>
        <v>20.925679667490012</v>
      </c>
      <c r="D29" s="241">
        <f>VLOOKUP(1,'Operational Worksheet'!$A$297:$O$320,7)</f>
        <v>2.2698788642883301</v>
      </c>
      <c r="E29" s="241"/>
      <c r="F29" s="241">
        <f>(VLOOKUP(1,'Operational Worksheet'!$A$297:$O$320,5)-32)/1.8</f>
        <v>3.8862397935655379</v>
      </c>
      <c r="G29" s="243">
        <f>C29*D29</f>
        <v>47.498757998103628</v>
      </c>
      <c r="H29" s="243">
        <f>VLOOKUP(1,'Operational Worksheet'!$A$297:$O$320,8)</f>
        <v>8.5750000000000011</v>
      </c>
      <c r="I29" s="246">
        <f>G29/H29</f>
        <v>5.5392137607117924</v>
      </c>
      <c r="J29" s="196"/>
    </row>
    <row r="30" spans="1:10" ht="12.75" customHeight="1" x14ac:dyDescent="0.25">
      <c r="A30" s="221"/>
      <c r="B30" s="245">
        <v>14</v>
      </c>
      <c r="C30" s="241">
        <f>VLOOKUP(1,'Operational Worksheet'!$A$321:$O$344,10)</f>
        <v>16.733596323677034</v>
      </c>
      <c r="D30" s="241">
        <f>VLOOKUP(1,'Operational Worksheet'!$A$321:$O$344,7)</f>
        <v>2.400648832321167</v>
      </c>
      <c r="E30" s="241"/>
      <c r="F30" s="241">
        <f>(VLOOKUP(1,'Operational Worksheet'!$A$321:$O$344,5)-32)/1.8</f>
        <v>4.2101203070746527</v>
      </c>
      <c r="G30" s="243">
        <f>C30*D30</f>
        <v>40.171488474969046</v>
      </c>
      <c r="H30" s="243">
        <f>VLOOKUP(1,'Operational Worksheet'!$A$321:$O$344,8)</f>
        <v>7.7875000000000005</v>
      </c>
      <c r="I30" s="246">
        <f>G30/H30</f>
        <v>5.1584575890810971</v>
      </c>
      <c r="J30" s="196"/>
    </row>
    <row r="31" spans="1:10" ht="12.75" customHeight="1" x14ac:dyDescent="0.25">
      <c r="A31" s="221"/>
      <c r="B31" s="245">
        <v>15</v>
      </c>
      <c r="C31" s="241">
        <f>VLOOKUP(1,'Operational Worksheet'!$A$345:$O$368,10)</f>
        <v>20.890287325600351</v>
      </c>
      <c r="D31" s="241">
        <f>VLOOKUP(1,'Operational Worksheet'!$A$345:$O$368,7)</f>
        <v>2.3866300582885742</v>
      </c>
      <c r="E31" s="241"/>
      <c r="F31" s="241">
        <f>(VLOOKUP(1,'Operational Worksheet'!$A$345:$O$368,5)-32)/1.8</f>
        <v>4.8873265584309893</v>
      </c>
      <c r="G31" s="243">
        <f>C31*D31</f>
        <v>49.857387657562626</v>
      </c>
      <c r="H31" s="243">
        <f>VLOOKUP(1,'Operational Worksheet'!$A$345:$O$368,8)</f>
        <v>7.7875000000000005</v>
      </c>
      <c r="I31" s="246">
        <f>G31/H31</f>
        <v>6.4022327650160671</v>
      </c>
      <c r="J31" s="196"/>
    </row>
    <row r="32" spans="1:10" ht="12.75" customHeight="1" x14ac:dyDescent="0.25">
      <c r="A32" s="221"/>
      <c r="B32" s="245">
        <v>16</v>
      </c>
      <c r="C32" s="241">
        <f>VLOOKUP(1,'Operational Worksheet'!$A$369:$O$392,10)</f>
        <v>20.851140890287315</v>
      </c>
      <c r="D32" s="241">
        <f>VLOOKUP(1,'Operational Worksheet'!$A$369:$O$392,7)</f>
        <v>2.3729324340820313</v>
      </c>
      <c r="E32" s="241"/>
      <c r="F32" s="241">
        <f>(VLOOKUP(1,'Operational Worksheet'!$A$369:$O$392,5)-32)/1.8</f>
        <v>4.467264811197917</v>
      </c>
      <c r="G32" s="243">
        <f>C32*D32</f>
        <v>49.47834850617685</v>
      </c>
      <c r="H32" s="243">
        <f>VLOOKUP(1,'Operational Worksheet'!$A$369:$O$392,8)</f>
        <v>7.7875000000000005</v>
      </c>
      <c r="I32" s="246">
        <f>G32/H32</f>
        <v>6.3535600007931743</v>
      </c>
      <c r="J32" s="196"/>
    </row>
    <row r="33" spans="1:10" ht="12.75" customHeight="1" x14ac:dyDescent="0.25">
      <c r="A33" s="221"/>
      <c r="B33" s="245">
        <v>17</v>
      </c>
      <c r="C33" s="241">
        <f>VLOOKUP(1,'Operational Worksheet'!$A$393:$O$416,10)</f>
        <v>20.935827216675772</v>
      </c>
      <c r="D33" s="241">
        <f>VLOOKUP(1,'Operational Worksheet'!$A$393:$O$416,7)</f>
        <v>2.4762005805969238</v>
      </c>
      <c r="E33" s="241"/>
      <c r="F33" s="241">
        <f>(VLOOKUP(1,'Operational Worksheet'!$A$393:$O$416,5)-32)/1.8</f>
        <v>3.9333491855197482</v>
      </c>
      <c r="G33" s="243">
        <f>C33*D33</f>
        <v>51.841307509209429</v>
      </c>
      <c r="H33" s="243">
        <f>VLOOKUP(1,'Operational Worksheet'!$A$393:$O$416,8)</f>
        <v>8.5750000000000011</v>
      </c>
      <c r="I33" s="246">
        <f>G33/H33</f>
        <v>6.0456335287707779</v>
      </c>
      <c r="J33" s="196"/>
    </row>
    <row r="34" spans="1:10" ht="12.75" customHeight="1" x14ac:dyDescent="0.25">
      <c r="A34" s="221"/>
      <c r="B34" s="245">
        <v>18</v>
      </c>
      <c r="C34" s="241">
        <f>VLOOKUP(1,'Operational Worksheet'!$A$417:$O$440,10)</f>
        <v>17.622041387288828</v>
      </c>
      <c r="D34" s="241">
        <f>VLOOKUP(1,'Operational Worksheet'!$A$417:$O$440,7)</f>
        <v>2.6893706321716309</v>
      </c>
      <c r="E34" s="241"/>
      <c r="F34" s="241">
        <f>(VLOOKUP(1,'Operational Worksheet'!$A$417:$O$440,5)-32)/1.8</f>
        <v>4.5850372314453125</v>
      </c>
      <c r="G34" s="243">
        <f>C34*D34</f>
        <v>47.392200585887601</v>
      </c>
      <c r="H34" s="243">
        <f>VLOOKUP(1,'Operational Worksheet'!$A$417:$O$440,8)</f>
        <v>7.7875000000000005</v>
      </c>
      <c r="I34" s="246">
        <f>G34/H34</f>
        <v>6.0856758376741702</v>
      </c>
      <c r="J34" s="196"/>
    </row>
    <row r="35" spans="1:10" ht="12.75" customHeight="1" x14ac:dyDescent="0.25">
      <c r="A35" s="221"/>
      <c r="B35" s="245">
        <v>19</v>
      </c>
      <c r="C35" s="241">
        <f>VLOOKUP(1,'Operational Worksheet'!$A$441:$O$464,10)</f>
        <v>21.009852870759918</v>
      </c>
      <c r="D35" s="241">
        <f>VLOOKUP(1,'Operational Worksheet'!$A$441:$O$464,7)</f>
        <v>2.5242493152618408</v>
      </c>
      <c r="E35" s="241"/>
      <c r="F35" s="241">
        <f>(VLOOKUP(1,'Operational Worksheet'!$A$441:$O$464,5)-32)/1.8</f>
        <v>3.8185134710144948</v>
      </c>
      <c r="G35" s="243">
        <f>C35*D35</f>
        <v>53.034106722767746</v>
      </c>
      <c r="H35" s="243">
        <f>VLOOKUP(1,'Operational Worksheet'!$A$441:$O$464,8)</f>
        <v>8.5750000000000011</v>
      </c>
      <c r="I35" s="246">
        <f>G35/H35</f>
        <v>6.1847354778737884</v>
      </c>
      <c r="J35" s="196"/>
    </row>
    <row r="36" spans="1:10" ht="12.75" customHeight="1" x14ac:dyDescent="0.25">
      <c r="A36" s="221"/>
      <c r="B36" s="245">
        <v>20</v>
      </c>
      <c r="C36" s="241">
        <f>VLOOKUP(1,'Operational Worksheet'!$A$465:$O$488,10)</f>
        <v>20.983616181857219</v>
      </c>
      <c r="D36" s="241">
        <f>VLOOKUP(1,'Operational Worksheet'!$A$465:$O$488,7)</f>
        <v>2.2837905883789062</v>
      </c>
      <c r="E36" s="241"/>
      <c r="F36" s="241">
        <f>(VLOOKUP(1,'Operational Worksheet'!$A$465:$O$488,5)-32)/1.8</f>
        <v>3.8903915043576216</v>
      </c>
      <c r="G36" s="243">
        <f>C36*D36</f>
        <v>47.922185146280839</v>
      </c>
      <c r="H36" s="243">
        <f>VLOOKUP(1,'Operational Worksheet'!$A$465:$O$488,8)</f>
        <v>8.5750000000000011</v>
      </c>
      <c r="I36" s="246">
        <f>G36/H36</f>
        <v>5.5885930199744411</v>
      </c>
      <c r="J36" s="196"/>
    </row>
    <row r="37" spans="1:10" ht="12.75" customHeight="1" x14ac:dyDescent="0.25">
      <c r="A37" s="221"/>
      <c r="B37" s="245">
        <v>21</v>
      </c>
      <c r="C37" s="241">
        <f>VLOOKUP(1,'Operational Worksheet'!$A$489:$O$512,10)</f>
        <v>20.848914669071611</v>
      </c>
      <c r="D37" s="241">
        <f>VLOOKUP(1,'Operational Worksheet'!$A$489:$O$512,7)</f>
        <v>2.3590207099914551</v>
      </c>
      <c r="E37" s="241"/>
      <c r="F37" s="241">
        <f>(VLOOKUP(1,'Operational Worksheet'!$A$489:$O$512,5)-32)/1.8</f>
        <v>2.9215182682596974</v>
      </c>
      <c r="G37" s="243">
        <f>C37*D37</f>
        <v>49.183021485184575</v>
      </c>
      <c r="H37" s="243">
        <f>VLOOKUP(1,'Operational Worksheet'!$A$489:$O$512,8)</f>
        <v>9.3624999999999989</v>
      </c>
      <c r="I37" s="246">
        <f>G37/H37</f>
        <v>5.253193216041077</v>
      </c>
      <c r="J37" s="196"/>
    </row>
    <row r="38" spans="1:10" ht="12.75" customHeight="1" x14ac:dyDescent="0.25">
      <c r="A38" s="221"/>
      <c r="B38" s="245">
        <v>22</v>
      </c>
      <c r="C38" s="241">
        <f>VLOOKUP(1,'Operational Worksheet'!$A$513:$O$536,10)</f>
        <v>16.703116562902732</v>
      </c>
      <c r="D38" s="241">
        <f>VLOOKUP(1,'Operational Worksheet'!$A$513:$O$536,7)</f>
        <v>2.2563953399658203</v>
      </c>
      <c r="E38" s="241"/>
      <c r="F38" s="241">
        <f>(VLOOKUP(1,'Operational Worksheet'!$A$513:$O$536,5)-32)/1.8</f>
        <v>4.6105575561523437</v>
      </c>
      <c r="G38" s="243">
        <f>C38*D38</f>
        <v>37.688834375439633</v>
      </c>
      <c r="H38" s="243">
        <f>VLOOKUP(1,'Operational Worksheet'!$A$513:$O$536,8)</f>
        <v>7.7875000000000005</v>
      </c>
      <c r="I38" s="246">
        <f>G38/H38</f>
        <v>4.8396577047113487</v>
      </c>
      <c r="J38" s="196"/>
    </row>
    <row r="39" spans="1:10" ht="12.75" customHeight="1" x14ac:dyDescent="0.25">
      <c r="A39" s="221"/>
      <c r="B39" s="245">
        <v>23</v>
      </c>
      <c r="C39" s="241">
        <f>VLOOKUP(1,'Operational Worksheet'!$A$537:$O$560,10)</f>
        <v>20.709812073516041</v>
      </c>
      <c r="D39" s="241">
        <f>VLOOKUP(1,'Operational Worksheet'!$A$537:$O$560,7)</f>
        <v>2.1877999305725098</v>
      </c>
      <c r="E39" s="241"/>
      <c r="F39" s="241">
        <f>(VLOOKUP(1,'Operational Worksheet'!$A$537:$O$560,5)-32)/1.8</f>
        <v>3.9156828986273871</v>
      </c>
      <c r="G39" s="243">
        <f>C39*D39</f>
        <v>45.308925416608119</v>
      </c>
      <c r="H39" s="243">
        <f>VLOOKUP(1,'Operational Worksheet'!$A$537:$O$560,8)</f>
        <v>8.5750000000000011</v>
      </c>
      <c r="I39" s="246">
        <f>G39/H39</f>
        <v>5.2838396987298095</v>
      </c>
      <c r="J39" s="196"/>
    </row>
    <row r="40" spans="1:10" ht="12.75" customHeight="1" x14ac:dyDescent="0.25">
      <c r="A40" s="221"/>
      <c r="B40" s="245">
        <v>24</v>
      </c>
      <c r="C40" s="241">
        <f>VLOOKUP(1,'Operational Worksheet'!$A$561:$O$584,10)</f>
        <v>20.946558311307772</v>
      </c>
      <c r="D40" s="241">
        <f>VLOOKUP(1,'Operational Worksheet'!$A$561:$O$584,7)</f>
        <v>2.4071767330169678</v>
      </c>
      <c r="E40" s="241"/>
      <c r="F40" s="241">
        <f>(VLOOKUP(1,'Operational Worksheet'!$A$561:$O$584,5)-32)/1.8</f>
        <v>3.6114332411024304</v>
      </c>
      <c r="G40" s="243">
        <f>C40*D40</f>
        <v>50.422067803763255</v>
      </c>
      <c r="H40" s="243">
        <f>VLOOKUP(1,'Operational Worksheet'!$A$561:$O$584,8)</f>
        <v>8.5750000000000011</v>
      </c>
      <c r="I40" s="246">
        <f>G40/H40</f>
        <v>5.8801245252202037</v>
      </c>
      <c r="J40" s="196"/>
    </row>
    <row r="41" spans="1:10" ht="12.75" customHeight="1" x14ac:dyDescent="0.25">
      <c r="A41" s="221"/>
      <c r="B41" s="245">
        <v>25</v>
      </c>
      <c r="C41" s="241">
        <f>VLOOKUP(1,'Operational Worksheet'!$A$585:$O$608,10)</f>
        <v>16.836895126078744</v>
      </c>
      <c r="D41" s="241">
        <f>VLOOKUP(1,'Operational Worksheet'!$A$585:$O$608,7)</f>
        <v>2.3868441581726074</v>
      </c>
      <c r="E41" s="241"/>
      <c r="F41" s="241">
        <f>(VLOOKUP(1,'Operational Worksheet'!$A$585:$O$608,5)-32)/1.8</f>
        <v>4.404449462890625</v>
      </c>
      <c r="G41" s="243">
        <f>C41*D41</f>
        <v>40.187044773445898</v>
      </c>
      <c r="H41" s="243">
        <f>VLOOKUP(1,'Operational Worksheet'!$A$585:$O$608,8)</f>
        <v>7.7875000000000005</v>
      </c>
      <c r="I41" s="246">
        <f>G41/H41</f>
        <v>5.1604551876013991</v>
      </c>
      <c r="J41" s="196"/>
    </row>
    <row r="42" spans="1:10" ht="12.75" customHeight="1" x14ac:dyDescent="0.25">
      <c r="A42" s="221"/>
      <c r="B42" s="245">
        <v>26</v>
      </c>
      <c r="C42" s="241">
        <f>VLOOKUP(1,'Operational Worksheet'!$A$609:$O$632,10)</f>
        <v>16.753265555928898</v>
      </c>
      <c r="D42" s="241">
        <f>VLOOKUP(1,'Operational Worksheet'!$A$609:$O$632,7)</f>
        <v>2.1876928806304932</v>
      </c>
      <c r="E42" s="241"/>
      <c r="F42" s="241">
        <f>(VLOOKUP(1,'Operational Worksheet'!$A$609:$O$632,5)-32)/1.8</f>
        <v>3.4245480190687316</v>
      </c>
      <c r="G42" s="243">
        <f>C42*D42</f>
        <v>36.650999784017714</v>
      </c>
      <c r="H42" s="243">
        <f>VLOOKUP(1,'Operational Worksheet'!$A$609:$O$632,8)</f>
        <v>8.5750000000000011</v>
      </c>
      <c r="I42" s="246">
        <f>G42/H42</f>
        <v>4.2741690710224738</v>
      </c>
      <c r="J42" s="196"/>
    </row>
    <row r="43" spans="1:10" ht="12.75" customHeight="1" x14ac:dyDescent="0.25">
      <c r="A43" s="221"/>
      <c r="B43" s="245">
        <v>27</v>
      </c>
      <c r="C43" s="241">
        <f>VLOOKUP(1,'Operational Worksheet'!$A$633:$O$656,10)</f>
        <v>16.613919400960594</v>
      </c>
      <c r="D43" s="241">
        <f>VLOOKUP(1,'Operational Worksheet'!$A$633:$O$656,7)</f>
        <v>2.3521721363067627</v>
      </c>
      <c r="E43" s="241"/>
      <c r="F43" s="241">
        <f>(VLOOKUP(1,'Operational Worksheet'!$A$633:$O$656,5)-32)/1.8</f>
        <v>1.9802517361111112</v>
      </c>
      <c r="G43" s="243">
        <f>C43*D43</f>
        <v>39.078798289785851</v>
      </c>
      <c r="H43" s="243">
        <f>VLOOKUP(1,'Operational Worksheet'!$A$633:$O$656,8)</f>
        <v>10.149999999999999</v>
      </c>
      <c r="I43" s="246">
        <f>G43/H43</f>
        <v>3.8501279103237298</v>
      </c>
      <c r="J43" s="196"/>
    </row>
    <row r="44" spans="1:10" ht="12.75" customHeight="1" x14ac:dyDescent="0.25">
      <c r="A44" s="221"/>
      <c r="B44" s="245">
        <v>28</v>
      </c>
      <c r="C44" s="241">
        <f>VLOOKUP(1,'Operational Worksheet'!$A$657:$O$680,10)</f>
        <v>16.744145800358805</v>
      </c>
      <c r="D44" s="241">
        <f>VLOOKUP(1,'Operational Worksheet'!$A$657:$O$680,7)</f>
        <v>2.2974882125854492</v>
      </c>
      <c r="E44" s="241"/>
      <c r="F44" s="241">
        <f>(VLOOKUP(1,'Operational Worksheet'!$A$657:$O$680,5)-32)/1.8</f>
        <v>1.8310695224338107</v>
      </c>
      <c r="G44" s="243">
        <f>C44*D44</f>
        <v>38.469477606136508</v>
      </c>
      <c r="H44" s="243">
        <f>VLOOKUP(1,'Operational Worksheet'!$A$657:$O$680,8)</f>
        <v>10.149999999999999</v>
      </c>
      <c r="I44" s="246">
        <f>G44/H44</f>
        <v>3.7900963158755183</v>
      </c>
      <c r="J44" s="196"/>
    </row>
    <row r="45" spans="1:10" ht="12.75" customHeight="1" x14ac:dyDescent="0.25">
      <c r="A45" s="221"/>
      <c r="B45" s="247">
        <f>IF('[1]EPA Monthly Summary'!F5&lt;&gt;2,31,"")</f>
        <v>31</v>
      </c>
      <c r="C45" s="241">
        <f>IF('EPA Monthly Summary'!F5&lt;&gt;2,VLOOKUP(1,'Operational Worksheet'!$A$681:$O$704,10),"")</f>
        <v>16.697518072216635</v>
      </c>
      <c r="D45" s="241">
        <f>IF('EPA Monthly Summary'!F5&lt;&gt;2,VLOOKUP(1,'Operational Worksheet'!$A$681:$O$704,7),"")</f>
        <v>2.1394298076629639</v>
      </c>
      <c r="E45" s="248"/>
      <c r="F45" s="241">
        <f>IF('EPA Monthly Summary'!F5&lt;&gt;2,(VLOOKUP(1,'Operational Worksheet'!$A$681:$O$704,5)-32)/1.8,"")</f>
        <v>1.7572064511421221</v>
      </c>
      <c r="G45" s="243">
        <f>IF('EPA Monthly Summary'!F5&lt;&gt;2,C45*D45,"")</f>
        <v>35.723167877691296</v>
      </c>
      <c r="H45" s="243">
        <f>IF('EPA Monthly Summary'!F5&lt;&gt;2,VLOOKUP(1,'Operational Worksheet'!$A$681:$O$704,8),"")</f>
        <v>10.149999999999999</v>
      </c>
      <c r="I45" s="246">
        <f>IF('EPA Monthly Summary'!F5&lt;&gt;2,G45/H45,"")</f>
        <v>3.5195239288365814</v>
      </c>
      <c r="J45" s="196"/>
    </row>
    <row r="46" spans="1:10" ht="12.75" customHeight="1" x14ac:dyDescent="0.25">
      <c r="A46" s="221"/>
      <c r="B46" s="247">
        <f>IF('[1]EPA Monthly Summary'!F5&lt;&gt;2,31,"")</f>
        <v>31</v>
      </c>
      <c r="C46" s="241">
        <f>IF('EPA Monthly Summary'!F5&lt;&gt;2,VLOOKUP(1,'Operational Worksheet'!$A$705:$O$728,10),"")</f>
        <v>16.638945156315636</v>
      </c>
      <c r="D46" s="241">
        <f>IF('EPA Monthly Summary'!F5&lt;&gt;2,VLOOKUP(1,'Operational Worksheet'!$A$705:$O$728,7),"")</f>
        <v>2.4142396450042725</v>
      </c>
      <c r="E46" s="248"/>
      <c r="F46" s="241">
        <f>IF('EPA Monthly Summary'!F5&lt;&gt;2,(VLOOKUP(1,'Operational Worksheet'!$A$705:$O$728,5)-32)/1.8,"")</f>
        <v>1.9822141859266493</v>
      </c>
      <c r="G46" s="243">
        <f>IF('EPA Monthly Summary'!F5&lt;&gt;2,C46*D46,"")</f>
        <v>40.170401047429017</v>
      </c>
      <c r="H46" s="243">
        <f>IF('EPA Monthly Summary'!F5&lt;&gt;2,VLOOKUP(1,'Operational Worksheet'!$A$705:$O$728,8),"")</f>
        <v>10.149999999999999</v>
      </c>
      <c r="I46" s="246">
        <f>IF('EPA Monthly Summary'!F5&lt;&gt;2,G46/H46,"")</f>
        <v>3.9576749800422681</v>
      </c>
      <c r="J46" s="196"/>
    </row>
    <row r="47" spans="1:10" ht="13.5" customHeight="1" thickBot="1" x14ac:dyDescent="0.3">
      <c r="A47" s="221"/>
      <c r="B47" s="249" t="str">
        <f>IF(OR('[1]EPA Monthly Summary'!F5=1,'[1]EPA Monthly Summary'!F5=3,'[1]EPA Monthly Summary'!F5=5,'[1]EPA Monthly Summary'!F5=7,'[1]EPA Monthly Summary'!F5=8, '[1]EPA Monthly Summary'!F5=10, '[1]EPA Monthly Summary'!F5=12),31,"")</f>
        <v/>
      </c>
      <c r="C47" s="241" t="str">
        <f>IF(OR('EPA Monthly Summary'!F5=1,'EPA Monthly Summary'!F5=3,'EPA Monthly Summary'!F5=5,'EPA Monthly Summary'!F5=7,'EPA Monthly Summary'!F5=8, 'EPA Monthly Summary'!F5=10, 'EPA Monthly Summary'!F5=12),VLOOKUP(1,'Operational Worksheet'!$A$729:$O$752,10),"")</f>
        <v/>
      </c>
      <c r="D47" s="241" t="str">
        <f>IF(OR('EPA Monthly Summary'!F5=1,'EPA Monthly Summary'!F5=3,'EPA Monthly Summary'!F5=5,'EPA Monthly Summary'!F5=7,'EPA Monthly Summary'!F5=8, 'EPA Monthly Summary'!F5=10, 'EPA Monthly Summary'!F5=12),VLOOKUP(1,'Operational Worksheet'!$A$729:$O$752,7),"")</f>
        <v/>
      </c>
      <c r="E47" s="250"/>
      <c r="F47" s="241" t="str">
        <f>IF(OR('EPA Monthly Summary'!F5=1,'EPA Monthly Summary'!F5=3,'EPA Monthly Summary'!F5=5,'EPA Monthly Summary'!F5=7,'EPA Monthly Summary'!F5=8, 'EPA Monthly Summary'!F5=10, 'EPA Monthly Summary'!F5=12),(VLOOKUP(1,'Operational Worksheet'!$A$729:$O$752,5)-32)/1.8,"")</f>
        <v/>
      </c>
      <c r="G47" s="243" t="str">
        <f>IF(OR('EPA Monthly Summary'!F5=1,'EPA Monthly Summary'!F5=3,'EPA Monthly Summary'!F5=5,'EPA Monthly Summary'!F5=7,'EPA Monthly Summary'!F5=8, 'EPA Monthly Summary'!F5=10, 'EPA Monthly Summary'!F5=12),C47*D47,"")</f>
        <v/>
      </c>
      <c r="H47" s="243" t="str">
        <f>IF(OR('EPA Monthly Summary'!F5=1,'EPA Monthly Summary'!F5=3,'EPA Monthly Summary'!F5=5,'EPA Monthly Summary'!F5=7,'EPA Monthly Summary'!F5=8, 'EPA Monthly Summary'!F5=10, 'EPA Monthly Summary'!F5=12),VLOOKUP(1,'Operational Worksheet'!$A$729:$O$752,8),"")</f>
        <v/>
      </c>
      <c r="I47" s="246" t="str">
        <f>IF(OR('EPA Monthly Summary'!F5=1,'EPA Monthly Summary'!F5=3,'EPA Monthly Summary'!F5=5,'EPA Monthly Summary'!F5=7,'EPA Monthly Summary'!F5=8, 'EPA Monthly Summary'!F5=10, 'EPA Monthly Summary'!F5=12),G47/H47,"")</f>
        <v/>
      </c>
      <c r="J47" s="196"/>
    </row>
    <row r="48" spans="1:10" ht="13.5" customHeight="1" thickTop="1" x14ac:dyDescent="0.25">
      <c r="A48" s="221"/>
      <c r="B48" s="225" t="s">
        <v>156</v>
      </c>
      <c r="C48" s="251" t="e">
        <v>#DIV/0!</v>
      </c>
      <c r="D48" s="252" t="e">
        <v>#DIV/0!</v>
      </c>
      <c r="E48" s="252" t="e">
        <v>#DIV/0!</v>
      </c>
      <c r="F48" s="251" t="e">
        <v>#DIV/0!</v>
      </c>
      <c r="G48" s="251">
        <v>0</v>
      </c>
      <c r="H48" s="251">
        <v>0</v>
      </c>
      <c r="I48" s="253">
        <v>0</v>
      </c>
      <c r="J48" s="196"/>
    </row>
    <row r="49" spans="1:10" ht="12.75" customHeight="1" x14ac:dyDescent="0.25">
      <c r="A49" s="221"/>
      <c r="B49" s="254" t="s">
        <v>157</v>
      </c>
      <c r="C49" s="255">
        <v>0</v>
      </c>
      <c r="D49" s="256">
        <v>0</v>
      </c>
      <c r="E49" s="256">
        <v>0</v>
      </c>
      <c r="F49" s="255">
        <v>0</v>
      </c>
      <c r="G49" s="255">
        <v>0</v>
      </c>
      <c r="H49" s="255">
        <v>0</v>
      </c>
      <c r="I49" s="257">
        <v>0</v>
      </c>
      <c r="J49" s="196"/>
    </row>
    <row r="50" spans="1:10" ht="13.5" customHeight="1" thickBot="1" x14ac:dyDescent="0.3">
      <c r="A50" s="221"/>
      <c r="B50" s="235" t="s">
        <v>158</v>
      </c>
      <c r="C50" s="258">
        <v>0</v>
      </c>
      <c r="D50" s="259">
        <v>0</v>
      </c>
      <c r="E50" s="259">
        <v>0</v>
      </c>
      <c r="F50" s="258">
        <v>0</v>
      </c>
      <c r="G50" s="258">
        <v>0</v>
      </c>
      <c r="H50" s="258">
        <v>0</v>
      </c>
      <c r="I50" s="260">
        <v>0</v>
      </c>
      <c r="J50" s="196"/>
    </row>
    <row r="51" spans="1:10" ht="13.5" customHeight="1" thickTop="1" x14ac:dyDescent="0.25">
      <c r="A51" s="196"/>
      <c r="B51" s="196"/>
      <c r="C51" s="197"/>
      <c r="D51" s="198"/>
      <c r="E51" s="198"/>
      <c r="F51" s="197"/>
      <c r="G51" s="199"/>
      <c r="H51" s="199"/>
      <c r="I51" s="198"/>
      <c r="J51" s="196"/>
    </row>
    <row r="52" spans="1:10" ht="12.75" customHeight="1" x14ac:dyDescent="0.25">
      <c r="A52" s="196"/>
      <c r="B52" s="196"/>
      <c r="C52" s="197"/>
      <c r="D52" s="198"/>
      <c r="E52" s="261"/>
      <c r="F52" s="197"/>
      <c r="G52" s="199"/>
      <c r="H52" s="199"/>
      <c r="I52" s="198"/>
      <c r="J52" s="196"/>
    </row>
    <row r="53" spans="1:10" ht="12.75" customHeight="1" x14ac:dyDescent="0.25">
      <c r="A53" s="196"/>
      <c r="B53" s="196"/>
      <c r="C53" s="197"/>
      <c r="D53" s="198"/>
      <c r="E53" s="198"/>
      <c r="F53" s="197"/>
      <c r="G53" s="199"/>
      <c r="H53" s="199"/>
      <c r="I53" s="198"/>
      <c r="J53" s="196"/>
    </row>
    <row r="54" spans="1:10" ht="12.75" customHeight="1" x14ac:dyDescent="0.25">
      <c r="A54" s="196"/>
      <c r="B54" s="196"/>
      <c r="C54" s="197"/>
      <c r="D54" s="198"/>
      <c r="E54" s="198"/>
      <c r="F54" s="197"/>
      <c r="G54" s="199"/>
      <c r="H54" s="199"/>
      <c r="I54" s="198"/>
      <c r="J54" s="196"/>
    </row>
    <row r="55" spans="1:10" ht="12.75" customHeight="1" x14ac:dyDescent="0.25">
      <c r="A55" s="196"/>
      <c r="B55" s="196"/>
      <c r="C55" s="197"/>
      <c r="D55" s="198"/>
      <c r="E55" s="198"/>
      <c r="F55" s="197"/>
      <c r="G55" s="199"/>
      <c r="H55" s="199"/>
      <c r="I55" s="198"/>
      <c r="J55" s="196"/>
    </row>
    <row r="56" spans="1:10" ht="12.75" customHeight="1" x14ac:dyDescent="0.25">
      <c r="A56" s="196"/>
      <c r="B56" s="196"/>
      <c r="C56" s="197"/>
      <c r="D56" s="198"/>
      <c r="E56" s="198"/>
      <c r="F56" s="197"/>
      <c r="G56" s="199"/>
      <c r="H56" s="199"/>
      <c r="I56" s="198"/>
      <c r="J56" s="196"/>
    </row>
    <row r="57" spans="1:10" ht="12.75" customHeight="1" x14ac:dyDescent="0.25">
      <c r="A57" s="196"/>
      <c r="B57" s="196"/>
      <c r="C57" s="197"/>
      <c r="D57" s="198"/>
      <c r="E57" s="198"/>
      <c r="F57" s="197"/>
      <c r="G57" s="199"/>
      <c r="H57" s="199"/>
      <c r="I57" s="198"/>
      <c r="J57" s="196"/>
    </row>
    <row r="58" spans="1:10" ht="12.75" customHeight="1" x14ac:dyDescent="0.25">
      <c r="A58" s="196"/>
      <c r="B58" s="196"/>
      <c r="C58" s="197"/>
      <c r="D58" s="198"/>
      <c r="E58" s="198"/>
      <c r="F58" s="197"/>
      <c r="G58" s="199"/>
      <c r="H58" s="199"/>
      <c r="I58" s="198"/>
      <c r="J58" s="196"/>
    </row>
    <row r="59" spans="1:10" ht="12.75" customHeight="1" x14ac:dyDescent="0.25">
      <c r="A59" s="196"/>
      <c r="B59" s="196"/>
      <c r="C59" s="197"/>
      <c r="D59" s="198"/>
      <c r="E59" s="198"/>
      <c r="F59" s="197"/>
      <c r="G59" s="199"/>
      <c r="H59" s="199"/>
      <c r="I59" s="198"/>
      <c r="J59" s="196"/>
    </row>
    <row r="60" spans="1:10" ht="12.75" customHeight="1" x14ac:dyDescent="0.25">
      <c r="A60" s="196"/>
      <c r="B60" s="196"/>
      <c r="C60" s="197"/>
      <c r="D60" s="198"/>
      <c r="E60" s="198"/>
      <c r="F60" s="197"/>
      <c r="G60" s="199"/>
      <c r="H60" s="199"/>
      <c r="I60" s="198"/>
      <c r="J60" s="19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"/>
  <sheetViews>
    <sheetView workbookViewId="0">
      <selection sqref="A1:M53"/>
    </sheetView>
  </sheetViews>
  <sheetFormatPr defaultRowHeight="15" x14ac:dyDescent="0.25"/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workbookViewId="0"/>
  </sheetViews>
  <sheetFormatPr defaultRowHeight="15" x14ac:dyDescent="0.25"/>
  <cols>
    <col min="1" max="1" width="1.7109375" customWidth="1"/>
    <col min="2" max="2" width="5.85546875" customWidth="1"/>
    <col min="3" max="9" width="15.7109375" customWidth="1"/>
  </cols>
  <sheetData>
    <row r="1" spans="1:9" ht="12.75" customHeight="1" x14ac:dyDescent="0.25">
      <c r="A1" s="1"/>
      <c r="B1" s="2" t="s">
        <v>39</v>
      </c>
      <c r="C1" s="2"/>
      <c r="D1" s="2"/>
      <c r="E1" s="2"/>
      <c r="F1" s="2"/>
      <c r="G1" s="2"/>
      <c r="H1" s="2"/>
      <c r="I1" s="2"/>
    </row>
    <row r="2" spans="1:9" ht="12.75" customHeight="1" x14ac:dyDescent="0.25">
      <c r="A2" s="1"/>
      <c r="B2" s="2" t="s">
        <v>1</v>
      </c>
      <c r="C2" s="2"/>
      <c r="D2" s="2"/>
      <c r="E2" s="2"/>
      <c r="F2" s="2"/>
      <c r="G2" s="2"/>
      <c r="H2" s="2"/>
      <c r="I2" s="2"/>
    </row>
    <row r="3" spans="1:9" ht="12.75" customHeight="1" x14ac:dyDescent="0.25">
      <c r="A3" s="1"/>
    </row>
    <row r="4" spans="1:9" ht="12.75" customHeight="1" x14ac:dyDescent="0.25">
      <c r="A4" s="1"/>
      <c r="B4" s="15" t="s">
        <v>3</v>
      </c>
      <c r="C4" s="48">
        <v>11</v>
      </c>
      <c r="D4" s="49" t="s">
        <v>40</v>
      </c>
      <c r="E4" s="49"/>
      <c r="F4" s="50" t="s">
        <v>5</v>
      </c>
      <c r="G4" s="50"/>
      <c r="H4" s="50"/>
      <c r="I4" s="50"/>
    </row>
    <row r="5" spans="1:9" ht="12.75" customHeight="1" x14ac:dyDescent="0.25">
      <c r="A5" s="1"/>
      <c r="B5" t="s">
        <v>41</v>
      </c>
      <c r="C5" s="48">
        <v>2015</v>
      </c>
      <c r="D5" s="49" t="s">
        <v>42</v>
      </c>
      <c r="F5" s="48">
        <v>22011</v>
      </c>
    </row>
    <row r="6" spans="1:9" ht="12.75" customHeight="1" x14ac:dyDescent="0.25">
      <c r="A6" s="1"/>
    </row>
    <row r="7" spans="1:9" ht="12.75" customHeight="1" x14ac:dyDescent="0.25">
      <c r="A7" s="1"/>
      <c r="B7" s="7" t="s">
        <v>43</v>
      </c>
      <c r="C7" s="7"/>
      <c r="D7" s="7"/>
      <c r="E7" s="7"/>
      <c r="F7" s="48">
        <v>6</v>
      </c>
      <c r="G7" s="7" t="s">
        <v>44</v>
      </c>
      <c r="H7" s="7"/>
      <c r="I7" s="7"/>
    </row>
    <row r="8" spans="1:9" ht="12.75" customHeight="1" x14ac:dyDescent="0.25">
      <c r="A8" s="1"/>
      <c r="B8" s="51"/>
      <c r="C8" s="51"/>
      <c r="D8" s="51"/>
      <c r="E8" s="51"/>
      <c r="F8" s="51"/>
      <c r="G8" s="51"/>
      <c r="H8" s="11"/>
      <c r="I8" s="51"/>
    </row>
    <row r="9" spans="1:9" ht="12.75" customHeight="1" x14ac:dyDescent="0.25">
      <c r="A9" s="1"/>
      <c r="B9" s="7" t="s">
        <v>45</v>
      </c>
      <c r="C9" s="7"/>
      <c r="D9" s="7"/>
      <c r="E9" s="7"/>
      <c r="F9" s="7"/>
      <c r="G9" s="7"/>
      <c r="H9" s="7"/>
      <c r="I9" s="7"/>
    </row>
    <row r="10" spans="1:9" ht="12.75" customHeight="1" x14ac:dyDescent="0.25">
      <c r="A10" s="1"/>
      <c r="B10" s="51"/>
      <c r="C10" s="51"/>
      <c r="D10" s="51"/>
      <c r="E10" s="51"/>
      <c r="F10" s="51"/>
      <c r="G10" s="51"/>
      <c r="H10" s="11"/>
      <c r="I10" s="51"/>
    </row>
    <row r="11" spans="1:9" ht="12.75" customHeight="1" x14ac:dyDescent="0.25">
      <c r="A11" s="1"/>
      <c r="B11" s="52" t="s">
        <v>46</v>
      </c>
      <c r="C11" s="52"/>
      <c r="D11" s="52"/>
      <c r="E11" s="52"/>
      <c r="F11" s="52"/>
      <c r="G11" s="52"/>
      <c r="H11" s="52"/>
      <c r="I11" s="52"/>
    </row>
    <row r="12" spans="1:9" ht="12.75" customHeight="1" x14ac:dyDescent="0.25">
      <c r="A12" s="1"/>
      <c r="B12" s="53"/>
      <c r="C12" s="53"/>
      <c r="D12" s="53"/>
      <c r="E12" s="53"/>
      <c r="F12" s="53"/>
      <c r="G12" s="53"/>
      <c r="H12" s="53"/>
      <c r="I12" s="53"/>
    </row>
    <row r="13" spans="1:9" ht="12.75" customHeight="1" x14ac:dyDescent="0.25">
      <c r="A13" s="1"/>
      <c r="B13" s="54"/>
      <c r="C13" s="54"/>
      <c r="D13" s="54"/>
      <c r="E13" s="54"/>
      <c r="F13" s="54"/>
      <c r="G13" s="54"/>
      <c r="H13" s="54"/>
      <c r="I13" s="54"/>
    </row>
    <row r="14" spans="1:9" ht="12.75" customHeight="1" x14ac:dyDescent="0.25">
      <c r="A14" s="1"/>
    </row>
    <row r="15" spans="1:9" ht="12.75" customHeight="1" x14ac:dyDescent="0.25">
      <c r="A15" s="1"/>
      <c r="B15" s="55" t="s">
        <v>23</v>
      </c>
      <c r="C15" s="56" t="s">
        <v>47</v>
      </c>
      <c r="D15" s="56" t="s">
        <v>48</v>
      </c>
      <c r="E15" s="56" t="s">
        <v>49</v>
      </c>
      <c r="F15" s="56" t="s">
        <v>50</v>
      </c>
      <c r="G15" s="56" t="s">
        <v>51</v>
      </c>
      <c r="H15" s="56" t="s">
        <v>52</v>
      </c>
      <c r="I15" s="55" t="s">
        <v>53</v>
      </c>
    </row>
    <row r="16" spans="1:9" ht="15.75" customHeight="1" x14ac:dyDescent="0.25">
      <c r="A16" s="1"/>
      <c r="B16" s="57">
        <v>42309</v>
      </c>
      <c r="C16" s="58">
        <v>1.0242700576782227E-2</v>
      </c>
      <c r="D16" s="58">
        <v>1.022513210773468E-2</v>
      </c>
      <c r="E16" s="58">
        <v>1.0185882449150085E-2</v>
      </c>
      <c r="F16" s="58">
        <v>1.0254576802253723E-2</v>
      </c>
      <c r="G16" s="58">
        <v>1.0254576802253723E-2</v>
      </c>
      <c r="H16" s="58">
        <v>1.022513210773468E-2</v>
      </c>
      <c r="I16" s="59">
        <f>MAX(C16:H16)</f>
        <v>1.0254576802253723E-2</v>
      </c>
    </row>
    <row r="17" spans="1:9" ht="15.75" customHeight="1" x14ac:dyDescent="0.25">
      <c r="A17" s="1"/>
      <c r="B17" s="57">
        <v>42310</v>
      </c>
      <c r="C17" s="58">
        <v>1.0627537965774536E-2</v>
      </c>
      <c r="D17" s="58">
        <v>1.1186957359313965E-2</v>
      </c>
      <c r="E17" s="58">
        <v>1.2825995683670044E-2</v>
      </c>
      <c r="F17" s="58">
        <v>1.0588273406028748E-2</v>
      </c>
      <c r="G17" s="58">
        <v>1.0588273406028748E-2</v>
      </c>
      <c r="H17" s="58">
        <v>1.0303646326065063E-2</v>
      </c>
      <c r="I17" s="59">
        <f t="shared" ref="I17:I43" si="0">MAX(C17:H17)</f>
        <v>1.2825995683670044E-2</v>
      </c>
    </row>
    <row r="18" spans="1:9" ht="15.75" customHeight="1" x14ac:dyDescent="0.25">
      <c r="A18" s="1"/>
      <c r="B18" s="57">
        <v>42311</v>
      </c>
      <c r="C18" s="58">
        <v>1.0303646326065063E-2</v>
      </c>
      <c r="D18" s="58">
        <v>1.0166242718696594E-2</v>
      </c>
      <c r="E18" s="58">
        <v>1.0391980409622192E-2</v>
      </c>
      <c r="F18" s="58">
        <v>1.1991754174232483E-2</v>
      </c>
      <c r="G18" s="58">
        <v>1.0490134358406067E-2</v>
      </c>
      <c r="H18" s="58">
        <v>1.4376699924468994E-2</v>
      </c>
      <c r="I18" s="59">
        <f t="shared" si="0"/>
        <v>1.4376699924468994E-2</v>
      </c>
    </row>
    <row r="19" spans="1:9" ht="15.75" customHeight="1" x14ac:dyDescent="0.25">
      <c r="A19" s="1"/>
      <c r="B19" s="57">
        <v>42312</v>
      </c>
      <c r="C19" s="58">
        <v>1.2610077857971191E-2</v>
      </c>
      <c r="D19" s="58">
        <v>1.0509759187698364E-2</v>
      </c>
      <c r="E19" s="58">
        <v>1.1893615126609802E-2</v>
      </c>
      <c r="F19" s="58">
        <v>1.0323286056518555E-2</v>
      </c>
      <c r="G19" s="58">
        <v>1.0607898235321045E-2</v>
      </c>
      <c r="H19" s="58">
        <v>1.0607898235321045E-2</v>
      </c>
      <c r="I19" s="59">
        <f t="shared" si="0"/>
        <v>1.2610077857971191E-2</v>
      </c>
    </row>
    <row r="20" spans="1:9" ht="15.75" customHeight="1" x14ac:dyDescent="0.25">
      <c r="A20" s="1"/>
      <c r="B20" s="57">
        <v>42313</v>
      </c>
      <c r="C20" s="58">
        <v>1.0607898235321045E-2</v>
      </c>
      <c r="D20" s="58">
        <v>1.0333091020584106E-2</v>
      </c>
      <c r="E20" s="58">
        <v>1.0333091020584106E-2</v>
      </c>
      <c r="F20" s="58">
        <v>1.0293841361999512E-2</v>
      </c>
      <c r="G20" s="58">
        <v>1.0421425104141235E-2</v>
      </c>
      <c r="H20" s="58">
        <v>1.0421425104141235E-2</v>
      </c>
      <c r="I20" s="59">
        <f t="shared" si="0"/>
        <v>1.0607898235321045E-2</v>
      </c>
    </row>
    <row r="21" spans="1:9" ht="15.75" customHeight="1" x14ac:dyDescent="0.25">
      <c r="A21" s="1"/>
      <c r="B21" s="57">
        <v>42314</v>
      </c>
      <c r="C21" s="58">
        <v>1.0421425104141235E-2</v>
      </c>
      <c r="D21" s="58">
        <v>1.0391980409622192E-2</v>
      </c>
      <c r="E21" s="58">
        <v>1.0391980409622192E-2</v>
      </c>
      <c r="F21" s="58">
        <v>1.0382175445556641E-2</v>
      </c>
      <c r="G21" s="58">
        <v>1.0382175445556641E-2</v>
      </c>
      <c r="H21" s="58">
        <v>1.0303646326065063E-2</v>
      </c>
      <c r="I21" s="59">
        <f t="shared" si="0"/>
        <v>1.0421425104141235E-2</v>
      </c>
    </row>
    <row r="22" spans="1:9" ht="15.75" customHeight="1" x14ac:dyDescent="0.25">
      <c r="A22" s="1"/>
      <c r="B22" s="57">
        <v>42315</v>
      </c>
      <c r="C22" s="58">
        <v>1.0421425104141235E-2</v>
      </c>
      <c r="D22" s="58">
        <v>1.0421425104141235E-2</v>
      </c>
      <c r="E22" s="58">
        <v>1.7232730984687805E-2</v>
      </c>
      <c r="F22" s="58">
        <v>1.2403964996337891E-2</v>
      </c>
      <c r="G22" s="58">
        <v>1.0372355580329895E-2</v>
      </c>
      <c r="H22" s="58">
        <v>1.0431244969367981E-2</v>
      </c>
      <c r="I22" s="59">
        <f t="shared" si="0"/>
        <v>1.7232730984687805E-2</v>
      </c>
    </row>
    <row r="23" spans="1:9" ht="15.75" customHeight="1" x14ac:dyDescent="0.25">
      <c r="A23" s="1"/>
      <c r="B23" s="57">
        <v>42316</v>
      </c>
      <c r="C23" s="58">
        <v>1.0431244969367981E-2</v>
      </c>
      <c r="D23" s="58">
        <v>1.051957905292511E-2</v>
      </c>
      <c r="E23" s="58">
        <v>1.051957905292511E-2</v>
      </c>
      <c r="F23" s="58">
        <v>1.051957905292511E-2</v>
      </c>
      <c r="G23" s="58">
        <v>1.0382175445556641E-2</v>
      </c>
      <c r="H23" s="58">
        <v>1.0382175445556641E-2</v>
      </c>
      <c r="I23" s="59">
        <f t="shared" si="0"/>
        <v>1.051957905292511E-2</v>
      </c>
    </row>
    <row r="24" spans="1:9" ht="15.75" customHeight="1" x14ac:dyDescent="0.25">
      <c r="A24" s="1"/>
      <c r="B24" s="57">
        <v>42317</v>
      </c>
      <c r="C24" s="58">
        <v>1.0205507278442383E-2</v>
      </c>
      <c r="D24" s="58">
        <v>1.0244756937026978E-2</v>
      </c>
      <c r="E24" s="58">
        <v>1.0244756937026978E-2</v>
      </c>
      <c r="F24" s="58">
        <v>1.0293841361999512E-2</v>
      </c>
      <c r="G24" s="58">
        <v>1.0293841361999512E-2</v>
      </c>
      <c r="H24" s="58">
        <v>1.0293841361999512E-2</v>
      </c>
      <c r="I24" s="59">
        <f t="shared" si="0"/>
        <v>1.0293841361999512E-2</v>
      </c>
    </row>
    <row r="25" spans="1:9" ht="15.75" customHeight="1" x14ac:dyDescent="0.25">
      <c r="A25" s="1"/>
      <c r="B25" s="57">
        <v>42318</v>
      </c>
      <c r="C25" s="58">
        <v>1.022513210773468E-2</v>
      </c>
      <c r="D25" s="58">
        <v>1.0284021496772766E-2</v>
      </c>
      <c r="E25" s="58">
        <v>1.0284021496772766E-2</v>
      </c>
      <c r="F25" s="58">
        <v>1.0342910885810852E-2</v>
      </c>
      <c r="G25" s="58">
        <v>1.0342910885810852E-2</v>
      </c>
      <c r="H25" s="58">
        <v>1.0372355580329895E-2</v>
      </c>
      <c r="I25" s="59">
        <f t="shared" si="0"/>
        <v>1.0372355580329895E-2</v>
      </c>
    </row>
    <row r="26" spans="1:9" ht="15.75" customHeight="1" x14ac:dyDescent="0.25">
      <c r="A26" s="1"/>
      <c r="B26" s="57">
        <v>42319</v>
      </c>
      <c r="C26" s="58">
        <v>1.0372355580329895E-2</v>
      </c>
      <c r="D26" s="58">
        <v>1.0372355580329895E-2</v>
      </c>
      <c r="E26" s="58">
        <v>1.0342910885810852E-2</v>
      </c>
      <c r="F26" s="58">
        <v>1.0382175445556641E-2</v>
      </c>
      <c r="G26" s="58">
        <v>1.0382175445556641E-2</v>
      </c>
      <c r="H26" s="58">
        <v>1.0431244969367981E-2</v>
      </c>
      <c r="I26" s="59">
        <f t="shared" si="0"/>
        <v>1.0431244969367981E-2</v>
      </c>
    </row>
    <row r="27" spans="1:9" ht="15.75" customHeight="1" x14ac:dyDescent="0.25">
      <c r="A27" s="1"/>
      <c r="B27" s="57">
        <v>42320</v>
      </c>
      <c r="C27" s="58">
        <v>1.0431244969367981E-2</v>
      </c>
      <c r="D27" s="58">
        <v>1.0480314493179321E-2</v>
      </c>
      <c r="E27" s="58">
        <v>1.0480314493179321E-2</v>
      </c>
      <c r="F27" s="58">
        <v>1.0480314493179321E-2</v>
      </c>
      <c r="G27" s="58">
        <v>1.0303646326065063E-2</v>
      </c>
      <c r="H27" s="58">
        <v>1.0401800274848938E-2</v>
      </c>
      <c r="I27" s="59">
        <f t="shared" si="0"/>
        <v>1.0480314493179321E-2</v>
      </c>
    </row>
    <row r="28" spans="1:9" ht="15.75" customHeight="1" x14ac:dyDescent="0.25">
      <c r="A28" s="1"/>
      <c r="B28" s="57">
        <v>42321</v>
      </c>
      <c r="C28" s="58">
        <v>1.0401800274848938E-2</v>
      </c>
      <c r="D28" s="58">
        <v>1.0499939322471619E-2</v>
      </c>
      <c r="E28" s="58">
        <v>1.0499939322471619E-2</v>
      </c>
      <c r="F28" s="58">
        <v>1.0499939322471619E-2</v>
      </c>
      <c r="G28" s="58">
        <v>1.0490134358406067E-2</v>
      </c>
      <c r="H28" s="58">
        <v>1.0499939322471619E-2</v>
      </c>
      <c r="I28" s="59">
        <f t="shared" si="0"/>
        <v>1.0499939322471619E-2</v>
      </c>
    </row>
    <row r="29" spans="1:9" ht="15.75" customHeight="1" x14ac:dyDescent="0.25">
      <c r="A29" s="1"/>
      <c r="B29" s="57">
        <v>42322</v>
      </c>
      <c r="C29" s="58">
        <v>1.0499939322471619E-2</v>
      </c>
      <c r="D29" s="58">
        <v>1.051957905292511E-2</v>
      </c>
      <c r="E29" s="58">
        <v>1.051957905292511E-2</v>
      </c>
      <c r="F29" s="58">
        <v>1.051957905292511E-2</v>
      </c>
      <c r="G29" s="58">
        <v>1.051957905292511E-2</v>
      </c>
      <c r="H29" s="58">
        <v>1.051957905292511E-2</v>
      </c>
      <c r="I29" s="59">
        <f t="shared" si="0"/>
        <v>1.051957905292511E-2</v>
      </c>
    </row>
    <row r="30" spans="1:9" ht="15.75" customHeight="1" x14ac:dyDescent="0.25">
      <c r="A30" s="1"/>
      <c r="B30" s="57">
        <v>42323</v>
      </c>
      <c r="C30" s="58">
        <v>1.0441049933433533E-2</v>
      </c>
      <c r="D30" s="58">
        <v>1.0598093271255493E-2</v>
      </c>
      <c r="E30" s="58">
        <v>1.0598093271255493E-2</v>
      </c>
      <c r="F30" s="58">
        <v>1.0676607489585876E-2</v>
      </c>
      <c r="G30" s="58">
        <v>1.0676607489585876E-2</v>
      </c>
      <c r="H30" s="58">
        <v>1.0676607489585876E-2</v>
      </c>
      <c r="I30" s="59">
        <f t="shared" si="0"/>
        <v>1.0676607489585876E-2</v>
      </c>
    </row>
    <row r="31" spans="1:9" ht="15.75" customHeight="1" x14ac:dyDescent="0.25">
      <c r="A31" s="1"/>
      <c r="B31" s="57">
        <v>42324</v>
      </c>
      <c r="C31" s="58">
        <v>1.0676607489585876E-2</v>
      </c>
      <c r="D31" s="58">
        <v>1.075512170791626E-2</v>
      </c>
      <c r="E31" s="58">
        <v>1.075512170791626E-2</v>
      </c>
      <c r="F31" s="58">
        <v>1.075512170791626E-2</v>
      </c>
      <c r="G31" s="58">
        <v>1.0627537965774536E-2</v>
      </c>
      <c r="H31" s="58">
        <v>1.0676607489585876E-2</v>
      </c>
      <c r="I31" s="59">
        <f t="shared" si="0"/>
        <v>1.075512170791626E-2</v>
      </c>
    </row>
    <row r="32" spans="1:9" ht="15.75" customHeight="1" x14ac:dyDescent="0.25">
      <c r="A32" s="1"/>
      <c r="B32" s="57">
        <v>42325</v>
      </c>
      <c r="C32" s="58">
        <v>1.0676607489585876E-2</v>
      </c>
      <c r="D32" s="58">
        <v>1.0735496878623962E-2</v>
      </c>
      <c r="E32" s="58">
        <v>1.0735496878623962E-2</v>
      </c>
      <c r="F32" s="58">
        <v>1.0921970009803772E-2</v>
      </c>
      <c r="G32" s="58">
        <v>1.0921970009803772E-2</v>
      </c>
      <c r="H32" s="58">
        <v>1.0921970009803772E-2</v>
      </c>
      <c r="I32" s="59">
        <f t="shared" si="0"/>
        <v>1.0921970009803772E-2</v>
      </c>
    </row>
    <row r="33" spans="1:9" ht="15.75" customHeight="1" x14ac:dyDescent="0.25">
      <c r="A33" s="1"/>
      <c r="B33" s="57">
        <v>42326</v>
      </c>
      <c r="C33" s="58">
        <v>1.0735496878623962E-2</v>
      </c>
      <c r="D33" s="58">
        <v>1.0735496878623962E-2</v>
      </c>
      <c r="E33" s="58">
        <v>1.0735496878623962E-2</v>
      </c>
      <c r="F33" s="58">
        <v>1.08041912317276E-2</v>
      </c>
      <c r="G33" s="58">
        <v>1.08041912317276E-2</v>
      </c>
      <c r="H33" s="58">
        <v>1.08041912317276E-2</v>
      </c>
      <c r="I33" s="59">
        <f t="shared" si="0"/>
        <v>1.08041912317276E-2</v>
      </c>
    </row>
    <row r="34" spans="1:9" ht="15.75" customHeight="1" x14ac:dyDescent="0.25">
      <c r="A34" s="1"/>
      <c r="B34" s="57">
        <v>42327</v>
      </c>
      <c r="C34" s="58">
        <v>1.0745301842689514E-2</v>
      </c>
      <c r="D34" s="58">
        <v>1.0902345180511475E-2</v>
      </c>
      <c r="E34" s="58">
        <v>1.1893615126609802E-2</v>
      </c>
      <c r="F34" s="58">
        <v>1.1893615126609802E-2</v>
      </c>
      <c r="G34" s="58">
        <v>1.1893615126609802E-2</v>
      </c>
      <c r="H34" s="58">
        <v>1.1353805661201477E-2</v>
      </c>
      <c r="I34" s="59">
        <f t="shared" si="0"/>
        <v>1.1893615126609802E-2</v>
      </c>
    </row>
    <row r="35" spans="1:9" ht="15.75" customHeight="1" x14ac:dyDescent="0.25">
      <c r="A35" s="1"/>
      <c r="B35" s="57">
        <v>42328</v>
      </c>
      <c r="C35" s="58">
        <v>1.1353805661201477E-2</v>
      </c>
      <c r="D35" s="58">
        <v>1.8214195966720581E-2</v>
      </c>
      <c r="E35" s="58">
        <v>1.2502118945121765E-2</v>
      </c>
      <c r="F35" s="58">
        <v>4.6951249241828918E-2</v>
      </c>
      <c r="G35" s="58">
        <v>1.0921970009803772E-2</v>
      </c>
      <c r="H35" s="58">
        <v>1.0921970009803772E-2</v>
      </c>
      <c r="I35" s="59">
        <f t="shared" si="0"/>
        <v>4.6951249241828918E-2</v>
      </c>
    </row>
    <row r="36" spans="1:9" ht="15.75" customHeight="1" x14ac:dyDescent="0.25">
      <c r="A36" s="1"/>
      <c r="B36" s="57">
        <v>42329</v>
      </c>
      <c r="C36" s="58">
        <v>1.1029928922653198E-2</v>
      </c>
      <c r="D36" s="58">
        <v>1.3012468814849854E-2</v>
      </c>
      <c r="E36" s="58">
        <v>1.1451959609985352E-2</v>
      </c>
      <c r="F36" s="58">
        <v>1.9450828433036804E-2</v>
      </c>
      <c r="G36" s="58">
        <v>1.1471584439277649E-2</v>
      </c>
      <c r="H36" s="58">
        <v>1.1471584439277649E-2</v>
      </c>
      <c r="I36" s="59">
        <f t="shared" si="0"/>
        <v>1.9450828433036804E-2</v>
      </c>
    </row>
    <row r="37" spans="1:9" ht="15.75" customHeight="1" x14ac:dyDescent="0.25">
      <c r="A37" s="1"/>
      <c r="B37" s="57">
        <v>42330</v>
      </c>
      <c r="C37" s="58">
        <v>1.1088818311691284E-2</v>
      </c>
      <c r="D37" s="58">
        <v>1.119677722454071E-2</v>
      </c>
      <c r="E37" s="58">
        <v>1.3051733374595642E-2</v>
      </c>
      <c r="F37" s="58">
        <v>1.1137887835502625E-2</v>
      </c>
      <c r="G37" s="58">
        <v>1.1137887835502625E-2</v>
      </c>
      <c r="H37" s="58">
        <v>1.0931789875030518E-2</v>
      </c>
      <c r="I37" s="59">
        <f t="shared" si="0"/>
        <v>1.3051733374595642E-2</v>
      </c>
    </row>
    <row r="38" spans="1:9" ht="15.75" customHeight="1" x14ac:dyDescent="0.25">
      <c r="A38" s="1"/>
      <c r="B38" s="57">
        <v>42331</v>
      </c>
      <c r="C38" s="58">
        <v>1.109863817691803E-2</v>
      </c>
      <c r="D38" s="58">
        <v>1.109863817691803E-2</v>
      </c>
      <c r="E38" s="58">
        <v>1.1255666613578796E-2</v>
      </c>
      <c r="F38" s="58">
        <v>1.1255666613578796E-2</v>
      </c>
      <c r="G38" s="58">
        <v>1.1255666613578796E-2</v>
      </c>
      <c r="H38" s="58">
        <v>1.1108443140983582E-2</v>
      </c>
      <c r="I38" s="59">
        <f t="shared" si="0"/>
        <v>1.1255666613578796E-2</v>
      </c>
    </row>
    <row r="39" spans="1:9" ht="15.75" customHeight="1" x14ac:dyDescent="0.25">
      <c r="A39" s="1"/>
      <c r="B39" s="57">
        <v>42332</v>
      </c>
      <c r="C39" s="58">
        <v>1.1118263006210327E-2</v>
      </c>
      <c r="D39" s="58">
        <v>1.051957905292511E-2</v>
      </c>
      <c r="E39" s="58">
        <v>1.1118263006210327E-2</v>
      </c>
      <c r="F39" s="58">
        <v>9.2333823442459106E-2</v>
      </c>
      <c r="G39" s="58">
        <v>1.1049553751945496E-2</v>
      </c>
      <c r="H39" s="58">
        <v>1.3836890459060669E-2</v>
      </c>
      <c r="I39" s="59">
        <f t="shared" si="0"/>
        <v>9.2333823442459106E-2</v>
      </c>
    </row>
    <row r="40" spans="1:9" ht="15.75" customHeight="1" x14ac:dyDescent="0.25">
      <c r="A40" s="1"/>
      <c r="B40" s="57">
        <v>42333</v>
      </c>
      <c r="C40" s="58">
        <v>1.5819445252418518E-2</v>
      </c>
      <c r="D40" s="58">
        <v>1.1000484228134155E-2</v>
      </c>
      <c r="E40" s="58">
        <v>1.0823830962181091E-2</v>
      </c>
      <c r="F40" s="58">
        <v>1.1167332530021667E-2</v>
      </c>
      <c r="G40" s="58">
        <v>1.356208324432373E-2</v>
      </c>
      <c r="H40" s="58">
        <v>1.4975383877754211E-2</v>
      </c>
      <c r="I40" s="59">
        <f t="shared" si="0"/>
        <v>1.5819445252418518E-2</v>
      </c>
    </row>
    <row r="41" spans="1:9" ht="15.75" customHeight="1" x14ac:dyDescent="0.25">
      <c r="A41" s="1"/>
      <c r="B41" s="57">
        <v>42334</v>
      </c>
      <c r="C41" s="58">
        <v>1.085326075553894E-2</v>
      </c>
      <c r="D41" s="58">
        <v>1.9195646047592163E-2</v>
      </c>
      <c r="E41" s="58">
        <v>1.0706052184104919E-2</v>
      </c>
      <c r="F41" s="58">
        <v>1.1932864785194397E-2</v>
      </c>
      <c r="G41" s="58">
        <v>1.1285111308097839E-2</v>
      </c>
      <c r="H41" s="58">
        <v>1.0764941573143005E-2</v>
      </c>
      <c r="I41" s="59">
        <f t="shared" si="0"/>
        <v>1.9195646047592163E-2</v>
      </c>
    </row>
    <row r="42" spans="1:9" ht="15.75" customHeight="1" x14ac:dyDescent="0.25">
      <c r="A42" s="1"/>
      <c r="B42" s="57">
        <v>42335</v>
      </c>
      <c r="C42" s="58">
        <v>1.7438843846321106E-2</v>
      </c>
      <c r="D42" s="58">
        <v>1.0715857148170471E-2</v>
      </c>
      <c r="E42" s="58">
        <v>1.109863817691803E-2</v>
      </c>
      <c r="F42" s="58">
        <v>1.109863817691803E-2</v>
      </c>
      <c r="G42" s="58">
        <v>1.283581554889679E-2</v>
      </c>
      <c r="H42" s="58">
        <v>1.2973219156265259E-2</v>
      </c>
      <c r="I42" s="59">
        <f t="shared" si="0"/>
        <v>1.7438843846321106E-2</v>
      </c>
    </row>
    <row r="43" spans="1:9" ht="15.75" customHeight="1" x14ac:dyDescent="0.25">
      <c r="A43" s="1"/>
      <c r="B43" s="57">
        <v>42336</v>
      </c>
      <c r="C43" s="58">
        <v>1.230582594871521E-2</v>
      </c>
      <c r="D43" s="58">
        <v>1.4945939183235168E-2</v>
      </c>
      <c r="E43" s="58">
        <v>1.19132399559021E-2</v>
      </c>
      <c r="F43" s="58">
        <v>1.0921970009803772E-2</v>
      </c>
      <c r="G43" s="58">
        <v>1.0931789875030518E-2</v>
      </c>
      <c r="H43" s="58">
        <v>1.2040823698043823E-2</v>
      </c>
      <c r="I43" s="59">
        <f t="shared" si="0"/>
        <v>1.4945939183235168E-2</v>
      </c>
    </row>
    <row r="44" spans="1:9" ht="15.75" customHeight="1" x14ac:dyDescent="0.25">
      <c r="A44" s="1"/>
      <c r="B44" s="57">
        <v>42337</v>
      </c>
      <c r="C44" s="58">
        <v>1.0980859398841858E-2</v>
      </c>
      <c r="D44" s="58">
        <v>1.0843455791473389E-2</v>
      </c>
      <c r="E44" s="58">
        <v>1.0912150144577026E-2</v>
      </c>
      <c r="F44" s="58">
        <v>1.0912150144577026E-2</v>
      </c>
      <c r="G44" s="58">
        <v>1.0912150144577026E-2</v>
      </c>
      <c r="H44" s="58">
        <v>1.4288365840911865E-2</v>
      </c>
      <c r="I44" s="59">
        <f>IF('[1]EPA Monthly Summary'!F5&lt;&gt;2,MAX(C44:H44),"")</f>
        <v>1.4288365840911865E-2</v>
      </c>
    </row>
    <row r="45" spans="1:9" ht="15.75" customHeight="1" x14ac:dyDescent="0.25">
      <c r="A45" s="1"/>
      <c r="B45" s="57">
        <v>42338</v>
      </c>
      <c r="C45" s="58">
        <v>1.0843455791473389E-2</v>
      </c>
      <c r="D45" s="58">
        <v>1.0912150144577026E-2</v>
      </c>
      <c r="E45" s="58">
        <v>1.0912150144577026E-2</v>
      </c>
      <c r="F45" s="58">
        <v>1.0912150144577026E-2</v>
      </c>
      <c r="G45" s="58">
        <v>1.4288365840911865E-2</v>
      </c>
      <c r="H45" s="58">
        <v>1.2158602476119995E-2</v>
      </c>
      <c r="I45" s="59">
        <f>IF('[1]EPA Monthly Summary'!F5&lt;&gt;2,MAX(C45:H45),"")</f>
        <v>1.4288365840911865E-2</v>
      </c>
    </row>
    <row r="46" spans="1:9" ht="15.75" customHeight="1" x14ac:dyDescent="0.25">
      <c r="A46" s="1"/>
      <c r="B46" s="57" t="s">
        <v>38</v>
      </c>
      <c r="C46" s="58" t="s">
        <v>38</v>
      </c>
      <c r="D46" s="58" t="s">
        <v>38</v>
      </c>
      <c r="E46" s="58" t="s">
        <v>38</v>
      </c>
      <c r="F46" s="58" t="s">
        <v>38</v>
      </c>
      <c r="G46" s="58" t="s">
        <v>38</v>
      </c>
      <c r="H46" s="58" t="s">
        <v>38</v>
      </c>
      <c r="I46" s="59" t="str">
        <f>IF(OR('EPA Monthly Summary'!F5=1,'EPA Monthly Summary'!F5=3,'EPA Monthly Summary'!F5=5,'EPA Monthly Summary'!F5=7,'EPA Monthly Summary'!F5=8, 'EPA Monthly Summary'!F5=10, 'EPA Monthly Summary'!F5=12),MAX(C46:H46),"")</f>
        <v/>
      </c>
    </row>
    <row r="47" spans="1:9" ht="15.75" customHeight="1" x14ac:dyDescent="0.25">
      <c r="A47" s="1"/>
      <c r="B47" s="57"/>
      <c r="C47" s="59"/>
      <c r="D47" s="59"/>
      <c r="E47" s="59"/>
      <c r="F47" s="59"/>
      <c r="G47" s="59"/>
      <c r="H47" s="60" t="s">
        <v>54</v>
      </c>
      <c r="I47" s="59">
        <f>MAX(I16:I46)</f>
        <v>9.2333823442459106E-2</v>
      </c>
    </row>
    <row r="48" spans="1:9" ht="12.75" customHeight="1" x14ac:dyDescent="0.25">
      <c r="A48" s="1"/>
    </row>
    <row r="49" spans="1:7" ht="12.75" customHeight="1" x14ac:dyDescent="0.25">
      <c r="A49" s="1"/>
      <c r="B49" t="s">
        <v>55</v>
      </c>
    </row>
    <row r="50" spans="1:7" ht="12.75" customHeight="1" x14ac:dyDescent="0.25">
      <c r="A50" s="1"/>
      <c r="B50" s="5" t="s">
        <v>56</v>
      </c>
      <c r="C50" s="5"/>
      <c r="D50" s="5"/>
      <c r="E50" s="5"/>
      <c r="F50" s="48" t="s">
        <v>57</v>
      </c>
      <c r="G50" s="17"/>
    </row>
    <row r="51" spans="1:7" ht="12.75" customHeight="1" x14ac:dyDescent="0.25">
      <c r="A51" s="1"/>
    </row>
    <row r="52" spans="1:7" ht="12.75" customHeight="1" x14ac:dyDescent="0.25">
      <c r="A52" s="1"/>
    </row>
    <row r="53" spans="1:7" ht="12.75" customHeight="1" x14ac:dyDescent="0.25">
      <c r="A53" s="1"/>
    </row>
    <row r="54" spans="1:7" ht="12.75" customHeight="1" x14ac:dyDescent="0.25">
      <c r="A54" s="1"/>
    </row>
    <row r="55" spans="1:7" ht="12.75" customHeight="1" x14ac:dyDescent="0.25">
      <c r="A55" s="1"/>
    </row>
    <row r="56" spans="1:7" ht="12.75" customHeight="1" x14ac:dyDescent="0.25">
      <c r="A56" s="1"/>
    </row>
    <row r="57" spans="1:7" ht="12.75" customHeight="1" x14ac:dyDescent="0.25">
      <c r="A57" s="1"/>
    </row>
    <row r="58" spans="1:7" ht="12.75" customHeight="1" x14ac:dyDescent="0.25">
      <c r="A58" s="1"/>
    </row>
    <row r="59" spans="1:7" ht="12.75" customHeight="1" x14ac:dyDescent="0.25">
      <c r="A59" s="1"/>
    </row>
    <row r="60" spans="1:7" ht="12.75" customHeight="1" x14ac:dyDescent="0.25">
      <c r="A60" s="1"/>
    </row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7">
    <mergeCell ref="B50:E50"/>
    <mergeCell ref="B1:I1"/>
    <mergeCell ref="B2:I2"/>
    <mergeCell ref="B7:E7"/>
    <mergeCell ref="G7:I7"/>
    <mergeCell ref="B9:I9"/>
    <mergeCell ref="B11:I12"/>
  </mergeCells>
  <conditionalFormatting sqref="I16">
    <cfRule type="cellIs" dxfId="276" priority="29" operator="equal">
      <formula>$I$47</formula>
    </cfRule>
  </conditionalFormatting>
  <conditionalFormatting sqref="I18">
    <cfRule type="cellIs" dxfId="275" priority="28" operator="equal">
      <formula>$I$47</formula>
    </cfRule>
  </conditionalFormatting>
  <conditionalFormatting sqref="I17">
    <cfRule type="cellIs" dxfId="274" priority="27" operator="equal">
      <formula>$I$47</formula>
    </cfRule>
  </conditionalFormatting>
  <conditionalFormatting sqref="I19">
    <cfRule type="cellIs" dxfId="273" priority="26" operator="equal">
      <formula>$I$47</formula>
    </cfRule>
  </conditionalFormatting>
  <conditionalFormatting sqref="I20">
    <cfRule type="cellIs" dxfId="272" priority="25" operator="equal">
      <formula>$I$47</formula>
    </cfRule>
  </conditionalFormatting>
  <conditionalFormatting sqref="I21">
    <cfRule type="cellIs" dxfId="271" priority="24" operator="equal">
      <formula>$I$47</formula>
    </cfRule>
  </conditionalFormatting>
  <conditionalFormatting sqref="I22">
    <cfRule type="cellIs" dxfId="270" priority="23" operator="equal">
      <formula>$I$47</formula>
    </cfRule>
  </conditionalFormatting>
  <conditionalFormatting sqref="I23">
    <cfRule type="cellIs" dxfId="269" priority="22" operator="equal">
      <formula>$I$47</formula>
    </cfRule>
  </conditionalFormatting>
  <conditionalFormatting sqref="I24">
    <cfRule type="cellIs" dxfId="268" priority="21" operator="equal">
      <formula>$I$47</formula>
    </cfRule>
  </conditionalFormatting>
  <conditionalFormatting sqref="I25">
    <cfRule type="cellIs" dxfId="267" priority="20" operator="equal">
      <formula>$I$47</formula>
    </cfRule>
  </conditionalFormatting>
  <conditionalFormatting sqref="I26">
    <cfRule type="cellIs" dxfId="266" priority="19" operator="equal">
      <formula>$I$47</formula>
    </cfRule>
  </conditionalFormatting>
  <conditionalFormatting sqref="I27">
    <cfRule type="cellIs" dxfId="265" priority="18" operator="equal">
      <formula>$I$47</formula>
    </cfRule>
  </conditionalFormatting>
  <conditionalFormatting sqref="I28">
    <cfRule type="cellIs" dxfId="264" priority="17" operator="equal">
      <formula>$I$47</formula>
    </cfRule>
  </conditionalFormatting>
  <conditionalFormatting sqref="I29">
    <cfRule type="cellIs" dxfId="263" priority="16" operator="equal">
      <formula>$I$47</formula>
    </cfRule>
  </conditionalFormatting>
  <conditionalFormatting sqref="I30">
    <cfRule type="cellIs" dxfId="262" priority="15" operator="equal">
      <formula>$I$47</formula>
    </cfRule>
  </conditionalFormatting>
  <conditionalFormatting sqref="I31">
    <cfRule type="cellIs" dxfId="261" priority="14" operator="equal">
      <formula>$I$47</formula>
    </cfRule>
  </conditionalFormatting>
  <conditionalFormatting sqref="I32">
    <cfRule type="cellIs" dxfId="260" priority="13" operator="equal">
      <formula>$I$47</formula>
    </cfRule>
  </conditionalFormatting>
  <conditionalFormatting sqref="I33">
    <cfRule type="cellIs" dxfId="259" priority="12" operator="equal">
      <formula>$I$47</formula>
    </cfRule>
  </conditionalFormatting>
  <conditionalFormatting sqref="I34">
    <cfRule type="cellIs" dxfId="258" priority="11" operator="equal">
      <formula>$I$47</formula>
    </cfRule>
  </conditionalFormatting>
  <conditionalFormatting sqref="I35">
    <cfRule type="cellIs" dxfId="257" priority="10" operator="equal">
      <formula>$I$47</formula>
    </cfRule>
  </conditionalFormatting>
  <conditionalFormatting sqref="I36">
    <cfRule type="cellIs" dxfId="256" priority="9" operator="equal">
      <formula>$I$47</formula>
    </cfRule>
  </conditionalFormatting>
  <conditionalFormatting sqref="I37">
    <cfRule type="cellIs" dxfId="255" priority="8" operator="equal">
      <formula>$I$47</formula>
    </cfRule>
  </conditionalFormatting>
  <conditionalFormatting sqref="I38">
    <cfRule type="cellIs" dxfId="254" priority="7" operator="equal">
      <formula>$I$47</formula>
    </cfRule>
  </conditionalFormatting>
  <conditionalFormatting sqref="I39">
    <cfRule type="cellIs" dxfId="253" priority="6" operator="equal">
      <formula>$I$47</formula>
    </cfRule>
  </conditionalFormatting>
  <conditionalFormatting sqref="I40">
    <cfRule type="cellIs" dxfId="252" priority="5" operator="equal">
      <formula>$I$47</formula>
    </cfRule>
  </conditionalFormatting>
  <conditionalFormatting sqref="I41">
    <cfRule type="cellIs" dxfId="251" priority="4" operator="equal">
      <formula>$I$47</formula>
    </cfRule>
  </conditionalFormatting>
  <conditionalFormatting sqref="I42">
    <cfRule type="cellIs" dxfId="250" priority="3" operator="equal">
      <formula>$I$47</formula>
    </cfRule>
  </conditionalFormatting>
  <conditionalFormatting sqref="I43">
    <cfRule type="cellIs" dxfId="249" priority="2" operator="equal">
      <formula>$I$47</formula>
    </cfRule>
  </conditionalFormatting>
  <conditionalFormatting sqref="I44:I46">
    <cfRule type="cellIs" dxfId="248" priority="1" operator="equal">
      <formula>$I$47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" t="s">
        <v>58</v>
      </c>
      <c r="C1" s="5"/>
      <c r="D1" s="5"/>
      <c r="E1" s="5"/>
      <c r="F1" s="5"/>
      <c r="G1" s="5"/>
      <c r="H1" s="5"/>
      <c r="I1" s="5"/>
      <c r="J1" s="5"/>
    </row>
    <row r="2" spans="1:10" ht="12.75" customHeight="1" x14ac:dyDescent="0.25">
      <c r="A2" s="1"/>
      <c r="B2" s="2" t="s">
        <v>59</v>
      </c>
      <c r="C2" s="5"/>
      <c r="D2" s="5"/>
      <c r="E2" s="5"/>
      <c r="F2" s="5"/>
      <c r="G2" s="5"/>
      <c r="H2" s="5"/>
      <c r="I2" s="5"/>
      <c r="J2" s="5"/>
    </row>
    <row r="3" spans="1:10" ht="12.75" customHeight="1" x14ac:dyDescent="0.25">
      <c r="A3" s="1"/>
      <c r="B3" s="2" t="s">
        <v>60</v>
      </c>
      <c r="C3" s="5"/>
      <c r="D3" s="5"/>
      <c r="E3" s="5"/>
      <c r="F3" s="5"/>
      <c r="G3" s="5"/>
      <c r="H3" s="5"/>
      <c r="I3" s="5"/>
      <c r="J3" s="5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48">
        <v>11</v>
      </c>
      <c r="D5" s="61"/>
      <c r="F5" t="s">
        <v>62</v>
      </c>
      <c r="G5" s="48">
        <v>22011</v>
      </c>
    </row>
    <row r="6" spans="1:10" ht="12.75" customHeight="1" x14ac:dyDescent="0.25">
      <c r="A6" s="1"/>
      <c r="B6" t="s">
        <v>63</v>
      </c>
      <c r="C6" s="48">
        <v>2015</v>
      </c>
      <c r="D6" s="61"/>
      <c r="F6" t="s">
        <v>64</v>
      </c>
      <c r="G6" s="62" t="s">
        <v>5</v>
      </c>
      <c r="H6" s="62"/>
      <c r="I6" s="62"/>
      <c r="J6" s="63"/>
    </row>
    <row r="7" spans="1:10" ht="12.75" customHeight="1" x14ac:dyDescent="0.25">
      <c r="A7" s="1"/>
      <c r="B7" t="s">
        <v>65</v>
      </c>
      <c r="E7" s="50">
        <v>1</v>
      </c>
    </row>
    <row r="8" spans="1:10" ht="12.75" customHeight="1" x14ac:dyDescent="0.25">
      <c r="A8" s="1"/>
      <c r="C8" s="64"/>
      <c r="D8" s="64"/>
      <c r="E8" s="64"/>
      <c r="F8" s="64"/>
      <c r="G8" s="64"/>
      <c r="H8" s="64"/>
      <c r="I8" s="64"/>
    </row>
    <row r="9" spans="1:10" ht="12.75" customHeight="1" x14ac:dyDescent="0.25">
      <c r="A9" s="1"/>
      <c r="B9" s="64"/>
      <c r="C9" s="64"/>
      <c r="D9" s="64"/>
      <c r="E9" s="64"/>
      <c r="F9" s="64"/>
      <c r="G9" s="64"/>
      <c r="H9" s="64"/>
      <c r="I9" s="64"/>
    </row>
    <row r="10" spans="1:10" ht="12.75" customHeight="1" x14ac:dyDescent="0.25">
      <c r="A10" s="1"/>
      <c r="B10" s="65" t="s">
        <v>23</v>
      </c>
      <c r="C10" s="66" t="s">
        <v>66</v>
      </c>
      <c r="D10" s="67" t="s">
        <v>67</v>
      </c>
      <c r="E10" s="68"/>
      <c r="F10" s="68"/>
      <c r="G10" s="68"/>
      <c r="H10" s="68"/>
      <c r="I10" s="68"/>
      <c r="J10" s="69"/>
    </row>
    <row r="11" spans="1:10" ht="12.75" customHeight="1" x14ac:dyDescent="0.25">
      <c r="A11" s="1"/>
      <c r="B11" s="65"/>
      <c r="C11" s="65"/>
      <c r="D11" s="70"/>
      <c r="E11" s="71"/>
      <c r="F11" s="71"/>
      <c r="G11" s="71"/>
      <c r="H11" s="71"/>
      <c r="I11" s="71"/>
      <c r="J11" s="72"/>
    </row>
    <row r="12" spans="1:10" ht="12.75" customHeight="1" x14ac:dyDescent="0.25">
      <c r="A12" s="1"/>
      <c r="B12" s="65"/>
      <c r="C12" s="65"/>
      <c r="D12" s="70"/>
      <c r="E12" s="71"/>
      <c r="F12" s="71"/>
      <c r="G12" s="71"/>
      <c r="H12" s="71"/>
      <c r="I12" s="71"/>
      <c r="J12" s="72"/>
    </row>
    <row r="13" spans="1:10" ht="12.75" customHeight="1" x14ac:dyDescent="0.25">
      <c r="A13" s="1"/>
      <c r="B13" s="65"/>
      <c r="C13" s="65"/>
      <c r="D13" s="70" t="s">
        <v>68</v>
      </c>
      <c r="E13" s="71"/>
      <c r="F13" s="71"/>
      <c r="G13" s="71"/>
      <c r="H13" s="71"/>
      <c r="I13" s="71"/>
      <c r="J13" s="72"/>
    </row>
    <row r="14" spans="1:10" ht="12.75" customHeight="1" x14ac:dyDescent="0.25">
      <c r="A14" s="1"/>
      <c r="B14" s="65"/>
      <c r="C14" s="65"/>
      <c r="D14" s="73"/>
      <c r="E14" s="74"/>
      <c r="F14" s="74"/>
      <c r="G14" s="74"/>
      <c r="H14" s="74"/>
      <c r="I14" s="74"/>
      <c r="J14" s="75"/>
    </row>
    <row r="15" spans="1:10" ht="12.75" customHeight="1" x14ac:dyDescent="0.25">
      <c r="A15" s="1"/>
      <c r="B15" s="76">
        <v>42309</v>
      </c>
      <c r="C15" s="77" t="s">
        <v>74</v>
      </c>
      <c r="D15" s="78"/>
      <c r="E15" s="79"/>
      <c r="F15" s="79"/>
      <c r="G15" s="79"/>
      <c r="H15" s="79"/>
      <c r="I15" s="79"/>
      <c r="J15" s="80"/>
    </row>
    <row r="16" spans="1:10" ht="12.75" customHeight="1" x14ac:dyDescent="0.25">
      <c r="A16" s="1"/>
      <c r="B16" s="76">
        <v>42310</v>
      </c>
      <c r="C16" s="77" t="s">
        <v>74</v>
      </c>
      <c r="D16" s="81"/>
      <c r="E16" s="81"/>
      <c r="F16" s="81"/>
      <c r="G16" s="81"/>
      <c r="H16" s="81"/>
      <c r="I16" s="81"/>
      <c r="J16" s="81"/>
    </row>
    <row r="17" spans="1:10" ht="12.75" customHeight="1" x14ac:dyDescent="0.25">
      <c r="A17" s="1"/>
      <c r="B17" s="76">
        <v>42311</v>
      </c>
      <c r="C17" s="77" t="s">
        <v>74</v>
      </c>
      <c r="D17" s="81"/>
      <c r="E17" s="81"/>
      <c r="F17" s="81"/>
      <c r="G17" s="81"/>
      <c r="H17" s="81"/>
      <c r="I17" s="81"/>
      <c r="J17" s="81"/>
    </row>
    <row r="18" spans="1:10" ht="12.75" customHeight="1" x14ac:dyDescent="0.25">
      <c r="A18" s="1"/>
      <c r="B18" s="76">
        <v>42312</v>
      </c>
      <c r="C18" s="77" t="s">
        <v>74</v>
      </c>
      <c r="D18" s="81"/>
      <c r="E18" s="81"/>
      <c r="F18" s="81"/>
      <c r="G18" s="81"/>
      <c r="H18" s="81"/>
      <c r="I18" s="81"/>
      <c r="J18" s="81"/>
    </row>
    <row r="19" spans="1:10" ht="12.75" customHeight="1" x14ac:dyDescent="0.25">
      <c r="A19" s="1"/>
      <c r="B19" s="76">
        <v>42313</v>
      </c>
      <c r="C19" s="77" t="s">
        <v>74</v>
      </c>
      <c r="D19" s="81"/>
      <c r="E19" s="81"/>
      <c r="F19" s="81"/>
      <c r="G19" s="81"/>
      <c r="H19" s="81"/>
      <c r="I19" s="81"/>
      <c r="J19" s="81"/>
    </row>
    <row r="20" spans="1:10" ht="12.75" customHeight="1" x14ac:dyDescent="0.25">
      <c r="A20" s="1"/>
      <c r="B20" s="76">
        <v>42314</v>
      </c>
      <c r="C20" s="77" t="s">
        <v>74</v>
      </c>
      <c r="D20" s="81"/>
      <c r="E20" s="81"/>
      <c r="F20" s="81"/>
      <c r="G20" s="81"/>
      <c r="H20" s="81"/>
      <c r="I20" s="81"/>
      <c r="J20" s="81"/>
    </row>
    <row r="21" spans="1:10" ht="12.75" customHeight="1" x14ac:dyDescent="0.25">
      <c r="A21" s="1"/>
      <c r="B21" s="76">
        <v>42315</v>
      </c>
      <c r="C21" s="77" t="s">
        <v>74</v>
      </c>
      <c r="D21" s="81"/>
      <c r="E21" s="81"/>
      <c r="F21" s="81"/>
      <c r="G21" s="81"/>
      <c r="H21" s="81"/>
      <c r="I21" s="81"/>
      <c r="J21" s="81"/>
    </row>
    <row r="22" spans="1:10" ht="12.75" customHeight="1" x14ac:dyDescent="0.25">
      <c r="A22" s="1"/>
      <c r="B22" s="76">
        <v>42316</v>
      </c>
      <c r="C22" s="77" t="s">
        <v>74</v>
      </c>
      <c r="D22" s="81"/>
      <c r="E22" s="81"/>
      <c r="F22" s="81"/>
      <c r="G22" s="81"/>
      <c r="H22" s="81"/>
      <c r="I22" s="81"/>
      <c r="J22" s="81"/>
    </row>
    <row r="23" spans="1:10" ht="12.75" customHeight="1" x14ac:dyDescent="0.25">
      <c r="A23" s="1"/>
      <c r="B23" s="76">
        <v>42317</v>
      </c>
      <c r="C23" s="77" t="s">
        <v>74</v>
      </c>
      <c r="D23" s="81"/>
      <c r="E23" s="81"/>
      <c r="F23" s="81"/>
      <c r="G23" s="81"/>
      <c r="H23" s="81"/>
      <c r="I23" s="81"/>
      <c r="J23" s="81"/>
    </row>
    <row r="24" spans="1:10" ht="12.75" customHeight="1" x14ac:dyDescent="0.25">
      <c r="A24" s="1"/>
      <c r="B24" s="76">
        <v>42318</v>
      </c>
      <c r="C24" s="77" t="s">
        <v>74</v>
      </c>
      <c r="D24" s="81"/>
      <c r="E24" s="81"/>
      <c r="F24" s="81"/>
      <c r="G24" s="81"/>
      <c r="H24" s="81"/>
      <c r="I24" s="81"/>
      <c r="J24" s="81"/>
    </row>
    <row r="25" spans="1:10" ht="12.75" customHeight="1" x14ac:dyDescent="0.25">
      <c r="A25" s="1"/>
      <c r="B25" s="76">
        <v>42319</v>
      </c>
      <c r="C25" s="77" t="s">
        <v>74</v>
      </c>
      <c r="D25" s="81"/>
      <c r="E25" s="81"/>
      <c r="F25" s="81"/>
      <c r="G25" s="81"/>
      <c r="H25" s="81"/>
      <c r="I25" s="81"/>
      <c r="J25" s="81"/>
    </row>
    <row r="26" spans="1:10" ht="12.75" customHeight="1" x14ac:dyDescent="0.25">
      <c r="A26" s="1"/>
      <c r="B26" s="76">
        <v>42320</v>
      </c>
      <c r="C26" s="77" t="s">
        <v>74</v>
      </c>
      <c r="D26" s="81"/>
      <c r="E26" s="81"/>
      <c r="F26" s="81"/>
      <c r="G26" s="81"/>
      <c r="H26" s="81"/>
      <c r="I26" s="81"/>
      <c r="J26" s="81"/>
    </row>
    <row r="27" spans="1:10" ht="12.75" customHeight="1" x14ac:dyDescent="0.25">
      <c r="A27" s="1"/>
      <c r="B27" s="76">
        <v>42321</v>
      </c>
      <c r="C27" s="77" t="s">
        <v>74</v>
      </c>
      <c r="D27" s="81"/>
      <c r="E27" s="81"/>
      <c r="F27" s="81"/>
      <c r="G27" s="81"/>
      <c r="H27" s="81"/>
      <c r="I27" s="81"/>
      <c r="J27" s="81"/>
    </row>
    <row r="28" spans="1:10" ht="12.75" customHeight="1" x14ac:dyDescent="0.25">
      <c r="A28" s="1"/>
      <c r="B28" s="76">
        <v>42322</v>
      </c>
      <c r="C28" s="77" t="s">
        <v>74</v>
      </c>
      <c r="D28" s="81"/>
      <c r="E28" s="81"/>
      <c r="F28" s="81"/>
      <c r="G28" s="81"/>
      <c r="H28" s="81"/>
      <c r="I28" s="81"/>
      <c r="J28" s="81"/>
    </row>
    <row r="29" spans="1:10" ht="12.75" customHeight="1" x14ac:dyDescent="0.25">
      <c r="A29" s="1"/>
      <c r="B29" s="76">
        <v>42323</v>
      </c>
      <c r="C29" s="77" t="s">
        <v>74</v>
      </c>
      <c r="D29" s="81"/>
      <c r="E29" s="81"/>
      <c r="F29" s="81"/>
      <c r="G29" s="81"/>
      <c r="H29" s="81"/>
      <c r="I29" s="81"/>
      <c r="J29" s="81"/>
    </row>
    <row r="30" spans="1:10" ht="12.75" customHeight="1" x14ac:dyDescent="0.25">
      <c r="A30" s="1"/>
      <c r="B30" s="76">
        <v>42324</v>
      </c>
      <c r="C30" s="77" t="s">
        <v>74</v>
      </c>
      <c r="D30" s="81"/>
      <c r="E30" s="81"/>
      <c r="F30" s="81"/>
      <c r="G30" s="81"/>
      <c r="H30" s="81"/>
      <c r="I30" s="81"/>
      <c r="J30" s="81"/>
    </row>
    <row r="31" spans="1:10" ht="12.75" customHeight="1" x14ac:dyDescent="0.25">
      <c r="A31" s="1"/>
      <c r="B31" s="76">
        <v>42325</v>
      </c>
      <c r="C31" s="77" t="s">
        <v>74</v>
      </c>
      <c r="D31" s="81"/>
      <c r="E31" s="81"/>
      <c r="F31" s="81"/>
      <c r="G31" s="81"/>
      <c r="H31" s="81"/>
      <c r="I31" s="81"/>
      <c r="J31" s="81"/>
    </row>
    <row r="32" spans="1:10" ht="12.75" customHeight="1" x14ac:dyDescent="0.25">
      <c r="A32" s="1"/>
      <c r="B32" s="76">
        <v>42326</v>
      </c>
      <c r="C32" s="77" t="s">
        <v>74</v>
      </c>
      <c r="D32" s="81"/>
      <c r="E32" s="81"/>
      <c r="F32" s="81"/>
      <c r="G32" s="81"/>
      <c r="H32" s="81"/>
      <c r="I32" s="81"/>
      <c r="J32" s="81"/>
    </row>
    <row r="33" spans="1:10" ht="12.75" customHeight="1" x14ac:dyDescent="0.25">
      <c r="A33" s="1"/>
      <c r="B33" s="76">
        <v>42327</v>
      </c>
      <c r="C33" s="77" t="s">
        <v>74</v>
      </c>
      <c r="D33" s="81"/>
      <c r="E33" s="81"/>
      <c r="F33" s="81"/>
      <c r="G33" s="81"/>
      <c r="H33" s="81"/>
      <c r="I33" s="81"/>
      <c r="J33" s="81"/>
    </row>
    <row r="34" spans="1:10" ht="12.75" customHeight="1" x14ac:dyDescent="0.25">
      <c r="A34" s="1"/>
      <c r="B34" s="76">
        <v>42328</v>
      </c>
      <c r="C34" s="77" t="s">
        <v>74</v>
      </c>
      <c r="D34" s="81"/>
      <c r="E34" s="81"/>
      <c r="F34" s="81"/>
      <c r="G34" s="81"/>
      <c r="H34" s="81"/>
      <c r="I34" s="81"/>
      <c r="J34" s="81"/>
    </row>
    <row r="35" spans="1:10" ht="12.75" customHeight="1" x14ac:dyDescent="0.25">
      <c r="A35" s="1"/>
      <c r="B35" s="76">
        <v>42329</v>
      </c>
      <c r="C35" s="77" t="s">
        <v>74</v>
      </c>
      <c r="D35" s="81"/>
      <c r="E35" s="81"/>
      <c r="F35" s="81"/>
      <c r="G35" s="81"/>
      <c r="H35" s="81"/>
      <c r="I35" s="81"/>
      <c r="J35" s="81"/>
    </row>
    <row r="36" spans="1:10" ht="12.75" customHeight="1" x14ac:dyDescent="0.25">
      <c r="A36" s="1"/>
      <c r="B36" s="76">
        <v>42330</v>
      </c>
      <c r="C36" s="77" t="s">
        <v>74</v>
      </c>
      <c r="D36" s="81"/>
      <c r="E36" s="81"/>
      <c r="F36" s="81"/>
      <c r="G36" s="81"/>
      <c r="H36" s="81"/>
      <c r="I36" s="81"/>
      <c r="J36" s="81"/>
    </row>
    <row r="37" spans="1:10" ht="12.75" customHeight="1" x14ac:dyDescent="0.25">
      <c r="A37" s="1"/>
      <c r="B37" s="76">
        <v>42331</v>
      </c>
      <c r="C37" s="77" t="s">
        <v>74</v>
      </c>
      <c r="D37" s="81"/>
      <c r="E37" s="81"/>
      <c r="F37" s="81"/>
      <c r="G37" s="81"/>
      <c r="H37" s="81"/>
      <c r="I37" s="81"/>
      <c r="J37" s="81"/>
    </row>
    <row r="38" spans="1:10" ht="12.75" customHeight="1" x14ac:dyDescent="0.25">
      <c r="A38" s="1"/>
      <c r="B38" s="76">
        <v>42332</v>
      </c>
      <c r="C38" s="77" t="s">
        <v>74</v>
      </c>
      <c r="D38" s="81"/>
      <c r="E38" s="81"/>
      <c r="F38" s="81"/>
      <c r="G38" s="81"/>
      <c r="H38" s="81"/>
      <c r="I38" s="81"/>
      <c r="J38" s="81"/>
    </row>
    <row r="39" spans="1:10" ht="12.75" customHeight="1" x14ac:dyDescent="0.25">
      <c r="A39" s="1"/>
      <c r="B39" s="76">
        <v>42333</v>
      </c>
      <c r="C39" s="77" t="s">
        <v>74</v>
      </c>
      <c r="D39" s="81"/>
      <c r="E39" s="81"/>
      <c r="F39" s="81"/>
      <c r="G39" s="81"/>
      <c r="H39" s="81"/>
      <c r="I39" s="81"/>
      <c r="J39" s="81"/>
    </row>
    <row r="40" spans="1:10" ht="12.75" customHeight="1" x14ac:dyDescent="0.25">
      <c r="A40" s="1"/>
      <c r="B40" s="76">
        <v>42334</v>
      </c>
      <c r="C40" s="77" t="s">
        <v>74</v>
      </c>
      <c r="D40" s="81"/>
      <c r="E40" s="81"/>
      <c r="F40" s="81"/>
      <c r="G40" s="81"/>
      <c r="H40" s="81"/>
      <c r="I40" s="81"/>
      <c r="J40" s="81"/>
    </row>
    <row r="41" spans="1:10" ht="12.75" customHeight="1" x14ac:dyDescent="0.25">
      <c r="A41" s="1"/>
      <c r="B41" s="76">
        <v>42335</v>
      </c>
      <c r="C41" s="77" t="s">
        <v>74</v>
      </c>
      <c r="D41" s="81"/>
      <c r="E41" s="81"/>
      <c r="F41" s="81"/>
      <c r="G41" s="81"/>
      <c r="H41" s="81"/>
      <c r="I41" s="81"/>
      <c r="J41" s="81"/>
    </row>
    <row r="42" spans="1:10" ht="12.75" customHeight="1" x14ac:dyDescent="0.25">
      <c r="A42" s="1"/>
      <c r="B42" s="76">
        <v>42336</v>
      </c>
      <c r="C42" s="77" t="s">
        <v>74</v>
      </c>
      <c r="D42" s="81"/>
      <c r="E42" s="81"/>
      <c r="F42" s="81"/>
      <c r="G42" s="81"/>
      <c r="H42" s="81"/>
      <c r="I42" s="81"/>
      <c r="J42" s="81"/>
    </row>
    <row r="43" spans="1:10" ht="12.75" customHeight="1" x14ac:dyDescent="0.25">
      <c r="A43" s="1"/>
      <c r="B43" s="76">
        <v>42337</v>
      </c>
      <c r="C43" s="77" t="s">
        <v>74</v>
      </c>
      <c r="D43" s="81"/>
      <c r="E43" s="81"/>
      <c r="F43" s="81"/>
      <c r="G43" s="81"/>
      <c r="H43" s="81"/>
      <c r="I43" s="81"/>
      <c r="J43" s="81"/>
    </row>
    <row r="44" spans="1:10" ht="12.75" customHeight="1" x14ac:dyDescent="0.25">
      <c r="A44" s="1"/>
      <c r="B44" s="76">
        <v>42338</v>
      </c>
      <c r="C44" s="77" t="s">
        <v>74</v>
      </c>
      <c r="D44" s="81"/>
      <c r="E44" s="81"/>
      <c r="F44" s="81"/>
      <c r="G44" s="81"/>
      <c r="H44" s="81"/>
      <c r="I44" s="81"/>
      <c r="J44" s="81"/>
    </row>
    <row r="45" spans="1:10" ht="12.75" customHeight="1" x14ac:dyDescent="0.25">
      <c r="A45" s="1"/>
      <c r="B45" s="76" t="s">
        <v>38</v>
      </c>
      <c r="C45" s="77" t="s">
        <v>38</v>
      </c>
      <c r="D45" s="81"/>
      <c r="E45" s="81"/>
      <c r="F45" s="81"/>
      <c r="G45" s="81"/>
      <c r="H45" s="81"/>
      <c r="I45" s="81"/>
      <c r="J45" s="81"/>
    </row>
    <row r="46" spans="1:10" ht="12.75" customHeight="1" x14ac:dyDescent="0.25">
      <c r="A46" s="1"/>
      <c r="B46" s="82" t="s">
        <v>69</v>
      </c>
      <c r="C46" s="82"/>
      <c r="D46" s="82"/>
      <c r="E46" s="83"/>
    </row>
    <row r="47" spans="1:10" ht="12.75" customHeight="1" x14ac:dyDescent="0.25">
      <c r="A47" s="1"/>
    </row>
    <row r="48" spans="1:10" ht="12.75" customHeight="1" x14ac:dyDescent="0.25">
      <c r="A48" s="1"/>
      <c r="B48" s="5" t="s">
        <v>70</v>
      </c>
      <c r="C48" s="5"/>
      <c r="D48" s="5"/>
      <c r="E48" s="5"/>
      <c r="F48" s="5"/>
      <c r="G48" s="6" t="s">
        <v>71</v>
      </c>
      <c r="H48" s="8"/>
    </row>
    <row r="49" spans="1:8" ht="12.75" customHeight="1" x14ac:dyDescent="0.25">
      <c r="A49" s="1"/>
      <c r="B49" s="5" t="s">
        <v>72</v>
      </c>
      <c r="C49" s="5"/>
      <c r="D49" s="5"/>
      <c r="E49" s="5"/>
      <c r="F49" s="5"/>
      <c r="G49" s="6" t="s">
        <v>71</v>
      </c>
      <c r="H49" s="8"/>
    </row>
    <row r="50" spans="1:8" ht="12.75" customHeight="1" x14ac:dyDescent="0.25">
      <c r="A50" s="1"/>
      <c r="B50" s="5" t="s">
        <v>73</v>
      </c>
      <c r="C50" s="5"/>
      <c r="D50" s="5"/>
      <c r="E50" s="5"/>
      <c r="F50" s="5"/>
      <c r="G50" s="6" t="s">
        <v>71</v>
      </c>
      <c r="H50" s="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39:J39"/>
    <mergeCell ref="D40:J40"/>
    <mergeCell ref="D41:J41"/>
    <mergeCell ref="D42:J42"/>
    <mergeCell ref="D43:J43"/>
    <mergeCell ref="D44:J44"/>
    <mergeCell ref="D33:J33"/>
    <mergeCell ref="D34:J34"/>
    <mergeCell ref="D35:J35"/>
    <mergeCell ref="D36:J36"/>
    <mergeCell ref="D37:J37"/>
    <mergeCell ref="D38:J38"/>
    <mergeCell ref="D27:J27"/>
    <mergeCell ref="D28:J28"/>
    <mergeCell ref="D29:J29"/>
    <mergeCell ref="D30:J30"/>
    <mergeCell ref="D31:J31"/>
    <mergeCell ref="D32:J32"/>
    <mergeCell ref="D21:J21"/>
    <mergeCell ref="D22:J22"/>
    <mergeCell ref="D23:J23"/>
    <mergeCell ref="D24:J24"/>
    <mergeCell ref="D25:J25"/>
    <mergeCell ref="D26:J26"/>
    <mergeCell ref="D15:J15"/>
    <mergeCell ref="D16:J16"/>
    <mergeCell ref="D17:J17"/>
    <mergeCell ref="D18:J18"/>
    <mergeCell ref="D19:J19"/>
    <mergeCell ref="D20:J20"/>
    <mergeCell ref="B1:J1"/>
    <mergeCell ref="B2:J2"/>
    <mergeCell ref="B3:J3"/>
    <mergeCell ref="B10:B14"/>
    <mergeCell ref="C10:C14"/>
    <mergeCell ref="D10:J11"/>
    <mergeCell ref="D12:J12"/>
    <mergeCell ref="D13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" t="s">
        <v>58</v>
      </c>
      <c r="C1" s="5"/>
      <c r="D1" s="5"/>
      <c r="E1" s="5"/>
      <c r="F1" s="5"/>
      <c r="G1" s="5"/>
      <c r="H1" s="5"/>
      <c r="I1" s="5"/>
      <c r="J1" s="5"/>
    </row>
    <row r="2" spans="1:10" ht="12.75" customHeight="1" x14ac:dyDescent="0.25">
      <c r="A2" s="1"/>
      <c r="B2" s="2" t="s">
        <v>59</v>
      </c>
      <c r="C2" s="5"/>
      <c r="D2" s="5"/>
      <c r="E2" s="5"/>
      <c r="F2" s="5"/>
      <c r="G2" s="5"/>
      <c r="H2" s="5"/>
      <c r="I2" s="5"/>
      <c r="J2" s="5"/>
    </row>
    <row r="3" spans="1:10" ht="12.75" customHeight="1" x14ac:dyDescent="0.25">
      <c r="A3" s="1"/>
      <c r="B3" s="2" t="s">
        <v>60</v>
      </c>
      <c r="C3" s="5"/>
      <c r="D3" s="5"/>
      <c r="E3" s="5"/>
      <c r="F3" s="5"/>
      <c r="G3" s="5"/>
      <c r="H3" s="5"/>
      <c r="I3" s="5"/>
      <c r="J3" s="5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48">
        <v>11</v>
      </c>
      <c r="D5" s="61"/>
      <c r="F5" t="s">
        <v>62</v>
      </c>
      <c r="G5" s="48">
        <v>22011</v>
      </c>
    </row>
    <row r="6" spans="1:10" ht="12.75" customHeight="1" x14ac:dyDescent="0.25">
      <c r="A6" s="1"/>
      <c r="B6" t="s">
        <v>63</v>
      </c>
      <c r="C6" s="48">
        <v>2015</v>
      </c>
      <c r="D6" s="61"/>
      <c r="F6" t="s">
        <v>64</v>
      </c>
      <c r="G6" s="62" t="s">
        <v>5</v>
      </c>
      <c r="H6" s="62"/>
      <c r="I6" s="62"/>
      <c r="J6" s="63"/>
    </row>
    <row r="7" spans="1:10" ht="12.75" customHeight="1" x14ac:dyDescent="0.25">
      <c r="A7" s="1"/>
      <c r="B7" t="s">
        <v>65</v>
      </c>
      <c r="E7" s="50">
        <v>2</v>
      </c>
    </row>
    <row r="8" spans="1:10" ht="12.75" customHeight="1" x14ac:dyDescent="0.25">
      <c r="A8" s="1"/>
      <c r="C8" s="64"/>
      <c r="D8" s="64"/>
      <c r="E8" s="64"/>
      <c r="F8" s="64"/>
      <c r="G8" s="64"/>
      <c r="H8" s="64"/>
      <c r="I8" s="64"/>
    </row>
    <row r="9" spans="1:10" ht="12.75" customHeight="1" x14ac:dyDescent="0.25">
      <c r="A9" s="1"/>
      <c r="B9" s="64"/>
      <c r="C9" s="64"/>
      <c r="D9" s="64"/>
      <c r="E9" s="64"/>
      <c r="F9" s="64"/>
      <c r="G9" s="64"/>
      <c r="H9" s="64"/>
      <c r="I9" s="64"/>
    </row>
    <row r="10" spans="1:10" ht="12.75" customHeight="1" x14ac:dyDescent="0.25">
      <c r="A10" s="1"/>
      <c r="B10" s="65" t="s">
        <v>23</v>
      </c>
      <c r="C10" s="66" t="s">
        <v>66</v>
      </c>
      <c r="D10" s="67" t="s">
        <v>67</v>
      </c>
      <c r="E10" s="68"/>
      <c r="F10" s="68"/>
      <c r="G10" s="68"/>
      <c r="H10" s="68"/>
      <c r="I10" s="68"/>
      <c r="J10" s="69"/>
    </row>
    <row r="11" spans="1:10" ht="12.75" customHeight="1" x14ac:dyDescent="0.25">
      <c r="A11" s="1"/>
      <c r="B11" s="65"/>
      <c r="C11" s="65"/>
      <c r="D11" s="70"/>
      <c r="E11" s="71"/>
      <c r="F11" s="71"/>
      <c r="G11" s="71"/>
      <c r="H11" s="71"/>
      <c r="I11" s="71"/>
      <c r="J11" s="72"/>
    </row>
    <row r="12" spans="1:10" ht="12.75" customHeight="1" x14ac:dyDescent="0.25">
      <c r="A12" s="1"/>
      <c r="B12" s="65"/>
      <c r="C12" s="65"/>
      <c r="D12" s="70"/>
      <c r="E12" s="71"/>
      <c r="F12" s="71"/>
      <c r="G12" s="71"/>
      <c r="H12" s="71"/>
      <c r="I12" s="71"/>
      <c r="J12" s="72"/>
    </row>
    <row r="13" spans="1:10" ht="12.75" customHeight="1" x14ac:dyDescent="0.25">
      <c r="A13" s="1"/>
      <c r="B13" s="65"/>
      <c r="C13" s="65"/>
      <c r="D13" s="70" t="s">
        <v>68</v>
      </c>
      <c r="E13" s="71"/>
      <c r="F13" s="71"/>
      <c r="G13" s="71"/>
      <c r="H13" s="71"/>
      <c r="I13" s="71"/>
      <c r="J13" s="72"/>
    </row>
    <row r="14" spans="1:10" ht="12.75" customHeight="1" x14ac:dyDescent="0.25">
      <c r="A14" s="1"/>
      <c r="B14" s="65"/>
      <c r="C14" s="65"/>
      <c r="D14" s="73"/>
      <c r="E14" s="74"/>
      <c r="F14" s="74"/>
      <c r="G14" s="74"/>
      <c r="H14" s="74"/>
      <c r="I14" s="74"/>
      <c r="J14" s="75"/>
    </row>
    <row r="15" spans="1:10" ht="12.75" customHeight="1" x14ac:dyDescent="0.25">
      <c r="A15" s="1"/>
      <c r="B15" s="76">
        <v>42309</v>
      </c>
      <c r="C15" s="77" t="s">
        <v>74</v>
      </c>
      <c r="D15" s="81"/>
      <c r="E15" s="81"/>
      <c r="F15" s="81"/>
      <c r="G15" s="81"/>
      <c r="H15" s="81"/>
      <c r="I15" s="81"/>
      <c r="J15" s="81"/>
    </row>
    <row r="16" spans="1:10" ht="12.75" customHeight="1" x14ac:dyDescent="0.25">
      <c r="A16" s="1"/>
      <c r="B16" s="76">
        <v>42310</v>
      </c>
      <c r="C16" s="77" t="s">
        <v>74</v>
      </c>
      <c r="D16" s="81"/>
      <c r="E16" s="81"/>
      <c r="F16" s="81"/>
      <c r="G16" s="81"/>
      <c r="H16" s="81"/>
      <c r="I16" s="81"/>
      <c r="J16" s="81"/>
    </row>
    <row r="17" spans="1:10" ht="12.75" customHeight="1" x14ac:dyDescent="0.25">
      <c r="A17" s="1"/>
      <c r="B17" s="76">
        <v>42311</v>
      </c>
      <c r="C17" s="77" t="s">
        <v>74</v>
      </c>
      <c r="D17" s="81"/>
      <c r="E17" s="81"/>
      <c r="F17" s="81"/>
      <c r="G17" s="81"/>
      <c r="H17" s="81"/>
      <c r="I17" s="81"/>
      <c r="J17" s="81"/>
    </row>
    <row r="18" spans="1:10" ht="12.75" customHeight="1" x14ac:dyDescent="0.25">
      <c r="A18" s="1"/>
      <c r="B18" s="76">
        <v>42312</v>
      </c>
      <c r="C18" s="77" t="s">
        <v>74</v>
      </c>
      <c r="D18" s="81"/>
      <c r="E18" s="81"/>
      <c r="F18" s="81"/>
      <c r="G18" s="81"/>
      <c r="H18" s="81"/>
      <c r="I18" s="81"/>
      <c r="J18" s="81"/>
    </row>
    <row r="19" spans="1:10" ht="12.75" customHeight="1" x14ac:dyDescent="0.25">
      <c r="A19" s="1"/>
      <c r="B19" s="76">
        <v>42313</v>
      </c>
      <c r="C19" s="77" t="s">
        <v>74</v>
      </c>
      <c r="D19" s="81"/>
      <c r="E19" s="81"/>
      <c r="F19" s="81"/>
      <c r="G19" s="81"/>
      <c r="H19" s="81"/>
      <c r="I19" s="81"/>
      <c r="J19" s="81"/>
    </row>
    <row r="20" spans="1:10" ht="12.75" customHeight="1" x14ac:dyDescent="0.25">
      <c r="A20" s="1"/>
      <c r="B20" s="76">
        <v>42314</v>
      </c>
      <c r="C20" s="77" t="s">
        <v>74</v>
      </c>
      <c r="D20" s="81"/>
      <c r="E20" s="81"/>
      <c r="F20" s="81"/>
      <c r="G20" s="81"/>
      <c r="H20" s="81"/>
      <c r="I20" s="81"/>
      <c r="J20" s="81"/>
    </row>
    <row r="21" spans="1:10" ht="12.75" customHeight="1" x14ac:dyDescent="0.25">
      <c r="A21" s="1"/>
      <c r="B21" s="76">
        <v>42315</v>
      </c>
      <c r="C21" s="77" t="s">
        <v>74</v>
      </c>
      <c r="D21" s="81"/>
      <c r="E21" s="81"/>
      <c r="F21" s="81"/>
      <c r="G21" s="81"/>
      <c r="H21" s="81"/>
      <c r="I21" s="81"/>
      <c r="J21" s="81"/>
    </row>
    <row r="22" spans="1:10" ht="12.75" customHeight="1" x14ac:dyDescent="0.25">
      <c r="A22" s="1"/>
      <c r="B22" s="76">
        <v>42316</v>
      </c>
      <c r="C22" s="77" t="s">
        <v>74</v>
      </c>
      <c r="D22" s="81"/>
      <c r="E22" s="81"/>
      <c r="F22" s="81"/>
      <c r="G22" s="81"/>
      <c r="H22" s="81"/>
      <c r="I22" s="81"/>
      <c r="J22" s="81"/>
    </row>
    <row r="23" spans="1:10" ht="12.75" customHeight="1" x14ac:dyDescent="0.25">
      <c r="A23" s="1"/>
      <c r="B23" s="76">
        <v>42317</v>
      </c>
      <c r="C23" s="77" t="s">
        <v>74</v>
      </c>
      <c r="D23" s="81"/>
      <c r="E23" s="81"/>
      <c r="F23" s="81"/>
      <c r="G23" s="81"/>
      <c r="H23" s="81"/>
      <c r="I23" s="81"/>
      <c r="J23" s="81"/>
    </row>
    <row r="24" spans="1:10" ht="12.75" customHeight="1" x14ac:dyDescent="0.25">
      <c r="A24" s="1"/>
      <c r="B24" s="76">
        <v>42318</v>
      </c>
      <c r="C24" s="77" t="s">
        <v>74</v>
      </c>
      <c r="D24" s="81"/>
      <c r="E24" s="81"/>
      <c r="F24" s="81"/>
      <c r="G24" s="81"/>
      <c r="H24" s="81"/>
      <c r="I24" s="81"/>
      <c r="J24" s="81"/>
    </row>
    <row r="25" spans="1:10" ht="12.75" customHeight="1" x14ac:dyDescent="0.25">
      <c r="A25" s="1"/>
      <c r="B25" s="76">
        <v>42319</v>
      </c>
      <c r="C25" s="77" t="s">
        <v>74</v>
      </c>
      <c r="D25" s="81"/>
      <c r="E25" s="81"/>
      <c r="F25" s="81"/>
      <c r="G25" s="81"/>
      <c r="H25" s="81"/>
      <c r="I25" s="81"/>
      <c r="J25" s="81"/>
    </row>
    <row r="26" spans="1:10" ht="12.75" customHeight="1" x14ac:dyDescent="0.25">
      <c r="A26" s="1"/>
      <c r="B26" s="76">
        <v>42320</v>
      </c>
      <c r="C26" s="77" t="s">
        <v>74</v>
      </c>
      <c r="D26" s="81"/>
      <c r="E26" s="81"/>
      <c r="F26" s="81"/>
      <c r="G26" s="81"/>
      <c r="H26" s="81"/>
      <c r="I26" s="81"/>
      <c r="J26" s="81"/>
    </row>
    <row r="27" spans="1:10" ht="12.75" customHeight="1" x14ac:dyDescent="0.25">
      <c r="A27" s="1"/>
      <c r="B27" s="76">
        <v>42321</v>
      </c>
      <c r="C27" s="77" t="s">
        <v>74</v>
      </c>
      <c r="D27" s="81"/>
      <c r="E27" s="81"/>
      <c r="F27" s="81"/>
      <c r="G27" s="81"/>
      <c r="H27" s="81"/>
      <c r="I27" s="81"/>
      <c r="J27" s="81"/>
    </row>
    <row r="28" spans="1:10" ht="12.75" customHeight="1" x14ac:dyDescent="0.25">
      <c r="A28" s="1"/>
      <c r="B28" s="76">
        <v>42322</v>
      </c>
      <c r="C28" s="77" t="s">
        <v>74</v>
      </c>
      <c r="D28" s="81"/>
      <c r="E28" s="81"/>
      <c r="F28" s="81"/>
      <c r="G28" s="81"/>
      <c r="H28" s="81"/>
      <c r="I28" s="81"/>
      <c r="J28" s="81"/>
    </row>
    <row r="29" spans="1:10" ht="12.75" customHeight="1" x14ac:dyDescent="0.25">
      <c r="A29" s="1"/>
      <c r="B29" s="76">
        <v>42323</v>
      </c>
      <c r="C29" s="77" t="s">
        <v>74</v>
      </c>
      <c r="D29" s="81"/>
      <c r="E29" s="81"/>
      <c r="F29" s="81"/>
      <c r="G29" s="81"/>
      <c r="H29" s="81"/>
      <c r="I29" s="81"/>
      <c r="J29" s="81"/>
    </row>
    <row r="30" spans="1:10" ht="12.75" customHeight="1" x14ac:dyDescent="0.25">
      <c r="A30" s="1"/>
      <c r="B30" s="76">
        <v>42324</v>
      </c>
      <c r="C30" s="77" t="s">
        <v>74</v>
      </c>
      <c r="D30" s="81"/>
      <c r="E30" s="81"/>
      <c r="F30" s="81"/>
      <c r="G30" s="81"/>
      <c r="H30" s="81"/>
      <c r="I30" s="81"/>
      <c r="J30" s="81"/>
    </row>
    <row r="31" spans="1:10" ht="12.75" customHeight="1" x14ac:dyDescent="0.25">
      <c r="A31" s="1"/>
      <c r="B31" s="76">
        <v>42325</v>
      </c>
      <c r="C31" s="77" t="s">
        <v>74</v>
      </c>
      <c r="D31" s="81"/>
      <c r="E31" s="81"/>
      <c r="F31" s="81"/>
      <c r="G31" s="81"/>
      <c r="H31" s="81"/>
      <c r="I31" s="81"/>
      <c r="J31" s="81"/>
    </row>
    <row r="32" spans="1:10" ht="12.75" customHeight="1" x14ac:dyDescent="0.25">
      <c r="A32" s="1"/>
      <c r="B32" s="76">
        <v>42326</v>
      </c>
      <c r="C32" s="77" t="s">
        <v>74</v>
      </c>
      <c r="D32" s="81"/>
      <c r="E32" s="81"/>
      <c r="F32" s="81"/>
      <c r="G32" s="81"/>
      <c r="H32" s="81"/>
      <c r="I32" s="81"/>
      <c r="J32" s="81"/>
    </row>
    <row r="33" spans="1:10" ht="12.75" customHeight="1" x14ac:dyDescent="0.25">
      <c r="A33" s="1"/>
      <c r="B33" s="76">
        <v>42327</v>
      </c>
      <c r="C33" s="77" t="s">
        <v>74</v>
      </c>
      <c r="D33" s="81"/>
      <c r="E33" s="81"/>
      <c r="F33" s="81"/>
      <c r="G33" s="81"/>
      <c r="H33" s="81"/>
      <c r="I33" s="81"/>
      <c r="J33" s="81"/>
    </row>
    <row r="34" spans="1:10" ht="12.75" customHeight="1" x14ac:dyDescent="0.25">
      <c r="A34" s="1"/>
      <c r="B34" s="76">
        <v>42328</v>
      </c>
      <c r="C34" s="77" t="s">
        <v>74</v>
      </c>
      <c r="D34" s="81"/>
      <c r="E34" s="81"/>
      <c r="F34" s="81"/>
      <c r="G34" s="81"/>
      <c r="H34" s="81"/>
      <c r="I34" s="81"/>
      <c r="J34" s="81"/>
    </row>
    <row r="35" spans="1:10" ht="12.75" customHeight="1" x14ac:dyDescent="0.25">
      <c r="A35" s="1"/>
      <c r="B35" s="76">
        <v>42329</v>
      </c>
      <c r="C35" s="77" t="s">
        <v>74</v>
      </c>
      <c r="D35" s="81"/>
      <c r="E35" s="81"/>
      <c r="F35" s="81"/>
      <c r="G35" s="81"/>
      <c r="H35" s="81"/>
      <c r="I35" s="81"/>
      <c r="J35" s="81"/>
    </row>
    <row r="36" spans="1:10" ht="12.75" customHeight="1" x14ac:dyDescent="0.25">
      <c r="A36" s="1"/>
      <c r="B36" s="76">
        <v>42330</v>
      </c>
      <c r="C36" s="77" t="s">
        <v>74</v>
      </c>
      <c r="D36" s="81"/>
      <c r="E36" s="81"/>
      <c r="F36" s="81"/>
      <c r="G36" s="81"/>
      <c r="H36" s="81"/>
      <c r="I36" s="81"/>
      <c r="J36" s="81"/>
    </row>
    <row r="37" spans="1:10" ht="12.75" customHeight="1" x14ac:dyDescent="0.25">
      <c r="A37" s="1"/>
      <c r="B37" s="76">
        <v>42331</v>
      </c>
      <c r="C37" s="77" t="s">
        <v>74</v>
      </c>
      <c r="D37" s="81"/>
      <c r="E37" s="81"/>
      <c r="F37" s="81"/>
      <c r="G37" s="81"/>
      <c r="H37" s="81"/>
      <c r="I37" s="81"/>
      <c r="J37" s="81"/>
    </row>
    <row r="38" spans="1:10" ht="12.75" customHeight="1" x14ac:dyDescent="0.25">
      <c r="A38" s="1"/>
      <c r="B38" s="76">
        <v>42332</v>
      </c>
      <c r="C38" s="77" t="s">
        <v>74</v>
      </c>
      <c r="D38" s="81"/>
      <c r="E38" s="81"/>
      <c r="F38" s="81"/>
      <c r="G38" s="81"/>
      <c r="H38" s="81"/>
      <c r="I38" s="81"/>
      <c r="J38" s="81"/>
    </row>
    <row r="39" spans="1:10" ht="12.75" customHeight="1" x14ac:dyDescent="0.25">
      <c r="A39" s="1"/>
      <c r="B39" s="76">
        <v>42333</v>
      </c>
      <c r="C39" s="77" t="s">
        <v>74</v>
      </c>
      <c r="D39" s="81"/>
      <c r="E39" s="81"/>
      <c r="F39" s="81"/>
      <c r="G39" s="81"/>
      <c r="H39" s="81"/>
      <c r="I39" s="81"/>
      <c r="J39" s="81"/>
    </row>
    <row r="40" spans="1:10" ht="12.75" customHeight="1" x14ac:dyDescent="0.25">
      <c r="A40" s="1"/>
      <c r="B40" s="76">
        <v>42334</v>
      </c>
      <c r="C40" s="77" t="s">
        <v>74</v>
      </c>
      <c r="D40" s="81"/>
      <c r="E40" s="81"/>
      <c r="F40" s="81"/>
      <c r="G40" s="81"/>
      <c r="H40" s="81"/>
      <c r="I40" s="81"/>
      <c r="J40" s="81"/>
    </row>
    <row r="41" spans="1:10" ht="12.75" customHeight="1" x14ac:dyDescent="0.25">
      <c r="A41" s="1"/>
      <c r="B41" s="76">
        <v>42335</v>
      </c>
      <c r="C41" s="77" t="s">
        <v>74</v>
      </c>
      <c r="D41" s="81"/>
      <c r="E41" s="81"/>
      <c r="F41" s="81"/>
      <c r="G41" s="81"/>
      <c r="H41" s="81"/>
      <c r="I41" s="81"/>
      <c r="J41" s="81"/>
    </row>
    <row r="42" spans="1:10" ht="12.75" customHeight="1" x14ac:dyDescent="0.25">
      <c r="A42" s="1"/>
      <c r="B42" s="76">
        <v>42336</v>
      </c>
      <c r="C42" s="77" t="s">
        <v>74</v>
      </c>
      <c r="D42" s="81"/>
      <c r="E42" s="81"/>
      <c r="F42" s="81"/>
      <c r="G42" s="81"/>
      <c r="H42" s="81"/>
      <c r="I42" s="81"/>
      <c r="J42" s="81"/>
    </row>
    <row r="43" spans="1:10" ht="12.75" customHeight="1" x14ac:dyDescent="0.25">
      <c r="A43" s="1"/>
      <c r="B43" s="76">
        <v>42337</v>
      </c>
      <c r="C43" s="77" t="s">
        <v>74</v>
      </c>
      <c r="D43" s="81"/>
      <c r="E43" s="81"/>
      <c r="F43" s="81"/>
      <c r="G43" s="81"/>
      <c r="H43" s="81"/>
      <c r="I43" s="81"/>
      <c r="J43" s="81"/>
    </row>
    <row r="44" spans="1:10" ht="12.75" customHeight="1" x14ac:dyDescent="0.25">
      <c r="A44" s="1"/>
      <c r="B44" s="76">
        <v>42338</v>
      </c>
      <c r="C44" s="77" t="s">
        <v>74</v>
      </c>
      <c r="D44" s="81"/>
      <c r="E44" s="81"/>
      <c r="F44" s="81"/>
      <c r="G44" s="81"/>
      <c r="H44" s="81"/>
      <c r="I44" s="81"/>
      <c r="J44" s="81"/>
    </row>
    <row r="45" spans="1:10" ht="12.75" customHeight="1" x14ac:dyDescent="0.25">
      <c r="A45" s="1"/>
      <c r="B45" s="76" t="s">
        <v>38</v>
      </c>
      <c r="C45" s="77" t="s">
        <v>38</v>
      </c>
      <c r="D45" s="81"/>
      <c r="E45" s="81"/>
      <c r="F45" s="81"/>
      <c r="G45" s="81"/>
      <c r="H45" s="81"/>
      <c r="I45" s="81"/>
      <c r="J45" s="81"/>
    </row>
    <row r="46" spans="1:10" ht="12.75" customHeight="1" x14ac:dyDescent="0.25">
      <c r="A46" s="1"/>
      <c r="B46" s="82" t="s">
        <v>69</v>
      </c>
      <c r="C46" s="82"/>
      <c r="D46" s="82"/>
      <c r="E46" s="83"/>
    </row>
    <row r="47" spans="1:10" ht="12.75" customHeight="1" x14ac:dyDescent="0.25">
      <c r="A47" s="1"/>
    </row>
    <row r="48" spans="1:10" ht="12.75" customHeight="1" x14ac:dyDescent="0.25">
      <c r="A48" s="1"/>
      <c r="B48" s="5" t="s">
        <v>70</v>
      </c>
      <c r="C48" s="5"/>
      <c r="D48" s="5"/>
      <c r="E48" s="5"/>
      <c r="F48" s="5"/>
      <c r="G48" s="6" t="s">
        <v>71</v>
      </c>
      <c r="H48" s="8"/>
    </row>
    <row r="49" spans="1:8" ht="12.75" customHeight="1" x14ac:dyDescent="0.25">
      <c r="A49" s="1"/>
      <c r="B49" s="5" t="s">
        <v>72</v>
      </c>
      <c r="C49" s="5"/>
      <c r="D49" s="5"/>
      <c r="E49" s="5"/>
      <c r="F49" s="5"/>
      <c r="G49" s="6" t="s">
        <v>71</v>
      </c>
      <c r="H49" s="8"/>
    </row>
    <row r="50" spans="1:8" ht="12.75" customHeight="1" x14ac:dyDescent="0.25">
      <c r="A50" s="1"/>
      <c r="B50" s="5" t="s">
        <v>73</v>
      </c>
      <c r="C50" s="5"/>
      <c r="D50" s="5"/>
      <c r="E50" s="5"/>
      <c r="F50" s="5"/>
      <c r="G50" s="6" t="s">
        <v>71</v>
      </c>
      <c r="H50" s="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39:J39"/>
    <mergeCell ref="D40:J40"/>
    <mergeCell ref="D41:J41"/>
    <mergeCell ref="D42:J42"/>
    <mergeCell ref="D43:J43"/>
    <mergeCell ref="D44:J44"/>
    <mergeCell ref="D33:J33"/>
    <mergeCell ref="D34:J34"/>
    <mergeCell ref="D35:J35"/>
    <mergeCell ref="D36:J36"/>
    <mergeCell ref="D37:J37"/>
    <mergeCell ref="D38:J38"/>
    <mergeCell ref="D27:J27"/>
    <mergeCell ref="D28:J28"/>
    <mergeCell ref="D29:J29"/>
    <mergeCell ref="D30:J30"/>
    <mergeCell ref="D31:J31"/>
    <mergeCell ref="D32:J32"/>
    <mergeCell ref="D21:J21"/>
    <mergeCell ref="D22:J22"/>
    <mergeCell ref="D23:J23"/>
    <mergeCell ref="D24:J24"/>
    <mergeCell ref="D25:J25"/>
    <mergeCell ref="D26:J26"/>
    <mergeCell ref="D15:J15"/>
    <mergeCell ref="D16:J16"/>
    <mergeCell ref="D17:J17"/>
    <mergeCell ref="D18:J18"/>
    <mergeCell ref="D19:J19"/>
    <mergeCell ref="D20:J20"/>
    <mergeCell ref="B1:J1"/>
    <mergeCell ref="B2:J2"/>
    <mergeCell ref="B3:J3"/>
    <mergeCell ref="B10:B14"/>
    <mergeCell ref="C10:C14"/>
    <mergeCell ref="D10:J11"/>
    <mergeCell ref="D12:J12"/>
    <mergeCell ref="D13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" t="s">
        <v>58</v>
      </c>
      <c r="C1" s="5"/>
      <c r="D1" s="5"/>
      <c r="E1" s="5"/>
      <c r="F1" s="5"/>
      <c r="G1" s="5"/>
      <c r="H1" s="5"/>
      <c r="I1" s="5"/>
      <c r="J1" s="5"/>
    </row>
    <row r="2" spans="1:10" ht="12.75" customHeight="1" x14ac:dyDescent="0.25">
      <c r="A2" s="1"/>
      <c r="B2" s="2" t="s">
        <v>59</v>
      </c>
      <c r="C2" s="5"/>
      <c r="D2" s="5"/>
      <c r="E2" s="5"/>
      <c r="F2" s="5"/>
      <c r="G2" s="5"/>
      <c r="H2" s="5"/>
      <c r="I2" s="5"/>
      <c r="J2" s="5"/>
    </row>
    <row r="3" spans="1:10" ht="12.75" customHeight="1" x14ac:dyDescent="0.25">
      <c r="A3" s="1"/>
      <c r="B3" s="2" t="s">
        <v>60</v>
      </c>
      <c r="C3" s="5"/>
      <c r="D3" s="5"/>
      <c r="E3" s="5"/>
      <c r="F3" s="5"/>
      <c r="G3" s="5"/>
      <c r="H3" s="5"/>
      <c r="I3" s="5"/>
      <c r="J3" s="5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48">
        <v>11</v>
      </c>
      <c r="D5" s="61"/>
      <c r="F5" t="s">
        <v>62</v>
      </c>
      <c r="G5" s="48">
        <v>22011</v>
      </c>
    </row>
    <row r="6" spans="1:10" ht="12.75" customHeight="1" x14ac:dyDescent="0.25">
      <c r="A6" s="1"/>
      <c r="B6" t="s">
        <v>63</v>
      </c>
      <c r="C6" s="48">
        <v>2015</v>
      </c>
      <c r="D6" s="61"/>
      <c r="F6" t="s">
        <v>64</v>
      </c>
      <c r="G6" s="62" t="s">
        <v>5</v>
      </c>
      <c r="H6" s="62"/>
      <c r="I6" s="62"/>
      <c r="J6" s="63"/>
    </row>
    <row r="7" spans="1:10" ht="12.75" customHeight="1" x14ac:dyDescent="0.25">
      <c r="A7" s="1"/>
      <c r="B7" t="s">
        <v>65</v>
      </c>
      <c r="E7" s="50">
        <v>3</v>
      </c>
    </row>
    <row r="8" spans="1:10" ht="12.75" customHeight="1" x14ac:dyDescent="0.25">
      <c r="A8" s="1"/>
      <c r="C8" s="64"/>
      <c r="D8" s="64"/>
      <c r="E8" s="64"/>
      <c r="F8" s="64"/>
      <c r="G8" s="64"/>
      <c r="H8" s="64"/>
      <c r="I8" s="64"/>
    </row>
    <row r="9" spans="1:10" ht="12.75" customHeight="1" x14ac:dyDescent="0.25">
      <c r="A9" s="1"/>
      <c r="B9" s="64"/>
      <c r="C9" s="64"/>
      <c r="D9" s="64"/>
      <c r="E9" s="64"/>
      <c r="F9" s="64"/>
      <c r="G9" s="64"/>
      <c r="H9" s="64"/>
      <c r="I9" s="64"/>
    </row>
    <row r="10" spans="1:10" ht="12.75" customHeight="1" x14ac:dyDescent="0.25">
      <c r="A10" s="1"/>
      <c r="B10" s="65" t="s">
        <v>23</v>
      </c>
      <c r="C10" s="66" t="s">
        <v>66</v>
      </c>
      <c r="D10" s="67" t="s">
        <v>67</v>
      </c>
      <c r="E10" s="68"/>
      <c r="F10" s="68"/>
      <c r="G10" s="68"/>
      <c r="H10" s="68"/>
      <c r="I10" s="68"/>
      <c r="J10" s="69"/>
    </row>
    <row r="11" spans="1:10" ht="12.75" customHeight="1" x14ac:dyDescent="0.25">
      <c r="A11" s="1"/>
      <c r="B11" s="65"/>
      <c r="C11" s="65"/>
      <c r="D11" s="70"/>
      <c r="E11" s="71"/>
      <c r="F11" s="71"/>
      <c r="G11" s="71"/>
      <c r="H11" s="71"/>
      <c r="I11" s="71"/>
      <c r="J11" s="72"/>
    </row>
    <row r="12" spans="1:10" ht="12.75" customHeight="1" x14ac:dyDescent="0.25">
      <c r="A12" s="1"/>
      <c r="B12" s="65"/>
      <c r="C12" s="65"/>
      <c r="D12" s="70"/>
      <c r="E12" s="71"/>
      <c r="F12" s="71"/>
      <c r="G12" s="71"/>
      <c r="H12" s="71"/>
      <c r="I12" s="71"/>
      <c r="J12" s="72"/>
    </row>
    <row r="13" spans="1:10" ht="12.75" customHeight="1" x14ac:dyDescent="0.25">
      <c r="A13" s="1"/>
      <c r="B13" s="65"/>
      <c r="C13" s="65"/>
      <c r="D13" s="70" t="s">
        <v>68</v>
      </c>
      <c r="E13" s="71"/>
      <c r="F13" s="71"/>
      <c r="G13" s="71"/>
      <c r="H13" s="71"/>
      <c r="I13" s="71"/>
      <c r="J13" s="72"/>
    </row>
    <row r="14" spans="1:10" ht="12.75" customHeight="1" x14ac:dyDescent="0.25">
      <c r="A14" s="1"/>
      <c r="B14" s="65"/>
      <c r="C14" s="65"/>
      <c r="D14" s="73"/>
      <c r="E14" s="74"/>
      <c r="F14" s="74"/>
      <c r="G14" s="74"/>
      <c r="H14" s="74"/>
      <c r="I14" s="74"/>
      <c r="J14" s="75"/>
    </row>
    <row r="15" spans="1:10" ht="12.75" customHeight="1" x14ac:dyDescent="0.25">
      <c r="A15" s="1"/>
      <c r="B15" s="76">
        <v>42309</v>
      </c>
      <c r="C15" s="77" t="s">
        <v>74</v>
      </c>
      <c r="D15" s="81"/>
      <c r="E15" s="81"/>
      <c r="F15" s="81"/>
      <c r="G15" s="81"/>
      <c r="H15" s="81"/>
      <c r="I15" s="81"/>
      <c r="J15" s="81"/>
    </row>
    <row r="16" spans="1:10" ht="12.75" customHeight="1" x14ac:dyDescent="0.25">
      <c r="A16" s="1"/>
      <c r="B16" s="76">
        <v>42310</v>
      </c>
      <c r="C16" s="77" t="s">
        <v>74</v>
      </c>
      <c r="D16" s="81"/>
      <c r="E16" s="81"/>
      <c r="F16" s="81"/>
      <c r="G16" s="81"/>
      <c r="H16" s="81"/>
      <c r="I16" s="81"/>
      <c r="J16" s="81"/>
    </row>
    <row r="17" spans="1:10" ht="12.75" customHeight="1" x14ac:dyDescent="0.25">
      <c r="A17" s="1"/>
      <c r="B17" s="76">
        <v>42311</v>
      </c>
      <c r="C17" s="77" t="s">
        <v>74</v>
      </c>
      <c r="D17" s="81"/>
      <c r="E17" s="81"/>
      <c r="F17" s="81"/>
      <c r="G17" s="81"/>
      <c r="H17" s="81"/>
      <c r="I17" s="81"/>
      <c r="J17" s="81"/>
    </row>
    <row r="18" spans="1:10" ht="12.75" customHeight="1" x14ac:dyDescent="0.25">
      <c r="A18" s="1"/>
      <c r="B18" s="76">
        <v>42312</v>
      </c>
      <c r="C18" s="77" t="s">
        <v>74</v>
      </c>
      <c r="D18" s="81"/>
      <c r="E18" s="81"/>
      <c r="F18" s="81"/>
      <c r="G18" s="81"/>
      <c r="H18" s="81"/>
      <c r="I18" s="81"/>
      <c r="J18" s="81"/>
    </row>
    <row r="19" spans="1:10" ht="12.75" customHeight="1" x14ac:dyDescent="0.25">
      <c r="A19" s="1"/>
      <c r="B19" s="76">
        <v>42313</v>
      </c>
      <c r="C19" s="77" t="s">
        <v>74</v>
      </c>
      <c r="D19" s="81"/>
      <c r="E19" s="81"/>
      <c r="F19" s="81"/>
      <c r="G19" s="81"/>
      <c r="H19" s="81"/>
      <c r="I19" s="81"/>
      <c r="J19" s="81"/>
    </row>
    <row r="20" spans="1:10" ht="12.75" customHeight="1" x14ac:dyDescent="0.25">
      <c r="A20" s="1"/>
      <c r="B20" s="76">
        <v>42314</v>
      </c>
      <c r="C20" s="77" t="s">
        <v>74</v>
      </c>
      <c r="D20" s="81"/>
      <c r="E20" s="81"/>
      <c r="F20" s="81"/>
      <c r="G20" s="81"/>
      <c r="H20" s="81"/>
      <c r="I20" s="81"/>
      <c r="J20" s="81"/>
    </row>
    <row r="21" spans="1:10" ht="12.75" customHeight="1" x14ac:dyDescent="0.25">
      <c r="A21" s="1"/>
      <c r="B21" s="76">
        <v>42315</v>
      </c>
      <c r="C21" s="77" t="s">
        <v>74</v>
      </c>
      <c r="D21" s="81"/>
      <c r="E21" s="81"/>
      <c r="F21" s="81"/>
      <c r="G21" s="81"/>
      <c r="H21" s="81"/>
      <c r="I21" s="81"/>
      <c r="J21" s="81"/>
    </row>
    <row r="22" spans="1:10" ht="12.75" customHeight="1" x14ac:dyDescent="0.25">
      <c r="A22" s="1"/>
      <c r="B22" s="76">
        <v>42316</v>
      </c>
      <c r="C22" s="77" t="s">
        <v>74</v>
      </c>
      <c r="D22" s="81"/>
      <c r="E22" s="81"/>
      <c r="F22" s="81"/>
      <c r="G22" s="81"/>
      <c r="H22" s="81"/>
      <c r="I22" s="81"/>
      <c r="J22" s="81"/>
    </row>
    <row r="23" spans="1:10" ht="12.75" customHeight="1" x14ac:dyDescent="0.25">
      <c r="A23" s="1"/>
      <c r="B23" s="76">
        <v>42317</v>
      </c>
      <c r="C23" s="77" t="s">
        <v>74</v>
      </c>
      <c r="D23" s="81"/>
      <c r="E23" s="81"/>
      <c r="F23" s="81"/>
      <c r="G23" s="81"/>
      <c r="H23" s="81"/>
      <c r="I23" s="81"/>
      <c r="J23" s="81"/>
    </row>
    <row r="24" spans="1:10" ht="12.75" customHeight="1" x14ac:dyDescent="0.25">
      <c r="A24" s="1"/>
      <c r="B24" s="76">
        <v>42318</v>
      </c>
      <c r="C24" s="77" t="s">
        <v>74</v>
      </c>
      <c r="D24" s="81"/>
      <c r="E24" s="81"/>
      <c r="F24" s="81"/>
      <c r="G24" s="81"/>
      <c r="H24" s="81"/>
      <c r="I24" s="81"/>
      <c r="J24" s="81"/>
    </row>
    <row r="25" spans="1:10" ht="12.75" customHeight="1" x14ac:dyDescent="0.25">
      <c r="A25" s="1"/>
      <c r="B25" s="76">
        <v>42319</v>
      </c>
      <c r="C25" s="77" t="s">
        <v>74</v>
      </c>
      <c r="D25" s="81"/>
      <c r="E25" s="81"/>
      <c r="F25" s="81"/>
      <c r="G25" s="81"/>
      <c r="H25" s="81"/>
      <c r="I25" s="81"/>
      <c r="J25" s="81"/>
    </row>
    <row r="26" spans="1:10" ht="12.75" customHeight="1" x14ac:dyDescent="0.25">
      <c r="A26" s="1"/>
      <c r="B26" s="76">
        <v>42320</v>
      </c>
      <c r="C26" s="77" t="s">
        <v>74</v>
      </c>
      <c r="D26" s="81"/>
      <c r="E26" s="81"/>
      <c r="F26" s="81"/>
      <c r="G26" s="81"/>
      <c r="H26" s="81"/>
      <c r="I26" s="81"/>
      <c r="J26" s="81"/>
    </row>
    <row r="27" spans="1:10" ht="12.75" customHeight="1" x14ac:dyDescent="0.25">
      <c r="A27" s="1"/>
      <c r="B27" s="76">
        <v>42321</v>
      </c>
      <c r="C27" s="77" t="s">
        <v>74</v>
      </c>
      <c r="D27" s="81"/>
      <c r="E27" s="81"/>
      <c r="F27" s="81"/>
      <c r="G27" s="81"/>
      <c r="H27" s="81"/>
      <c r="I27" s="81"/>
      <c r="J27" s="81"/>
    </row>
    <row r="28" spans="1:10" ht="12.75" customHeight="1" x14ac:dyDescent="0.25">
      <c r="A28" s="1"/>
      <c r="B28" s="76">
        <v>42322</v>
      </c>
      <c r="C28" s="77" t="s">
        <v>74</v>
      </c>
      <c r="D28" s="81"/>
      <c r="E28" s="81"/>
      <c r="F28" s="81"/>
      <c r="G28" s="81"/>
      <c r="H28" s="81"/>
      <c r="I28" s="81"/>
      <c r="J28" s="81"/>
    </row>
    <row r="29" spans="1:10" ht="12.75" customHeight="1" x14ac:dyDescent="0.25">
      <c r="A29" s="1"/>
      <c r="B29" s="76">
        <v>42323</v>
      </c>
      <c r="C29" s="77" t="s">
        <v>74</v>
      </c>
      <c r="D29" s="81"/>
      <c r="E29" s="81"/>
      <c r="F29" s="81"/>
      <c r="G29" s="81"/>
      <c r="H29" s="81"/>
      <c r="I29" s="81"/>
      <c r="J29" s="81"/>
    </row>
    <row r="30" spans="1:10" ht="12.75" customHeight="1" x14ac:dyDescent="0.25">
      <c r="A30" s="1"/>
      <c r="B30" s="76">
        <v>42324</v>
      </c>
      <c r="C30" s="77" t="s">
        <v>74</v>
      </c>
      <c r="D30" s="81"/>
      <c r="E30" s="81"/>
      <c r="F30" s="81"/>
      <c r="G30" s="81"/>
      <c r="H30" s="81"/>
      <c r="I30" s="81"/>
      <c r="J30" s="81"/>
    </row>
    <row r="31" spans="1:10" ht="12.75" customHeight="1" x14ac:dyDescent="0.25">
      <c r="A31" s="1"/>
      <c r="B31" s="76">
        <v>42325</v>
      </c>
      <c r="C31" s="77" t="s">
        <v>74</v>
      </c>
      <c r="D31" s="81"/>
      <c r="E31" s="81"/>
      <c r="F31" s="81"/>
      <c r="G31" s="81"/>
      <c r="H31" s="81"/>
      <c r="I31" s="81"/>
      <c r="J31" s="81"/>
    </row>
    <row r="32" spans="1:10" ht="12.75" customHeight="1" x14ac:dyDescent="0.25">
      <c r="A32" s="1"/>
      <c r="B32" s="76">
        <v>42326</v>
      </c>
      <c r="C32" s="77" t="s">
        <v>74</v>
      </c>
      <c r="D32" s="81"/>
      <c r="E32" s="81"/>
      <c r="F32" s="81"/>
      <c r="G32" s="81"/>
      <c r="H32" s="81"/>
      <c r="I32" s="81"/>
      <c r="J32" s="81"/>
    </row>
    <row r="33" spans="1:10" ht="12.75" customHeight="1" x14ac:dyDescent="0.25">
      <c r="A33" s="1"/>
      <c r="B33" s="76">
        <v>42327</v>
      </c>
      <c r="C33" s="77" t="s">
        <v>74</v>
      </c>
      <c r="D33" s="81"/>
      <c r="E33" s="81"/>
      <c r="F33" s="81"/>
      <c r="G33" s="81"/>
      <c r="H33" s="81"/>
      <c r="I33" s="81"/>
      <c r="J33" s="81"/>
    </row>
    <row r="34" spans="1:10" ht="12.75" customHeight="1" x14ac:dyDescent="0.25">
      <c r="A34" s="1"/>
      <c r="B34" s="76">
        <v>42328</v>
      </c>
      <c r="C34" s="77" t="s">
        <v>74</v>
      </c>
      <c r="D34" s="81"/>
      <c r="E34" s="81"/>
      <c r="F34" s="81"/>
      <c r="G34" s="81"/>
      <c r="H34" s="81"/>
      <c r="I34" s="81"/>
      <c r="J34" s="81"/>
    </row>
    <row r="35" spans="1:10" ht="12.75" customHeight="1" x14ac:dyDescent="0.25">
      <c r="A35" s="1"/>
      <c r="B35" s="76">
        <v>42329</v>
      </c>
      <c r="C35" s="77" t="s">
        <v>74</v>
      </c>
      <c r="D35" s="81"/>
      <c r="E35" s="81"/>
      <c r="F35" s="81"/>
      <c r="G35" s="81"/>
      <c r="H35" s="81"/>
      <c r="I35" s="81"/>
      <c r="J35" s="81"/>
    </row>
    <row r="36" spans="1:10" ht="12.75" customHeight="1" x14ac:dyDescent="0.25">
      <c r="A36" s="1"/>
      <c r="B36" s="76">
        <v>42330</v>
      </c>
      <c r="C36" s="77" t="s">
        <v>74</v>
      </c>
      <c r="D36" s="81"/>
      <c r="E36" s="81"/>
      <c r="F36" s="81"/>
      <c r="G36" s="81"/>
      <c r="H36" s="81"/>
      <c r="I36" s="81"/>
      <c r="J36" s="81"/>
    </row>
    <row r="37" spans="1:10" ht="12.75" customHeight="1" x14ac:dyDescent="0.25">
      <c r="A37" s="1"/>
      <c r="B37" s="76">
        <v>42331</v>
      </c>
      <c r="C37" s="77" t="s">
        <v>74</v>
      </c>
      <c r="D37" s="81"/>
      <c r="E37" s="81"/>
      <c r="F37" s="81"/>
      <c r="G37" s="81"/>
      <c r="H37" s="81"/>
      <c r="I37" s="81"/>
      <c r="J37" s="81"/>
    </row>
    <row r="38" spans="1:10" ht="12.75" customHeight="1" x14ac:dyDescent="0.25">
      <c r="A38" s="1"/>
      <c r="B38" s="76">
        <v>42332</v>
      </c>
      <c r="C38" s="77" t="s">
        <v>74</v>
      </c>
      <c r="D38" s="81"/>
      <c r="E38" s="81"/>
      <c r="F38" s="81"/>
      <c r="G38" s="81"/>
      <c r="H38" s="81"/>
      <c r="I38" s="81"/>
      <c r="J38" s="81"/>
    </row>
    <row r="39" spans="1:10" ht="12.75" customHeight="1" x14ac:dyDescent="0.25">
      <c r="A39" s="1"/>
      <c r="B39" s="76">
        <v>42333</v>
      </c>
      <c r="C39" s="77" t="s">
        <v>74</v>
      </c>
      <c r="D39" s="81"/>
      <c r="E39" s="81"/>
      <c r="F39" s="81"/>
      <c r="G39" s="81"/>
      <c r="H39" s="81"/>
      <c r="I39" s="81"/>
      <c r="J39" s="81"/>
    </row>
    <row r="40" spans="1:10" ht="12.75" customHeight="1" x14ac:dyDescent="0.25">
      <c r="A40" s="1"/>
      <c r="B40" s="76">
        <v>42334</v>
      </c>
      <c r="C40" s="77" t="s">
        <v>74</v>
      </c>
      <c r="D40" s="81"/>
      <c r="E40" s="81"/>
      <c r="F40" s="81"/>
      <c r="G40" s="81"/>
      <c r="H40" s="81"/>
      <c r="I40" s="81"/>
      <c r="J40" s="81"/>
    </row>
    <row r="41" spans="1:10" ht="12.75" customHeight="1" x14ac:dyDescent="0.25">
      <c r="A41" s="1"/>
      <c r="B41" s="76">
        <v>42335</v>
      </c>
      <c r="C41" s="77" t="s">
        <v>74</v>
      </c>
      <c r="D41" s="81"/>
      <c r="E41" s="81"/>
      <c r="F41" s="81"/>
      <c r="G41" s="81"/>
      <c r="H41" s="81"/>
      <c r="I41" s="81"/>
      <c r="J41" s="81"/>
    </row>
    <row r="42" spans="1:10" ht="12.75" customHeight="1" x14ac:dyDescent="0.25">
      <c r="A42" s="1"/>
      <c r="B42" s="76">
        <v>42336</v>
      </c>
      <c r="C42" s="77" t="s">
        <v>74</v>
      </c>
      <c r="D42" s="81"/>
      <c r="E42" s="81"/>
      <c r="F42" s="81"/>
      <c r="G42" s="81"/>
      <c r="H42" s="81"/>
      <c r="I42" s="81"/>
      <c r="J42" s="81"/>
    </row>
    <row r="43" spans="1:10" ht="12.75" customHeight="1" x14ac:dyDescent="0.25">
      <c r="A43" s="1"/>
      <c r="B43" s="76">
        <v>42337</v>
      </c>
      <c r="C43" s="77" t="s">
        <v>74</v>
      </c>
      <c r="D43" s="81"/>
      <c r="E43" s="81"/>
      <c r="F43" s="81"/>
      <c r="G43" s="81"/>
      <c r="H43" s="81"/>
      <c r="I43" s="81"/>
      <c r="J43" s="81"/>
    </row>
    <row r="44" spans="1:10" ht="12.75" customHeight="1" x14ac:dyDescent="0.25">
      <c r="A44" s="1"/>
      <c r="B44" s="76">
        <v>42338</v>
      </c>
      <c r="C44" s="77" t="s">
        <v>74</v>
      </c>
      <c r="D44" s="81"/>
      <c r="E44" s="81"/>
      <c r="F44" s="81"/>
      <c r="G44" s="81"/>
      <c r="H44" s="81"/>
      <c r="I44" s="81"/>
      <c r="J44" s="81"/>
    </row>
    <row r="45" spans="1:10" ht="12.75" customHeight="1" x14ac:dyDescent="0.25">
      <c r="A45" s="1"/>
      <c r="B45" s="76" t="s">
        <v>38</v>
      </c>
      <c r="C45" s="77" t="s">
        <v>38</v>
      </c>
      <c r="D45" s="81"/>
      <c r="E45" s="81"/>
      <c r="F45" s="81"/>
      <c r="G45" s="81"/>
      <c r="H45" s="81"/>
      <c r="I45" s="81"/>
      <c r="J45" s="81"/>
    </row>
    <row r="46" spans="1:10" ht="12.75" customHeight="1" x14ac:dyDescent="0.25">
      <c r="A46" s="1"/>
      <c r="B46" s="82" t="s">
        <v>69</v>
      </c>
      <c r="C46" s="82"/>
      <c r="D46" s="82"/>
      <c r="E46" s="83"/>
    </row>
    <row r="47" spans="1:10" ht="12.75" customHeight="1" x14ac:dyDescent="0.25">
      <c r="A47" s="1"/>
    </row>
    <row r="48" spans="1:10" ht="12.75" customHeight="1" x14ac:dyDescent="0.25">
      <c r="A48" s="1"/>
      <c r="B48" s="5" t="s">
        <v>70</v>
      </c>
      <c r="C48" s="5"/>
      <c r="D48" s="5"/>
      <c r="E48" s="5"/>
      <c r="F48" s="5"/>
      <c r="G48" s="6" t="s">
        <v>71</v>
      </c>
      <c r="H48" s="8"/>
    </row>
    <row r="49" spans="1:8" ht="12.75" customHeight="1" x14ac:dyDescent="0.25">
      <c r="A49" s="1"/>
      <c r="B49" s="5" t="s">
        <v>72</v>
      </c>
      <c r="C49" s="5"/>
      <c r="D49" s="5"/>
      <c r="E49" s="5"/>
      <c r="F49" s="5"/>
      <c r="G49" s="6" t="s">
        <v>71</v>
      </c>
      <c r="H49" s="8"/>
    </row>
    <row r="50" spans="1:8" ht="12.75" customHeight="1" x14ac:dyDescent="0.25">
      <c r="A50" s="1"/>
      <c r="B50" s="5" t="s">
        <v>73</v>
      </c>
      <c r="C50" s="5"/>
      <c r="D50" s="5"/>
      <c r="E50" s="5"/>
      <c r="F50" s="5"/>
      <c r="G50" s="6" t="s">
        <v>71</v>
      </c>
      <c r="H50" s="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39:J39"/>
    <mergeCell ref="D40:J40"/>
    <mergeCell ref="D41:J41"/>
    <mergeCell ref="D42:J42"/>
    <mergeCell ref="D43:J43"/>
    <mergeCell ref="D44:J44"/>
    <mergeCell ref="D33:J33"/>
    <mergeCell ref="D34:J34"/>
    <mergeCell ref="D35:J35"/>
    <mergeCell ref="D36:J36"/>
    <mergeCell ref="D37:J37"/>
    <mergeCell ref="D38:J38"/>
    <mergeCell ref="D27:J27"/>
    <mergeCell ref="D28:J28"/>
    <mergeCell ref="D29:J29"/>
    <mergeCell ref="D30:J30"/>
    <mergeCell ref="D31:J31"/>
    <mergeCell ref="D32:J32"/>
    <mergeCell ref="D21:J21"/>
    <mergeCell ref="D22:J22"/>
    <mergeCell ref="D23:J23"/>
    <mergeCell ref="D24:J24"/>
    <mergeCell ref="D25:J25"/>
    <mergeCell ref="D26:J26"/>
    <mergeCell ref="D15:J15"/>
    <mergeCell ref="D16:J16"/>
    <mergeCell ref="D17:J17"/>
    <mergeCell ref="D18:J18"/>
    <mergeCell ref="D19:J19"/>
    <mergeCell ref="D20:J20"/>
    <mergeCell ref="B1:J1"/>
    <mergeCell ref="B2:J2"/>
    <mergeCell ref="B3:J3"/>
    <mergeCell ref="B10:B14"/>
    <mergeCell ref="C10:C14"/>
    <mergeCell ref="D10:J11"/>
    <mergeCell ref="D12:J12"/>
    <mergeCell ref="D13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" t="s">
        <v>58</v>
      </c>
      <c r="C1" s="5"/>
      <c r="D1" s="5"/>
      <c r="E1" s="5"/>
      <c r="F1" s="5"/>
      <c r="G1" s="5"/>
      <c r="H1" s="5"/>
      <c r="I1" s="5"/>
      <c r="J1" s="5"/>
    </row>
    <row r="2" spans="1:10" ht="12.75" customHeight="1" x14ac:dyDescent="0.25">
      <c r="A2" s="1"/>
      <c r="B2" s="2" t="s">
        <v>59</v>
      </c>
      <c r="C2" s="5"/>
      <c r="D2" s="5"/>
      <c r="E2" s="5"/>
      <c r="F2" s="5"/>
      <c r="G2" s="5"/>
      <c r="H2" s="5"/>
      <c r="I2" s="5"/>
      <c r="J2" s="5"/>
    </row>
    <row r="3" spans="1:10" ht="12.75" customHeight="1" x14ac:dyDescent="0.25">
      <c r="A3" s="1"/>
      <c r="B3" s="2" t="s">
        <v>60</v>
      </c>
      <c r="C3" s="5"/>
      <c r="D3" s="5"/>
      <c r="E3" s="5"/>
      <c r="F3" s="5"/>
      <c r="G3" s="5"/>
      <c r="H3" s="5"/>
      <c r="I3" s="5"/>
      <c r="J3" s="5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48">
        <v>11</v>
      </c>
      <c r="D5" s="61"/>
      <c r="F5" t="s">
        <v>62</v>
      </c>
      <c r="G5" s="48">
        <v>22011</v>
      </c>
    </row>
    <row r="6" spans="1:10" ht="12.75" customHeight="1" x14ac:dyDescent="0.25">
      <c r="A6" s="1"/>
      <c r="B6" t="s">
        <v>63</v>
      </c>
      <c r="C6" s="48">
        <v>2015</v>
      </c>
      <c r="D6" s="61"/>
      <c r="F6" t="s">
        <v>64</v>
      </c>
      <c r="G6" s="62" t="s">
        <v>5</v>
      </c>
      <c r="H6" s="62"/>
      <c r="I6" s="62"/>
      <c r="J6" s="63"/>
    </row>
    <row r="7" spans="1:10" ht="12.75" customHeight="1" x14ac:dyDescent="0.25">
      <c r="A7" s="1"/>
      <c r="B7" t="s">
        <v>65</v>
      </c>
      <c r="E7" s="50">
        <v>4</v>
      </c>
    </row>
    <row r="8" spans="1:10" ht="12.75" customHeight="1" x14ac:dyDescent="0.25">
      <c r="A8" s="1"/>
      <c r="C8" s="64"/>
      <c r="D8" s="64"/>
      <c r="E8" s="64"/>
      <c r="F8" s="64"/>
      <c r="G8" s="64"/>
      <c r="H8" s="64"/>
      <c r="I8" s="64"/>
    </row>
    <row r="9" spans="1:10" ht="12.75" customHeight="1" x14ac:dyDescent="0.25">
      <c r="A9" s="1"/>
      <c r="B9" s="64"/>
      <c r="C9" s="64"/>
      <c r="D9" s="64"/>
      <c r="E9" s="64"/>
      <c r="F9" s="64"/>
      <c r="G9" s="64"/>
      <c r="H9" s="64"/>
      <c r="I9" s="64"/>
    </row>
    <row r="10" spans="1:10" ht="12.75" customHeight="1" x14ac:dyDescent="0.25">
      <c r="A10" s="1"/>
      <c r="B10" s="65" t="s">
        <v>23</v>
      </c>
      <c r="C10" s="66" t="s">
        <v>66</v>
      </c>
      <c r="D10" s="67" t="s">
        <v>67</v>
      </c>
      <c r="E10" s="68"/>
      <c r="F10" s="68"/>
      <c r="G10" s="68"/>
      <c r="H10" s="68"/>
      <c r="I10" s="68"/>
      <c r="J10" s="69"/>
    </row>
    <row r="11" spans="1:10" ht="12.75" customHeight="1" x14ac:dyDescent="0.25">
      <c r="A11" s="1"/>
      <c r="B11" s="65"/>
      <c r="C11" s="65"/>
      <c r="D11" s="70"/>
      <c r="E11" s="71"/>
      <c r="F11" s="71"/>
      <c r="G11" s="71"/>
      <c r="H11" s="71"/>
      <c r="I11" s="71"/>
      <c r="J11" s="72"/>
    </row>
    <row r="12" spans="1:10" ht="12.75" customHeight="1" x14ac:dyDescent="0.25">
      <c r="A12" s="1"/>
      <c r="B12" s="65"/>
      <c r="C12" s="65"/>
      <c r="D12" s="70"/>
      <c r="E12" s="71"/>
      <c r="F12" s="71"/>
      <c r="G12" s="71"/>
      <c r="H12" s="71"/>
      <c r="I12" s="71"/>
      <c r="J12" s="72"/>
    </row>
    <row r="13" spans="1:10" ht="12.75" customHeight="1" x14ac:dyDescent="0.25">
      <c r="A13" s="1"/>
      <c r="B13" s="65"/>
      <c r="C13" s="65"/>
      <c r="D13" s="70" t="s">
        <v>68</v>
      </c>
      <c r="E13" s="71"/>
      <c r="F13" s="71"/>
      <c r="G13" s="71"/>
      <c r="H13" s="71"/>
      <c r="I13" s="71"/>
      <c r="J13" s="72"/>
    </row>
    <row r="14" spans="1:10" ht="12.75" customHeight="1" x14ac:dyDescent="0.25">
      <c r="A14" s="1"/>
      <c r="B14" s="65"/>
      <c r="C14" s="65"/>
      <c r="D14" s="73"/>
      <c r="E14" s="74"/>
      <c r="F14" s="74"/>
      <c r="G14" s="74"/>
      <c r="H14" s="74"/>
      <c r="I14" s="74"/>
      <c r="J14" s="75"/>
    </row>
    <row r="15" spans="1:10" ht="12.75" customHeight="1" x14ac:dyDescent="0.25">
      <c r="A15" s="1"/>
      <c r="B15" s="76">
        <v>42309</v>
      </c>
      <c r="C15" s="77" t="s">
        <v>74</v>
      </c>
      <c r="D15" s="81"/>
      <c r="E15" s="81"/>
      <c r="F15" s="81"/>
      <c r="G15" s="81"/>
      <c r="H15" s="81"/>
      <c r="I15" s="81"/>
      <c r="J15" s="81"/>
    </row>
    <row r="16" spans="1:10" ht="12.75" customHeight="1" x14ac:dyDescent="0.25">
      <c r="A16" s="1"/>
      <c r="B16" s="76">
        <v>42310</v>
      </c>
      <c r="C16" s="77" t="s">
        <v>74</v>
      </c>
      <c r="D16" s="81"/>
      <c r="E16" s="81"/>
      <c r="F16" s="81"/>
      <c r="G16" s="81"/>
      <c r="H16" s="81"/>
      <c r="I16" s="81"/>
      <c r="J16" s="81"/>
    </row>
    <row r="17" spans="1:10" ht="12.75" customHeight="1" x14ac:dyDescent="0.25">
      <c r="A17" s="1"/>
      <c r="B17" s="76">
        <v>42311</v>
      </c>
      <c r="C17" s="77" t="s">
        <v>74</v>
      </c>
      <c r="D17" s="81"/>
      <c r="E17" s="81"/>
      <c r="F17" s="81"/>
      <c r="G17" s="81"/>
      <c r="H17" s="81"/>
      <c r="I17" s="81"/>
      <c r="J17" s="81"/>
    </row>
    <row r="18" spans="1:10" ht="12.75" customHeight="1" x14ac:dyDescent="0.25">
      <c r="A18" s="1"/>
      <c r="B18" s="76">
        <v>42312</v>
      </c>
      <c r="C18" s="77" t="s">
        <v>74</v>
      </c>
      <c r="D18" s="81"/>
      <c r="E18" s="81"/>
      <c r="F18" s="81"/>
      <c r="G18" s="81"/>
      <c r="H18" s="81"/>
      <c r="I18" s="81"/>
      <c r="J18" s="81"/>
    </row>
    <row r="19" spans="1:10" ht="12.75" customHeight="1" x14ac:dyDescent="0.25">
      <c r="A19" s="1"/>
      <c r="B19" s="76">
        <v>42313</v>
      </c>
      <c r="C19" s="77" t="s">
        <v>74</v>
      </c>
      <c r="D19" s="81"/>
      <c r="E19" s="81"/>
      <c r="F19" s="81"/>
      <c r="G19" s="81"/>
      <c r="H19" s="81"/>
      <c r="I19" s="81"/>
      <c r="J19" s="81"/>
    </row>
    <row r="20" spans="1:10" ht="12.75" customHeight="1" x14ac:dyDescent="0.25">
      <c r="A20" s="1"/>
      <c r="B20" s="76">
        <v>42314</v>
      </c>
      <c r="C20" s="77" t="s">
        <v>74</v>
      </c>
      <c r="D20" s="81"/>
      <c r="E20" s="81"/>
      <c r="F20" s="81"/>
      <c r="G20" s="81"/>
      <c r="H20" s="81"/>
      <c r="I20" s="81"/>
      <c r="J20" s="81"/>
    </row>
    <row r="21" spans="1:10" ht="12.75" customHeight="1" x14ac:dyDescent="0.25">
      <c r="A21" s="1"/>
      <c r="B21" s="76">
        <v>42315</v>
      </c>
      <c r="C21" s="77" t="s">
        <v>74</v>
      </c>
      <c r="D21" s="81"/>
      <c r="E21" s="81"/>
      <c r="F21" s="81"/>
      <c r="G21" s="81"/>
      <c r="H21" s="81"/>
      <c r="I21" s="81"/>
      <c r="J21" s="81"/>
    </row>
    <row r="22" spans="1:10" ht="12.75" customHeight="1" x14ac:dyDescent="0.25">
      <c r="A22" s="1"/>
      <c r="B22" s="76">
        <v>42316</v>
      </c>
      <c r="C22" s="77" t="s">
        <v>74</v>
      </c>
      <c r="D22" s="81"/>
      <c r="E22" s="81"/>
      <c r="F22" s="81"/>
      <c r="G22" s="81"/>
      <c r="H22" s="81"/>
      <c r="I22" s="81"/>
      <c r="J22" s="81"/>
    </row>
    <row r="23" spans="1:10" ht="12.75" customHeight="1" x14ac:dyDescent="0.25">
      <c r="A23" s="1"/>
      <c r="B23" s="76">
        <v>42317</v>
      </c>
      <c r="C23" s="77" t="s">
        <v>74</v>
      </c>
      <c r="D23" s="81"/>
      <c r="E23" s="81"/>
      <c r="F23" s="81"/>
      <c r="G23" s="81"/>
      <c r="H23" s="81"/>
      <c r="I23" s="81"/>
      <c r="J23" s="81"/>
    </row>
    <row r="24" spans="1:10" ht="12.75" customHeight="1" x14ac:dyDescent="0.25">
      <c r="A24" s="1"/>
      <c r="B24" s="76">
        <v>42318</v>
      </c>
      <c r="C24" s="77" t="s">
        <v>74</v>
      </c>
      <c r="D24" s="81"/>
      <c r="E24" s="81"/>
      <c r="F24" s="81"/>
      <c r="G24" s="81"/>
      <c r="H24" s="81"/>
      <c r="I24" s="81"/>
      <c r="J24" s="81"/>
    </row>
    <row r="25" spans="1:10" ht="12.75" customHeight="1" x14ac:dyDescent="0.25">
      <c r="A25" s="1"/>
      <c r="B25" s="76">
        <v>42319</v>
      </c>
      <c r="C25" s="77" t="s">
        <v>74</v>
      </c>
      <c r="D25" s="81"/>
      <c r="E25" s="81"/>
      <c r="F25" s="81"/>
      <c r="G25" s="81"/>
      <c r="H25" s="81"/>
      <c r="I25" s="81"/>
      <c r="J25" s="81"/>
    </row>
    <row r="26" spans="1:10" ht="12.75" customHeight="1" x14ac:dyDescent="0.25">
      <c r="A26" s="1"/>
      <c r="B26" s="76">
        <v>42320</v>
      </c>
      <c r="C26" s="77" t="s">
        <v>74</v>
      </c>
      <c r="D26" s="81"/>
      <c r="E26" s="81"/>
      <c r="F26" s="81"/>
      <c r="G26" s="81"/>
      <c r="H26" s="81"/>
      <c r="I26" s="81"/>
      <c r="J26" s="81"/>
    </row>
    <row r="27" spans="1:10" ht="12.75" customHeight="1" x14ac:dyDescent="0.25">
      <c r="A27" s="1"/>
      <c r="B27" s="76">
        <v>42321</v>
      </c>
      <c r="C27" s="77" t="s">
        <v>74</v>
      </c>
      <c r="D27" s="81"/>
      <c r="E27" s="81"/>
      <c r="F27" s="81"/>
      <c r="G27" s="81"/>
      <c r="H27" s="81"/>
      <c r="I27" s="81"/>
      <c r="J27" s="81"/>
    </row>
    <row r="28" spans="1:10" ht="12.75" customHeight="1" x14ac:dyDescent="0.25">
      <c r="A28" s="1"/>
      <c r="B28" s="76">
        <v>42322</v>
      </c>
      <c r="C28" s="77" t="s">
        <v>74</v>
      </c>
      <c r="D28" s="81"/>
      <c r="E28" s="81"/>
      <c r="F28" s="81"/>
      <c r="G28" s="81"/>
      <c r="H28" s="81"/>
      <c r="I28" s="81"/>
      <c r="J28" s="81"/>
    </row>
    <row r="29" spans="1:10" ht="12.75" customHeight="1" x14ac:dyDescent="0.25">
      <c r="A29" s="1"/>
      <c r="B29" s="76">
        <v>42323</v>
      </c>
      <c r="C29" s="77" t="s">
        <v>74</v>
      </c>
      <c r="D29" s="81"/>
      <c r="E29" s="81"/>
      <c r="F29" s="81"/>
      <c r="G29" s="81"/>
      <c r="H29" s="81"/>
      <c r="I29" s="81"/>
      <c r="J29" s="81"/>
    </row>
    <row r="30" spans="1:10" ht="12.75" customHeight="1" x14ac:dyDescent="0.25">
      <c r="A30" s="1"/>
      <c r="B30" s="76">
        <v>42324</v>
      </c>
      <c r="C30" s="77" t="s">
        <v>74</v>
      </c>
      <c r="D30" s="81"/>
      <c r="E30" s="81"/>
      <c r="F30" s="81"/>
      <c r="G30" s="81"/>
      <c r="H30" s="81"/>
      <c r="I30" s="81"/>
      <c r="J30" s="81"/>
    </row>
    <row r="31" spans="1:10" ht="12.75" customHeight="1" x14ac:dyDescent="0.25">
      <c r="A31" s="1"/>
      <c r="B31" s="76">
        <v>42325</v>
      </c>
      <c r="C31" s="77" t="s">
        <v>74</v>
      </c>
      <c r="D31" s="81"/>
      <c r="E31" s="81"/>
      <c r="F31" s="81"/>
      <c r="G31" s="81"/>
      <c r="H31" s="81"/>
      <c r="I31" s="81"/>
      <c r="J31" s="81"/>
    </row>
    <row r="32" spans="1:10" ht="12.75" customHeight="1" x14ac:dyDescent="0.25">
      <c r="A32" s="1"/>
      <c r="B32" s="76">
        <v>42326</v>
      </c>
      <c r="C32" s="77" t="s">
        <v>74</v>
      </c>
      <c r="D32" s="81"/>
      <c r="E32" s="81"/>
      <c r="F32" s="81"/>
      <c r="G32" s="81"/>
      <c r="H32" s="81"/>
      <c r="I32" s="81"/>
      <c r="J32" s="81"/>
    </row>
    <row r="33" spans="1:10" ht="12.75" customHeight="1" x14ac:dyDescent="0.25">
      <c r="A33" s="1"/>
      <c r="B33" s="76">
        <v>42327</v>
      </c>
      <c r="C33" s="77" t="s">
        <v>74</v>
      </c>
      <c r="D33" s="81"/>
      <c r="E33" s="81"/>
      <c r="F33" s="81"/>
      <c r="G33" s="81"/>
      <c r="H33" s="81"/>
      <c r="I33" s="81"/>
      <c r="J33" s="81"/>
    </row>
    <row r="34" spans="1:10" ht="12.75" customHeight="1" x14ac:dyDescent="0.25">
      <c r="A34" s="1"/>
      <c r="B34" s="76">
        <v>42328</v>
      </c>
      <c r="C34" s="77" t="s">
        <v>74</v>
      </c>
      <c r="D34" s="81"/>
      <c r="E34" s="81"/>
      <c r="F34" s="81"/>
      <c r="G34" s="81"/>
      <c r="H34" s="81"/>
      <c r="I34" s="81"/>
      <c r="J34" s="81"/>
    </row>
    <row r="35" spans="1:10" ht="12.75" customHeight="1" x14ac:dyDescent="0.25">
      <c r="A35" s="1"/>
      <c r="B35" s="76">
        <v>42329</v>
      </c>
      <c r="C35" s="77" t="s">
        <v>74</v>
      </c>
      <c r="D35" s="81"/>
      <c r="E35" s="81"/>
      <c r="F35" s="81"/>
      <c r="G35" s="81"/>
      <c r="H35" s="81"/>
      <c r="I35" s="81"/>
      <c r="J35" s="81"/>
    </row>
    <row r="36" spans="1:10" ht="12.75" customHeight="1" x14ac:dyDescent="0.25">
      <c r="A36" s="1"/>
      <c r="B36" s="76">
        <v>42330</v>
      </c>
      <c r="C36" s="77" t="s">
        <v>74</v>
      </c>
      <c r="D36" s="81"/>
      <c r="E36" s="81"/>
      <c r="F36" s="81"/>
      <c r="G36" s="81"/>
      <c r="H36" s="81"/>
      <c r="I36" s="81"/>
      <c r="J36" s="81"/>
    </row>
    <row r="37" spans="1:10" ht="12.75" customHeight="1" x14ac:dyDescent="0.25">
      <c r="A37" s="1"/>
      <c r="B37" s="76">
        <v>42331</v>
      </c>
      <c r="C37" s="77" t="s">
        <v>74</v>
      </c>
      <c r="D37" s="81"/>
      <c r="E37" s="81"/>
      <c r="F37" s="81"/>
      <c r="G37" s="81"/>
      <c r="H37" s="81"/>
      <c r="I37" s="81"/>
      <c r="J37" s="81"/>
    </row>
    <row r="38" spans="1:10" ht="12.75" customHeight="1" x14ac:dyDescent="0.25">
      <c r="A38" s="1"/>
      <c r="B38" s="76">
        <v>42332</v>
      </c>
      <c r="C38" s="77" t="s">
        <v>74</v>
      </c>
      <c r="D38" s="81"/>
      <c r="E38" s="81"/>
      <c r="F38" s="81"/>
      <c r="G38" s="81"/>
      <c r="H38" s="81"/>
      <c r="I38" s="81"/>
      <c r="J38" s="81"/>
    </row>
    <row r="39" spans="1:10" ht="12.75" customHeight="1" x14ac:dyDescent="0.25">
      <c r="A39" s="1"/>
      <c r="B39" s="76">
        <v>42333</v>
      </c>
      <c r="C39" s="77" t="s">
        <v>74</v>
      </c>
      <c r="D39" s="81"/>
      <c r="E39" s="81"/>
      <c r="F39" s="81"/>
      <c r="G39" s="81"/>
      <c r="H39" s="81"/>
      <c r="I39" s="81"/>
      <c r="J39" s="81"/>
    </row>
    <row r="40" spans="1:10" ht="12.75" customHeight="1" x14ac:dyDescent="0.25">
      <c r="A40" s="1"/>
      <c r="B40" s="76">
        <v>42334</v>
      </c>
      <c r="C40" s="77" t="s">
        <v>74</v>
      </c>
      <c r="D40" s="81"/>
      <c r="E40" s="81"/>
      <c r="F40" s="81"/>
      <c r="G40" s="81"/>
      <c r="H40" s="81"/>
      <c r="I40" s="81"/>
      <c r="J40" s="81"/>
    </row>
    <row r="41" spans="1:10" ht="12.75" customHeight="1" x14ac:dyDescent="0.25">
      <c r="A41" s="1"/>
      <c r="B41" s="76">
        <v>42335</v>
      </c>
      <c r="C41" s="77" t="s">
        <v>74</v>
      </c>
      <c r="D41" s="81"/>
      <c r="E41" s="81"/>
      <c r="F41" s="81"/>
      <c r="G41" s="81"/>
      <c r="H41" s="81"/>
      <c r="I41" s="81"/>
      <c r="J41" s="81"/>
    </row>
    <row r="42" spans="1:10" ht="12.75" customHeight="1" x14ac:dyDescent="0.25">
      <c r="A42" s="1"/>
      <c r="B42" s="76">
        <v>42336</v>
      </c>
      <c r="C42" s="77" t="s">
        <v>74</v>
      </c>
      <c r="D42" s="81"/>
      <c r="E42" s="81"/>
      <c r="F42" s="81"/>
      <c r="G42" s="81"/>
      <c r="H42" s="81"/>
      <c r="I42" s="81"/>
      <c r="J42" s="81"/>
    </row>
    <row r="43" spans="1:10" ht="12.75" customHeight="1" x14ac:dyDescent="0.25">
      <c r="A43" s="1"/>
      <c r="B43" s="76">
        <v>42337</v>
      </c>
      <c r="C43" s="77" t="s">
        <v>74</v>
      </c>
      <c r="D43" s="81"/>
      <c r="E43" s="81"/>
      <c r="F43" s="81"/>
      <c r="G43" s="81"/>
      <c r="H43" s="81"/>
      <c r="I43" s="81"/>
      <c r="J43" s="81"/>
    </row>
    <row r="44" spans="1:10" ht="12.75" customHeight="1" x14ac:dyDescent="0.25">
      <c r="A44" s="1"/>
      <c r="B44" s="76">
        <v>42338</v>
      </c>
      <c r="C44" s="77" t="s">
        <v>74</v>
      </c>
      <c r="D44" s="81"/>
      <c r="E44" s="81"/>
      <c r="F44" s="81"/>
      <c r="G44" s="81"/>
      <c r="H44" s="81"/>
      <c r="I44" s="81"/>
      <c r="J44" s="81"/>
    </row>
    <row r="45" spans="1:10" ht="12.75" customHeight="1" x14ac:dyDescent="0.25">
      <c r="A45" s="1"/>
      <c r="B45" s="76" t="s">
        <v>38</v>
      </c>
      <c r="C45" s="77" t="s">
        <v>38</v>
      </c>
      <c r="D45" s="81"/>
      <c r="E45" s="81"/>
      <c r="F45" s="81"/>
      <c r="G45" s="81"/>
      <c r="H45" s="81"/>
      <c r="I45" s="81"/>
      <c r="J45" s="81"/>
    </row>
    <row r="46" spans="1:10" ht="12.75" customHeight="1" x14ac:dyDescent="0.25">
      <c r="A46" s="1"/>
      <c r="B46" s="82" t="s">
        <v>69</v>
      </c>
      <c r="C46" s="82"/>
      <c r="D46" s="82"/>
      <c r="E46" s="83"/>
    </row>
    <row r="47" spans="1:10" ht="12.75" customHeight="1" x14ac:dyDescent="0.25">
      <c r="A47" s="1"/>
    </row>
    <row r="48" spans="1:10" ht="12.75" customHeight="1" x14ac:dyDescent="0.25">
      <c r="A48" s="1"/>
      <c r="B48" s="5" t="s">
        <v>70</v>
      </c>
      <c r="C48" s="5"/>
      <c r="D48" s="5"/>
      <c r="E48" s="5"/>
      <c r="F48" s="5"/>
      <c r="G48" s="6" t="s">
        <v>71</v>
      </c>
      <c r="H48" s="8"/>
    </row>
    <row r="49" spans="1:8" ht="12.75" customHeight="1" x14ac:dyDescent="0.25">
      <c r="A49" s="1"/>
      <c r="B49" s="5" t="s">
        <v>72</v>
      </c>
      <c r="C49" s="5"/>
      <c r="D49" s="5"/>
      <c r="E49" s="5"/>
      <c r="F49" s="5"/>
      <c r="G49" s="6" t="s">
        <v>71</v>
      </c>
      <c r="H49" s="8"/>
    </row>
    <row r="50" spans="1:8" ht="12.75" customHeight="1" x14ac:dyDescent="0.25">
      <c r="A50" s="1"/>
      <c r="B50" s="5" t="s">
        <v>73</v>
      </c>
      <c r="C50" s="5"/>
      <c r="D50" s="5"/>
      <c r="E50" s="5"/>
      <c r="F50" s="5"/>
      <c r="G50" s="6" t="s">
        <v>71</v>
      </c>
      <c r="H50" s="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39:J39"/>
    <mergeCell ref="D40:J40"/>
    <mergeCell ref="D41:J41"/>
    <mergeCell ref="D42:J42"/>
    <mergeCell ref="D43:J43"/>
    <mergeCell ref="D44:J44"/>
    <mergeCell ref="D33:J33"/>
    <mergeCell ref="D34:J34"/>
    <mergeCell ref="D35:J35"/>
    <mergeCell ref="D36:J36"/>
    <mergeCell ref="D37:J37"/>
    <mergeCell ref="D38:J38"/>
    <mergeCell ref="D27:J27"/>
    <mergeCell ref="D28:J28"/>
    <mergeCell ref="D29:J29"/>
    <mergeCell ref="D30:J30"/>
    <mergeCell ref="D31:J31"/>
    <mergeCell ref="D32:J32"/>
    <mergeCell ref="D21:J21"/>
    <mergeCell ref="D22:J22"/>
    <mergeCell ref="D23:J23"/>
    <mergeCell ref="D24:J24"/>
    <mergeCell ref="D25:J25"/>
    <mergeCell ref="D26:J26"/>
    <mergeCell ref="D15:J15"/>
    <mergeCell ref="D16:J16"/>
    <mergeCell ref="D17:J17"/>
    <mergeCell ref="D18:J18"/>
    <mergeCell ref="D19:J19"/>
    <mergeCell ref="D20:J20"/>
    <mergeCell ref="B1:J1"/>
    <mergeCell ref="B2:J2"/>
    <mergeCell ref="B3:J3"/>
    <mergeCell ref="B10:B14"/>
    <mergeCell ref="C10:C14"/>
    <mergeCell ref="D10:J11"/>
    <mergeCell ref="D12:J12"/>
    <mergeCell ref="D13:J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"/>
  <sheetViews>
    <sheetView workbookViewId="0"/>
  </sheetViews>
  <sheetFormatPr defaultRowHeight="15" x14ac:dyDescent="0.25"/>
  <cols>
    <col min="1" max="1" width="9" customWidth="1"/>
    <col min="2" max="2" width="25.85546875" customWidth="1"/>
    <col min="3" max="3" width="8.28515625" customWidth="1"/>
    <col min="4" max="4" width="15.85546875" customWidth="1"/>
    <col min="5" max="5" width="9.7109375" customWidth="1"/>
    <col min="6" max="6" width="12" customWidth="1"/>
    <col min="7" max="7" width="12.28515625" customWidth="1"/>
    <col min="8" max="8" width="14.42578125" customWidth="1"/>
    <col min="9" max="9" width="17.42578125" customWidth="1"/>
    <col min="10" max="10" width="16.42578125" customWidth="1"/>
    <col min="11" max="11" width="17.5703125" customWidth="1"/>
    <col min="12" max="12" width="21.5703125" customWidth="1"/>
    <col min="13" max="13" width="14.42578125" customWidth="1"/>
    <col min="14" max="14" width="15.85546875" customWidth="1"/>
    <col min="15" max="15" width="11" customWidth="1"/>
    <col min="16" max="16" width="5.42578125" customWidth="1"/>
    <col min="17" max="17" width="12.5703125" customWidth="1"/>
    <col min="18" max="18" width="7.42578125" customWidth="1"/>
    <col min="19" max="23" width="5.42578125" customWidth="1"/>
    <col min="24" max="29" width="9.28515625" customWidth="1"/>
  </cols>
  <sheetData>
    <row r="1" spans="1:15" ht="15" customHeight="1" x14ac:dyDescent="0.25">
      <c r="A1" s="84"/>
      <c r="B1" s="84" t="s">
        <v>75</v>
      </c>
      <c r="C1" s="85"/>
      <c r="D1" s="84"/>
      <c r="E1" s="84"/>
      <c r="F1" s="84"/>
      <c r="G1" s="86"/>
      <c r="H1" s="84"/>
      <c r="I1" s="84"/>
      <c r="J1" s="84"/>
      <c r="K1" s="84"/>
      <c r="L1" s="84"/>
      <c r="M1" s="84"/>
      <c r="N1" s="84"/>
      <c r="O1" s="84"/>
    </row>
    <row r="2" spans="1:15" ht="15" customHeight="1" x14ac:dyDescent="0.25">
      <c r="A2" s="84"/>
      <c r="B2" s="84" t="s">
        <v>76</v>
      </c>
      <c r="C2" s="85"/>
      <c r="D2" s="84"/>
      <c r="E2" s="84"/>
      <c r="F2" s="84"/>
      <c r="G2" s="86"/>
      <c r="H2" s="84"/>
      <c r="I2" s="84"/>
      <c r="J2" s="84"/>
      <c r="K2" s="84"/>
      <c r="L2" s="84"/>
      <c r="M2" s="84"/>
      <c r="N2" s="84"/>
      <c r="O2" s="84"/>
    </row>
    <row r="3" spans="1:15" ht="15" customHeight="1" x14ac:dyDescent="0.25">
      <c r="A3" s="84"/>
      <c r="B3" s="84" t="s">
        <v>77</v>
      </c>
      <c r="C3" s="85"/>
      <c r="D3" s="84"/>
      <c r="E3" s="84"/>
      <c r="F3" s="84"/>
      <c r="G3" s="86"/>
      <c r="H3" s="84"/>
      <c r="I3" s="84"/>
      <c r="J3" s="84"/>
      <c r="K3" s="84"/>
      <c r="L3" s="84"/>
      <c r="M3" s="84"/>
      <c r="N3" s="84"/>
      <c r="O3" s="84"/>
    </row>
    <row r="4" spans="1:15" ht="15.75" customHeight="1" thickBot="1" x14ac:dyDescent="0.3">
      <c r="A4" s="87"/>
      <c r="B4" s="84"/>
      <c r="C4" s="85"/>
      <c r="D4" s="84"/>
      <c r="E4" s="84"/>
      <c r="F4" s="84"/>
      <c r="G4" s="86"/>
      <c r="H4" s="84"/>
      <c r="I4" s="84"/>
      <c r="J4" s="84"/>
      <c r="K4" s="84"/>
      <c r="L4" s="84"/>
      <c r="M4" s="84"/>
      <c r="N4" s="87"/>
      <c r="O4" s="87"/>
    </row>
    <row r="5" spans="1:15" ht="15.75" customHeight="1" thickBot="1" x14ac:dyDescent="0.3">
      <c r="A5" s="88"/>
      <c r="B5" s="89"/>
      <c r="C5" s="90"/>
      <c r="D5" s="89" t="s">
        <v>78</v>
      </c>
      <c r="E5" s="88"/>
      <c r="F5" s="88"/>
      <c r="G5" s="91"/>
      <c r="H5" s="89" t="s">
        <v>79</v>
      </c>
      <c r="I5" s="89"/>
      <c r="J5" s="88"/>
      <c r="K5" s="88"/>
      <c r="L5" s="88"/>
      <c r="M5" s="92"/>
      <c r="N5" s="89" t="s">
        <v>80</v>
      </c>
      <c r="O5" s="92"/>
    </row>
    <row r="6" spans="1:15" ht="60" customHeight="1" x14ac:dyDescent="0.25">
      <c r="A6" s="93" t="s">
        <v>81</v>
      </c>
      <c r="B6" s="94" t="s">
        <v>82</v>
      </c>
      <c r="C6" s="95" t="s">
        <v>83</v>
      </c>
      <c r="D6" s="94" t="s">
        <v>84</v>
      </c>
      <c r="E6" s="93" t="s">
        <v>85</v>
      </c>
      <c r="F6" s="93" t="s">
        <v>86</v>
      </c>
      <c r="G6" s="96" t="s">
        <v>87</v>
      </c>
      <c r="H6" s="94" t="s">
        <v>88</v>
      </c>
      <c r="I6" s="94" t="s">
        <v>89</v>
      </c>
      <c r="J6" s="97" t="s">
        <v>90</v>
      </c>
      <c r="K6" s="94" t="s">
        <v>91</v>
      </c>
      <c r="L6" s="97" t="s">
        <v>92</v>
      </c>
      <c r="M6" s="93" t="s">
        <v>93</v>
      </c>
      <c r="N6" s="94" t="s">
        <v>94</v>
      </c>
      <c r="O6" s="97" t="s">
        <v>95</v>
      </c>
    </row>
    <row r="7" spans="1:15" ht="15.75" customHeight="1" thickBot="1" x14ac:dyDescent="0.3">
      <c r="A7" s="98"/>
      <c r="B7" s="99"/>
      <c r="C7" s="100"/>
      <c r="D7" s="99" t="s">
        <v>96</v>
      </c>
      <c r="E7" s="98" t="s">
        <v>97</v>
      </c>
      <c r="F7" s="98" t="s">
        <v>98</v>
      </c>
      <c r="G7" s="101" t="s">
        <v>99</v>
      </c>
      <c r="H7" s="99" t="s">
        <v>100</v>
      </c>
      <c r="I7" s="99" t="s">
        <v>101</v>
      </c>
      <c r="J7" s="102" t="s">
        <v>101</v>
      </c>
      <c r="K7" s="99" t="s">
        <v>100</v>
      </c>
      <c r="L7" s="102" t="s">
        <v>100</v>
      </c>
      <c r="M7" s="98" t="s">
        <v>100</v>
      </c>
      <c r="N7" s="99" t="s">
        <v>102</v>
      </c>
      <c r="O7" s="103"/>
    </row>
    <row r="8" spans="1:15" ht="15.75" customHeight="1" x14ac:dyDescent="0.25">
      <c r="A8" s="104"/>
      <c r="B8" s="105"/>
      <c r="C8" s="106"/>
      <c r="D8" s="107"/>
      <c r="E8" s="107"/>
      <c r="F8" s="107"/>
      <c r="G8" s="108"/>
      <c r="H8" s="107"/>
      <c r="I8" s="107"/>
      <c r="J8" s="107"/>
      <c r="K8" s="107"/>
      <c r="L8" s="107"/>
      <c r="M8" s="107"/>
      <c r="N8" s="104"/>
      <c r="O8" s="109"/>
    </row>
    <row r="9" spans="1:15" ht="14.25" customHeight="1" x14ac:dyDescent="0.25">
      <c r="A9" s="110" t="str">
        <f>IF(N9=MIN(N9:N32),1,"")</f>
        <v/>
      </c>
      <c r="B9" s="111">
        <v>42309</v>
      </c>
      <c r="C9" s="112">
        <f>DAY(B9)</f>
        <v>1</v>
      </c>
      <c r="D9" s="113">
        <v>1063.281631105559</v>
      </c>
      <c r="E9" s="114">
        <v>48.47586131616935</v>
      </c>
      <c r="F9" s="115">
        <v>12.602967430024757</v>
      </c>
      <c r="G9" s="116">
        <v>2.2971673011779785</v>
      </c>
      <c r="H9" s="117">
        <f>HLOOKUP('Operational Worksheet'!E9,$B$773:$U$775,3)</f>
        <v>5.6000000000000005</v>
      </c>
      <c r="I9" s="117">
        <f t="shared" ref="I9:I72" si="0">$G$768/D9*$H$768</f>
        <v>1.5329898987394235</v>
      </c>
      <c r="J9" s="117">
        <f t="shared" ref="J9:J72" si="1">$G$769*F9/D9*$H$769</f>
        <v>28.446952291096792</v>
      </c>
      <c r="K9" s="117">
        <f>I9*$G9</f>
        <v>3.5215342684203441</v>
      </c>
      <c r="L9" s="117">
        <f>J9*$G9</f>
        <v>65.347408621277538</v>
      </c>
      <c r="M9" s="117">
        <f>K9+L9</f>
        <v>68.868942889697877</v>
      </c>
      <c r="N9" s="118">
        <f>IF(D9&gt;0,M9/H9,"PO")</f>
        <v>12.298025516017477</v>
      </c>
      <c r="O9" s="119" t="str">
        <f t="shared" ref="O9:O72" si="2">+IF(N9&gt;=1, "OK","Alarm")</f>
        <v>OK</v>
      </c>
    </row>
    <row r="10" spans="1:15" ht="14.25" customHeight="1" x14ac:dyDescent="0.25">
      <c r="A10" s="120" t="str">
        <f>IF(N10=MIN(N9:N32),1,"")</f>
        <v/>
      </c>
      <c r="B10" s="121">
        <f>B9+1/24</f>
        <v>42309.041666666664</v>
      </c>
      <c r="C10" s="122">
        <f>DAY(B10)</f>
        <v>1</v>
      </c>
      <c r="D10" s="123">
        <v>1078.6467251479626</v>
      </c>
      <c r="E10" s="124">
        <v>48.496128082275391</v>
      </c>
      <c r="F10" s="125">
        <v>12.581416130065918</v>
      </c>
      <c r="G10" s="126">
        <v>2.2971673011779785</v>
      </c>
      <c r="H10" s="127">
        <f>HLOOKUP('Operational Worksheet'!E10,$B$773:$U$775,3)</f>
        <v>5.6000000000000005</v>
      </c>
      <c r="I10" s="127">
        <f t="shared" si="0"/>
        <v>1.5111527824611954</v>
      </c>
      <c r="J10" s="127">
        <f t="shared" si="1"/>
        <v>27.993779620492678</v>
      </c>
      <c r="K10" s="127">
        <f t="shared" ref="K10:L13" si="3">I10*$G10</f>
        <v>3.4713707589539773</v>
      </c>
      <c r="L10" s="127">
        <f t="shared" si="3"/>
        <v>64.306395180578264</v>
      </c>
      <c r="M10" s="127">
        <f t="shared" ref="M10:M13" si="4">K10+L10</f>
        <v>67.777765939532244</v>
      </c>
      <c r="N10" s="128">
        <f t="shared" ref="N10:N14" si="5">IF(D10&gt;0,M10/H10,"PO")</f>
        <v>12.103172489202185</v>
      </c>
      <c r="O10" s="129" t="str">
        <f t="shared" si="2"/>
        <v>OK</v>
      </c>
    </row>
    <row r="11" spans="1:15" ht="14.25" customHeight="1" x14ac:dyDescent="0.25">
      <c r="A11" s="120">
        <f>IF(N11=MIN(N9:N32),1,"")</f>
        <v>1</v>
      </c>
      <c r="B11" s="121">
        <f t="shared" ref="B11:B32" si="6">B10+1/24</f>
        <v>42309.083333333328</v>
      </c>
      <c r="C11" s="122">
        <f t="shared" ref="C11:C14" si="7">DAY(B11)</f>
        <v>1</v>
      </c>
      <c r="D11" s="123">
        <v>3022.7256692099181</v>
      </c>
      <c r="E11" s="124">
        <v>48.376539054083146</v>
      </c>
      <c r="F11" s="125">
        <v>34.812029291642375</v>
      </c>
      <c r="G11" s="126">
        <v>2.1461715698242187</v>
      </c>
      <c r="H11" s="127">
        <f>HLOOKUP('Operational Worksheet'!E11,$B$773:$U$775,3)</f>
        <v>5.6000000000000005</v>
      </c>
      <c r="I11" s="127">
        <f t="shared" si="0"/>
        <v>0.53924840636499127</v>
      </c>
      <c r="J11" s="127">
        <f t="shared" si="1"/>
        <v>27.640242431189517</v>
      </c>
      <c r="K11" s="127">
        <f t="shared" si="3"/>
        <v>1.1573195988135616</v>
      </c>
      <c r="L11" s="127">
        <f t="shared" si="3"/>
        <v>59.320702488867987</v>
      </c>
      <c r="M11" s="127">
        <f t="shared" si="4"/>
        <v>60.478022087681552</v>
      </c>
      <c r="N11" s="128">
        <f t="shared" si="5"/>
        <v>10.799646801371704</v>
      </c>
      <c r="O11" s="129" t="str">
        <f t="shared" si="2"/>
        <v>OK</v>
      </c>
    </row>
    <row r="12" spans="1:15" ht="14.25" customHeight="1" x14ac:dyDescent="0.25">
      <c r="A12" s="120" t="str">
        <f>IF(N12=MIN(N9:N32),1,"")</f>
        <v/>
      </c>
      <c r="B12" s="121">
        <f t="shared" si="6"/>
        <v>42309.124999999993</v>
      </c>
      <c r="C12" s="122">
        <f>DAY(B12)</f>
        <v>1</v>
      </c>
      <c r="D12" s="123">
        <v>1059.5642097111422</v>
      </c>
      <c r="E12" s="124">
        <v>48.287666320800781</v>
      </c>
      <c r="F12" s="125">
        <v>12.582497980089549</v>
      </c>
      <c r="G12" s="126">
        <v>2.1461715698242187</v>
      </c>
      <c r="H12" s="127">
        <f>HLOOKUP('Operational Worksheet'!E12,$B$773:$U$775,3)</f>
        <v>5.6000000000000005</v>
      </c>
      <c r="I12" s="127">
        <f t="shared" si="0"/>
        <v>1.5383683075180217</v>
      </c>
      <c r="J12" s="127">
        <f t="shared" si="1"/>
        <v>28.500391836043121</v>
      </c>
      <c r="K12" s="127">
        <f t="shared" si="3"/>
        <v>3.301602325513779</v>
      </c>
      <c r="L12" s="127">
        <f t="shared" si="3"/>
        <v>61.166730687366012</v>
      </c>
      <c r="M12" s="127">
        <f t="shared" si="4"/>
        <v>64.468333012879796</v>
      </c>
      <c r="N12" s="128">
        <f t="shared" si="5"/>
        <v>11.512202323728534</v>
      </c>
      <c r="O12" s="129" t="str">
        <f t="shared" si="2"/>
        <v>OK</v>
      </c>
    </row>
    <row r="13" spans="1:15" ht="14.25" customHeight="1" x14ac:dyDescent="0.25">
      <c r="A13" s="120" t="str">
        <f>IF(N13=MIN(N9:N32),1,"")</f>
        <v/>
      </c>
      <c r="B13" s="121">
        <f t="shared" si="6"/>
        <v>42309.166666666657</v>
      </c>
      <c r="C13" s="122">
        <f t="shared" si="7"/>
        <v>1</v>
      </c>
      <c r="D13" s="123">
        <v>1058.0105267733381</v>
      </c>
      <c r="E13" s="124">
        <v>48.287666320800781</v>
      </c>
      <c r="F13" s="125">
        <v>12.58652323386022</v>
      </c>
      <c r="G13" s="126">
        <v>2.1461715698242187</v>
      </c>
      <c r="H13" s="127">
        <f>HLOOKUP('Operational Worksheet'!E13,$B$773:$U$775,3)</f>
        <v>5.6000000000000005</v>
      </c>
      <c r="I13" s="127">
        <f t="shared" si="0"/>
        <v>1.5406273933503134</v>
      </c>
      <c r="J13" s="127">
        <f t="shared" si="1"/>
        <v>28.551375432331621</v>
      </c>
      <c r="K13" s="127">
        <f t="shared" si="3"/>
        <v>3.3064507113008363</v>
      </c>
      <c r="L13" s="127">
        <f t="shared" si="3"/>
        <v>61.276150232247787</v>
      </c>
      <c r="M13" s="127">
        <f t="shared" si="4"/>
        <v>64.582600943548627</v>
      </c>
      <c r="N13" s="128">
        <f t="shared" si="5"/>
        <v>11.532607311347968</v>
      </c>
      <c r="O13" s="129" t="str">
        <f t="shared" si="2"/>
        <v>OK</v>
      </c>
    </row>
    <row r="14" spans="1:15" ht="14.25" customHeight="1" x14ac:dyDescent="0.25">
      <c r="A14" s="120" t="str">
        <f>IF(N14=MIN(N9:N32),1,"")</f>
        <v/>
      </c>
      <c r="B14" s="121">
        <f t="shared" si="6"/>
        <v>42309.208333333321</v>
      </c>
      <c r="C14" s="122">
        <f t="shared" si="7"/>
        <v>1</v>
      </c>
      <c r="D14" s="123">
        <v>1059.4009932282952</v>
      </c>
      <c r="E14" s="124">
        <v>48.398810113559179</v>
      </c>
      <c r="F14" s="125">
        <v>12.605109452691169</v>
      </c>
      <c r="G14" s="126">
        <v>2.1461715698242187</v>
      </c>
      <c r="H14" s="127">
        <f>HLOOKUP('Operational Worksheet'!E14,$B$773:$U$775,3)</f>
        <v>5.6000000000000005</v>
      </c>
      <c r="I14" s="128">
        <f t="shared" si="0"/>
        <v>1.5386053160408391</v>
      </c>
      <c r="J14" s="127">
        <f t="shared" si="1"/>
        <v>28.556007479539531</v>
      </c>
      <c r="K14" s="127">
        <f>I14*$G14</f>
        <v>3.3021109864672558</v>
      </c>
      <c r="L14" s="127">
        <f>J14*$G14</f>
        <v>61.286091400275488</v>
      </c>
      <c r="M14" s="127">
        <f>K14+L14</f>
        <v>64.588202386742751</v>
      </c>
      <c r="N14" s="128">
        <f t="shared" si="5"/>
        <v>11.533607569061205</v>
      </c>
      <c r="O14" s="129" t="str">
        <f t="shared" si="2"/>
        <v>OK</v>
      </c>
    </row>
    <row r="15" spans="1:15" ht="14.25" customHeight="1" x14ac:dyDescent="0.25">
      <c r="A15" s="120" t="str">
        <f>IF(N15=MIN(N9:N32),1,"")</f>
        <v/>
      </c>
      <c r="B15" s="121">
        <f t="shared" si="6"/>
        <v>42309.249999999985</v>
      </c>
      <c r="C15" s="122">
        <f>DAY(B15)</f>
        <v>1</v>
      </c>
      <c r="D15" s="123">
        <v>1064.1530263502441</v>
      </c>
      <c r="E15" s="124">
        <v>49.202774047851563</v>
      </c>
      <c r="F15" s="125">
        <v>12.601536062044312</v>
      </c>
      <c r="G15" s="126">
        <v>2.1461715698242187</v>
      </c>
      <c r="H15" s="127">
        <f>HLOOKUP('Operational Worksheet'!E15,$B$773:$U$775,3)</f>
        <v>5.6000000000000005</v>
      </c>
      <c r="I15" s="127">
        <f t="shared" si="0"/>
        <v>1.5317345904568418</v>
      </c>
      <c r="J15" s="127">
        <f t="shared" si="1"/>
        <v>28.420429956990283</v>
      </c>
      <c r="K15" s="127">
        <f>I15*$G15</f>
        <v>3.2873652305548169</v>
      </c>
      <c r="L15" s="127">
        <f>J15*$G15</f>
        <v>60.995118775873088</v>
      </c>
      <c r="M15" s="127">
        <f>K15+L15</f>
        <v>64.282484006427907</v>
      </c>
      <c r="N15" s="128">
        <f>IF(D15&gt;0,M15/H15,"PO")</f>
        <v>11.47901500114784</v>
      </c>
      <c r="O15" s="129" t="str">
        <f t="shared" si="2"/>
        <v>OK</v>
      </c>
    </row>
    <row r="16" spans="1:15" ht="14.25" customHeight="1" x14ac:dyDescent="0.25">
      <c r="A16" s="120" t="str">
        <f>IF(N16=MIN(N9:N32),1,"")</f>
        <v/>
      </c>
      <c r="B16" s="121">
        <f t="shared" si="6"/>
        <v>42309.29166666665</v>
      </c>
      <c r="C16" s="122">
        <f t="shared" ref="C16:C20" si="8">DAY(B16)</f>
        <v>1</v>
      </c>
      <c r="D16" s="123">
        <v>785.88496166828111</v>
      </c>
      <c r="E16" s="124">
        <v>49.202774047851563</v>
      </c>
      <c r="F16" s="125">
        <v>12.621383437910184</v>
      </c>
      <c r="G16" s="126">
        <v>2.3659765720367432</v>
      </c>
      <c r="H16" s="127">
        <f>HLOOKUP('Operational Worksheet'!E16,$B$773:$U$775,3)</f>
        <v>5.6000000000000005</v>
      </c>
      <c r="I16" s="127">
        <f t="shared" si="0"/>
        <v>2.0740949114738454</v>
      </c>
      <c r="J16" s="127">
        <f t="shared" si="1"/>
        <v>38.544216683675756</v>
      </c>
      <c r="K16" s="127">
        <f t="shared" ref="K16:L19" si="9">I16*$G16</f>
        <v>4.9072599687277414</v>
      </c>
      <c r="L16" s="127">
        <f t="shared" si="9"/>
        <v>91.194713661084606</v>
      </c>
      <c r="M16" s="127">
        <f t="shared" ref="M16:M19" si="10">K16+L16</f>
        <v>96.101973629812349</v>
      </c>
      <c r="N16" s="128">
        <f t="shared" ref="N16:N20" si="11">IF(D16&gt;0,M16/H16,"PO")</f>
        <v>17.161066719609348</v>
      </c>
      <c r="O16" s="129" t="str">
        <f t="shared" si="2"/>
        <v>OK</v>
      </c>
    </row>
    <row r="17" spans="1:15" ht="14.25" customHeight="1" x14ac:dyDescent="0.25">
      <c r="A17" s="120" t="str">
        <f>IF(N17=MIN(N9:N32),1,"")</f>
        <v/>
      </c>
      <c r="B17" s="121">
        <f t="shared" si="6"/>
        <v>42309.333333333314</v>
      </c>
      <c r="C17" s="122">
        <f t="shared" si="8"/>
        <v>1</v>
      </c>
      <c r="D17" s="123">
        <v>1059.7635425933649</v>
      </c>
      <c r="E17" s="124">
        <v>49.202774047851563</v>
      </c>
      <c r="F17" s="125">
        <v>12.595251146192645</v>
      </c>
      <c r="G17" s="126">
        <v>2.4210884571075439</v>
      </c>
      <c r="H17" s="127">
        <f>HLOOKUP('Operational Worksheet'!E17,$B$773:$U$775,3)</f>
        <v>5.6000000000000005</v>
      </c>
      <c r="I17" s="127">
        <f t="shared" si="0"/>
        <v>1.5380789529815302</v>
      </c>
      <c r="J17" s="127">
        <f t="shared" si="1"/>
        <v>28.523912680454576</v>
      </c>
      <c r="K17" s="127">
        <f t="shared" si="9"/>
        <v>3.7238251991836395</v>
      </c>
      <c r="L17" s="127">
        <f t="shared" si="9"/>
        <v>69.05891574219207</v>
      </c>
      <c r="M17" s="127">
        <f t="shared" si="10"/>
        <v>72.782740941375707</v>
      </c>
      <c r="N17" s="128">
        <f t="shared" si="11"/>
        <v>12.996918025245661</v>
      </c>
      <c r="O17" s="129" t="str">
        <f t="shared" si="2"/>
        <v>OK</v>
      </c>
    </row>
    <row r="18" spans="1:15" ht="14.25" customHeight="1" x14ac:dyDescent="0.25">
      <c r="A18" s="120" t="str">
        <f>IF(N18=MIN(N9:N32),1,"")</f>
        <v/>
      </c>
      <c r="B18" s="121">
        <f t="shared" si="6"/>
        <v>42309.374999999978</v>
      </c>
      <c r="C18" s="122">
        <f t="shared" si="8"/>
        <v>1</v>
      </c>
      <c r="D18" s="123">
        <v>1059.8521229554024</v>
      </c>
      <c r="E18" s="124">
        <v>49.202774047851563</v>
      </c>
      <c r="F18" s="125">
        <v>12.596040832818273</v>
      </c>
      <c r="G18" s="126">
        <v>2.4210884571075439</v>
      </c>
      <c r="H18" s="127">
        <f>HLOOKUP('Operational Worksheet'!E18,$B$773:$U$775,3)</f>
        <v>5.6000000000000005</v>
      </c>
      <c r="I18" s="127">
        <f t="shared" si="0"/>
        <v>1.5379504033588551</v>
      </c>
      <c r="J18" s="127">
        <f t="shared" si="1"/>
        <v>28.523316926955786</v>
      </c>
      <c r="K18" s="127">
        <f t="shared" si="9"/>
        <v>3.7235139691760155</v>
      </c>
      <c r="L18" s="127">
        <f t="shared" si="9"/>
        <v>69.057473370272874</v>
      </c>
      <c r="M18" s="127">
        <f t="shared" si="10"/>
        <v>72.780987339448885</v>
      </c>
      <c r="N18" s="128">
        <f t="shared" si="11"/>
        <v>12.996604882044442</v>
      </c>
      <c r="O18" s="129" t="str">
        <f t="shared" si="2"/>
        <v>OK</v>
      </c>
    </row>
    <row r="19" spans="1:15" ht="14.25" customHeight="1" x14ac:dyDescent="0.25">
      <c r="A19" s="120" t="str">
        <f>IF(N19=MIN(N9:N32),1,"")</f>
        <v/>
      </c>
      <c r="B19" s="121">
        <f t="shared" si="6"/>
        <v>42309.416666666642</v>
      </c>
      <c r="C19" s="122">
        <f t="shared" si="8"/>
        <v>1</v>
      </c>
      <c r="D19" s="123">
        <v>1062.7653543637614</v>
      </c>
      <c r="E19" s="124">
        <v>48.850570040076619</v>
      </c>
      <c r="F19" s="125">
        <v>12.602516806209605</v>
      </c>
      <c r="G19" s="126">
        <v>2.4210884571075439</v>
      </c>
      <c r="H19" s="127">
        <f>HLOOKUP('Operational Worksheet'!E19,$B$773:$U$775,3)</f>
        <v>5.6000000000000005</v>
      </c>
      <c r="I19" s="127">
        <f t="shared" si="0"/>
        <v>1.5337346040752535</v>
      </c>
      <c r="J19" s="127">
        <f t="shared" si="1"/>
        <v>28.459753802390601</v>
      </c>
      <c r="K19" s="127">
        <f t="shared" si="9"/>
        <v>3.7133071461930052</v>
      </c>
      <c r="L19" s="127">
        <f t="shared" si="9"/>
        <v>68.903581423090415</v>
      </c>
      <c r="M19" s="127">
        <f t="shared" si="10"/>
        <v>72.616888569283418</v>
      </c>
      <c r="N19" s="128">
        <f t="shared" si="11"/>
        <v>12.967301530229181</v>
      </c>
      <c r="O19" s="129" t="str">
        <f t="shared" si="2"/>
        <v>OK</v>
      </c>
    </row>
    <row r="20" spans="1:15" ht="14.25" customHeight="1" x14ac:dyDescent="0.25">
      <c r="A20" s="120" t="str">
        <f>IF(N20=MIN(N9:N32),1,"")</f>
        <v/>
      </c>
      <c r="B20" s="121">
        <f t="shared" si="6"/>
        <v>42309.458333333307</v>
      </c>
      <c r="C20" s="122">
        <f t="shared" si="8"/>
        <v>1</v>
      </c>
      <c r="D20" s="123">
        <v>1059.7266337621697</v>
      </c>
      <c r="E20" s="124">
        <v>47.549217224121094</v>
      </c>
      <c r="F20" s="125">
        <v>12.586178112645547</v>
      </c>
      <c r="G20" s="126">
        <v>2.4210884571075439</v>
      </c>
      <c r="H20" s="127">
        <f>HLOOKUP('Operational Worksheet'!E20,$B$773:$U$775,3)</f>
        <v>5.9499999999999993</v>
      </c>
      <c r="I20" s="128">
        <f t="shared" si="0"/>
        <v>1.5381325221706321</v>
      </c>
      <c r="J20" s="127">
        <f t="shared" si="1"/>
        <v>28.504358112724862</v>
      </c>
      <c r="K20" s="127">
        <f>I20*$G20</f>
        <v>3.7239548949290309</v>
      </c>
      <c r="L20" s="127">
        <f>J20*$G20</f>
        <v>69.011572403977937</v>
      </c>
      <c r="M20" s="127">
        <f>K20+L20</f>
        <v>72.735527298906973</v>
      </c>
      <c r="N20" s="128">
        <f t="shared" si="11"/>
        <v>12.224458369564198</v>
      </c>
      <c r="O20" s="129" t="str">
        <f t="shared" si="2"/>
        <v>OK</v>
      </c>
    </row>
    <row r="21" spans="1:15" ht="14.25" customHeight="1" x14ac:dyDescent="0.25">
      <c r="A21" s="120" t="str">
        <f>IF(N21=MIN(N9:N32),1,"")</f>
        <v/>
      </c>
      <c r="B21" s="121">
        <f t="shared" si="6"/>
        <v>42309.499999999971</v>
      </c>
      <c r="C21" s="122">
        <f>DAY(B21)</f>
        <v>1</v>
      </c>
      <c r="D21" s="123">
        <v>1065.8178076053523</v>
      </c>
      <c r="E21" s="124">
        <v>48.510464301614341</v>
      </c>
      <c r="F21" s="125">
        <v>12.575128726970611</v>
      </c>
      <c r="G21" s="126">
        <v>2.4210884571075439</v>
      </c>
      <c r="H21" s="127">
        <f>HLOOKUP('Operational Worksheet'!E21,$B$773:$U$775,3)</f>
        <v>5.6000000000000005</v>
      </c>
      <c r="I21" s="127">
        <f t="shared" si="0"/>
        <v>1.5293420586227917</v>
      </c>
      <c r="J21" s="127">
        <f t="shared" si="1"/>
        <v>28.316574117426022</v>
      </c>
      <c r="K21" s="127">
        <f>I21*$G21</f>
        <v>3.7026724051007296</v>
      </c>
      <c r="L21" s="127">
        <f>J21*$G21</f>
        <v>68.556930740530376</v>
      </c>
      <c r="M21" s="127">
        <f>K21+L21</f>
        <v>72.259603145631104</v>
      </c>
      <c r="N21" s="128">
        <f>IF(D21&gt;0,M21/H21,"PO")</f>
        <v>12.903500561719838</v>
      </c>
      <c r="O21" s="129" t="str">
        <f t="shared" si="2"/>
        <v>OK</v>
      </c>
    </row>
    <row r="22" spans="1:15" ht="14.25" customHeight="1" x14ac:dyDescent="0.25">
      <c r="A22" s="120" t="str">
        <f>IF(N22=MIN(N9:N32),1,"")</f>
        <v/>
      </c>
      <c r="B22" s="121">
        <f t="shared" si="6"/>
        <v>42309.541666666635</v>
      </c>
      <c r="C22" s="122">
        <f t="shared" ref="C22:C26" si="12">DAY(B22)</f>
        <v>1</v>
      </c>
      <c r="D22" s="123">
        <v>1064.2508695955582</v>
      </c>
      <c r="E22" s="124">
        <v>48.70458984375</v>
      </c>
      <c r="F22" s="125">
        <v>12.588557217196813</v>
      </c>
      <c r="G22" s="126">
        <v>2.4210884571075439</v>
      </c>
      <c r="H22" s="127">
        <f>HLOOKUP('Operational Worksheet'!E22,$B$773:$U$775,3)</f>
        <v>5.6000000000000005</v>
      </c>
      <c r="I22" s="127">
        <f t="shared" si="0"/>
        <v>1.5315937685063301</v>
      </c>
      <c r="J22" s="127">
        <f t="shared" si="1"/>
        <v>28.388548400015743</v>
      </c>
      <c r="K22" s="127">
        <f t="shared" ref="K22:L25" si="13">I22*$G22</f>
        <v>3.7081239939085195</v>
      </c>
      <c r="L22" s="127">
        <f t="shared" si="13"/>
        <v>68.731186845316955</v>
      </c>
      <c r="M22" s="127">
        <f t="shared" ref="M22:M25" si="14">K22+L22</f>
        <v>72.43931083922547</v>
      </c>
      <c r="N22" s="128">
        <f t="shared" ref="N22:N26" si="15">IF(D22&gt;0,M22/H22,"PO")</f>
        <v>12.935591221290261</v>
      </c>
      <c r="O22" s="129" t="str">
        <f t="shared" si="2"/>
        <v>OK</v>
      </c>
    </row>
    <row r="23" spans="1:15" ht="14.25" customHeight="1" x14ac:dyDescent="0.25">
      <c r="A23" s="120" t="str">
        <f>IF(N23=MIN(N9:N32),1,"")</f>
        <v/>
      </c>
      <c r="B23" s="121">
        <f t="shared" si="6"/>
        <v>42309.583333333299</v>
      </c>
      <c r="C23" s="122">
        <f t="shared" si="12"/>
        <v>1</v>
      </c>
      <c r="D23" s="123">
        <v>1068.4963167644751</v>
      </c>
      <c r="E23" s="124">
        <v>48.70458984375</v>
      </c>
      <c r="F23" s="125">
        <v>12.601830807556039</v>
      </c>
      <c r="G23" s="126">
        <v>2.3041229248046875</v>
      </c>
      <c r="H23" s="127">
        <f>HLOOKUP('Operational Worksheet'!E23,$B$773:$U$775,3)</f>
        <v>5.6000000000000005</v>
      </c>
      <c r="I23" s="127">
        <f t="shared" si="0"/>
        <v>1.5255083002399299</v>
      </c>
      <c r="J23" s="127">
        <f t="shared" si="1"/>
        <v>28.305566864018644</v>
      </c>
      <c r="K23" s="127">
        <f t="shared" si="13"/>
        <v>3.5149586465626546</v>
      </c>
      <c r="L23" s="127">
        <f t="shared" si="13"/>
        <v>65.219505510977285</v>
      </c>
      <c r="M23" s="127">
        <f t="shared" si="14"/>
        <v>68.734464157539946</v>
      </c>
      <c r="N23" s="128">
        <f t="shared" si="15"/>
        <v>12.27401145670356</v>
      </c>
      <c r="O23" s="129" t="str">
        <f t="shared" si="2"/>
        <v>OK</v>
      </c>
    </row>
    <row r="24" spans="1:15" ht="14.25" customHeight="1" x14ac:dyDescent="0.25">
      <c r="A24" s="120" t="str">
        <f>IF(N24=MIN(N9:N32),1,"")</f>
        <v/>
      </c>
      <c r="B24" s="121">
        <f t="shared" si="6"/>
        <v>42309.624999999964</v>
      </c>
      <c r="C24" s="122">
        <f t="shared" si="12"/>
        <v>1</v>
      </c>
      <c r="D24" s="123">
        <v>1062.9380539902286</v>
      </c>
      <c r="E24" s="124">
        <v>48.70458984375</v>
      </c>
      <c r="F24" s="125">
        <v>12.600163580976904</v>
      </c>
      <c r="G24" s="126">
        <v>2.3041229248046875</v>
      </c>
      <c r="H24" s="127">
        <f>HLOOKUP('Operational Worksheet'!E24,$B$773:$U$775,3)</f>
        <v>5.6000000000000005</v>
      </c>
      <c r="I24" s="127">
        <f t="shared" si="0"/>
        <v>1.5334854123258101</v>
      </c>
      <c r="J24" s="127">
        <f t="shared" si="1"/>
        <v>28.449816507014024</v>
      </c>
      <c r="K24" s="127">
        <f t="shared" si="13"/>
        <v>3.5333388933934677</v>
      </c>
      <c r="L24" s="127">
        <f t="shared" si="13"/>
        <v>65.551874420297835</v>
      </c>
      <c r="M24" s="127">
        <f t="shared" si="14"/>
        <v>69.085213313691298</v>
      </c>
      <c r="N24" s="128">
        <f t="shared" si="15"/>
        <v>12.336645234587731</v>
      </c>
      <c r="O24" s="129" t="str">
        <f t="shared" si="2"/>
        <v>OK</v>
      </c>
    </row>
    <row r="25" spans="1:15" ht="14.25" customHeight="1" x14ac:dyDescent="0.25">
      <c r="A25" s="120" t="str">
        <f>IF(N25=MIN(N9:N32),1,"")</f>
        <v/>
      </c>
      <c r="B25" s="121">
        <f t="shared" si="6"/>
        <v>42309.666666666628</v>
      </c>
      <c r="C25" s="122">
        <f t="shared" si="12"/>
        <v>1</v>
      </c>
      <c r="D25" s="123">
        <v>1009.39143452151</v>
      </c>
      <c r="E25" s="124">
        <v>49.218576988605484</v>
      </c>
      <c r="F25" s="125">
        <v>12.618010349118027</v>
      </c>
      <c r="G25" s="126">
        <v>2.3041229248046875</v>
      </c>
      <c r="H25" s="127">
        <f>HLOOKUP('Operational Worksheet'!E25,$B$773:$U$775,3)</f>
        <v>5.6000000000000005</v>
      </c>
      <c r="I25" s="127">
        <f t="shared" si="0"/>
        <v>1.6148343885766003</v>
      </c>
      <c r="J25" s="127">
        <f t="shared" si="1"/>
        <v>30.001468015466831</v>
      </c>
      <c r="K25" s="127">
        <f t="shared" si="13"/>
        <v>3.7207769344823056</v>
      </c>
      <c r="L25" s="127">
        <f t="shared" si="13"/>
        <v>69.127070232231716</v>
      </c>
      <c r="M25" s="127">
        <f t="shared" si="14"/>
        <v>72.847847166714018</v>
      </c>
      <c r="N25" s="128">
        <f t="shared" si="15"/>
        <v>13.008544136913216</v>
      </c>
      <c r="O25" s="129" t="str">
        <f t="shared" si="2"/>
        <v>OK</v>
      </c>
    </row>
    <row r="26" spans="1:15" ht="14.25" customHeight="1" x14ac:dyDescent="0.25">
      <c r="A26" s="120" t="str">
        <f>IF(N26=MIN(N9:N32),1,"")</f>
        <v/>
      </c>
      <c r="B26" s="121">
        <f t="shared" si="6"/>
        <v>42309.708333333292</v>
      </c>
      <c r="C26" s="122">
        <f t="shared" si="12"/>
        <v>1</v>
      </c>
      <c r="D26" s="123">
        <v>847.23221210194686</v>
      </c>
      <c r="E26" s="124">
        <v>50.103752136230469</v>
      </c>
      <c r="F26" s="125">
        <v>12.583068655569685</v>
      </c>
      <c r="G26" s="126">
        <v>2.228571891784668</v>
      </c>
      <c r="H26" s="127">
        <f>HLOOKUP('Operational Worksheet'!E26,$B$773:$U$775,3)</f>
        <v>5.25</v>
      </c>
      <c r="I26" s="128">
        <f t="shared" si="0"/>
        <v>1.9239117407446533</v>
      </c>
      <c r="J26" s="127">
        <f t="shared" si="1"/>
        <v>35.644731564731124</v>
      </c>
      <c r="K26" s="127">
        <f>I26*$G26</f>
        <v>4.2875756276980459</v>
      </c>
      <c r="L26" s="127">
        <f>J26*$G26</f>
        <v>79.43684685536951</v>
      </c>
      <c r="M26" s="127">
        <f>K26+L26</f>
        <v>83.724422483067556</v>
      </c>
      <c r="N26" s="128">
        <f t="shared" si="15"/>
        <v>15.94750904439382</v>
      </c>
      <c r="O26" s="129" t="str">
        <f t="shared" si="2"/>
        <v>OK</v>
      </c>
    </row>
    <row r="27" spans="1:15" ht="14.25" customHeight="1" x14ac:dyDescent="0.25">
      <c r="A27" s="120" t="str">
        <f>IF(N27=MIN(N9:N32),1,"")</f>
        <v/>
      </c>
      <c r="B27" s="121">
        <f>B26+1/24</f>
        <v>42309.749999999956</v>
      </c>
      <c r="C27" s="122">
        <f>DAY(B27)</f>
        <v>1</v>
      </c>
      <c r="D27" s="123">
        <v>866.2371176071141</v>
      </c>
      <c r="E27" s="124">
        <v>50.103752136230469</v>
      </c>
      <c r="F27" s="125">
        <v>12.594189485735933</v>
      </c>
      <c r="G27" s="126">
        <v>2.228571891784668</v>
      </c>
      <c r="H27" s="127">
        <f>HLOOKUP('Operational Worksheet'!E27,$B$773:$U$775,3)</f>
        <v>5.25</v>
      </c>
      <c r="I27" s="127">
        <f t="shared" si="0"/>
        <v>1.8817018653076167</v>
      </c>
      <c r="J27" s="127">
        <f t="shared" si="1"/>
        <v>34.893511431676387</v>
      </c>
      <c r="K27" s="127">
        <f>I27*$G27</f>
        <v>4.1935078857433341</v>
      </c>
      <c r="L27" s="127">
        <f>J27*$G27</f>
        <v>77.762698782300987</v>
      </c>
      <c r="M27" s="127">
        <f>K27+L27</f>
        <v>81.956206668044317</v>
      </c>
      <c r="N27" s="128">
        <f>IF(D27&gt;0,M27/H27,"PO")</f>
        <v>15.610706032008441</v>
      </c>
      <c r="O27" s="129" t="str">
        <f t="shared" si="2"/>
        <v>OK</v>
      </c>
    </row>
    <row r="28" spans="1:15" ht="14.25" customHeight="1" x14ac:dyDescent="0.25">
      <c r="A28" s="120" t="str">
        <f>IF(N28=MIN(N9:N32),1,"")</f>
        <v/>
      </c>
      <c r="B28" s="121">
        <f t="shared" si="6"/>
        <v>42309.791666666621</v>
      </c>
      <c r="C28" s="122">
        <f t="shared" ref="C28:C32" si="16">DAY(B28)</f>
        <v>1</v>
      </c>
      <c r="D28" s="123">
        <v>860.92749582369754</v>
      </c>
      <c r="E28" s="124">
        <v>50.103752136230469</v>
      </c>
      <c r="F28" s="125">
        <v>12.587952014992764</v>
      </c>
      <c r="G28" s="126">
        <v>2.228571891784668</v>
      </c>
      <c r="H28" s="127">
        <f>HLOOKUP('Operational Worksheet'!E28,$B$773:$U$775,3)</f>
        <v>5.25</v>
      </c>
      <c r="I28" s="127">
        <f t="shared" si="0"/>
        <v>1.8933069368872784</v>
      </c>
      <c r="J28" s="127">
        <f t="shared" si="1"/>
        <v>35.091323000525144</v>
      </c>
      <c r="K28" s="127">
        <f t="shared" ref="K28:L31" si="17">I28*$G28</f>
        <v>4.2193706220679168</v>
      </c>
      <c r="L28" s="127">
        <f t="shared" si="17"/>
        <v>78.203536084507149</v>
      </c>
      <c r="M28" s="127">
        <f t="shared" ref="M28:M31" si="18">K28+L28</f>
        <v>82.422906706575063</v>
      </c>
      <c r="N28" s="128">
        <f t="shared" ref="N28:N32" si="19">IF(D28&gt;0,M28/H28,"PO")</f>
        <v>15.69960127744287</v>
      </c>
      <c r="O28" s="129" t="str">
        <f t="shared" si="2"/>
        <v>OK</v>
      </c>
    </row>
    <row r="29" spans="1:15" ht="14.25" customHeight="1" x14ac:dyDescent="0.25">
      <c r="A29" s="120" t="str">
        <f>IF(N29=MIN(N9:N32),1,"")</f>
        <v/>
      </c>
      <c r="B29" s="121">
        <f t="shared" si="6"/>
        <v>42309.833333333285</v>
      </c>
      <c r="C29" s="122">
        <f t="shared" si="16"/>
        <v>1</v>
      </c>
      <c r="D29" s="123">
        <v>862.13395521588927</v>
      </c>
      <c r="E29" s="124">
        <v>50.103752136230469</v>
      </c>
      <c r="F29" s="125">
        <v>12.59002158067044</v>
      </c>
      <c r="G29" s="126">
        <v>2.228571891784668</v>
      </c>
      <c r="H29" s="127">
        <f>HLOOKUP('Operational Worksheet'!E29,$B$773:$U$775,3)</f>
        <v>5.25</v>
      </c>
      <c r="I29" s="127">
        <f t="shared" si="0"/>
        <v>1.8906574670195275</v>
      </c>
      <c r="J29" s="127">
        <f t="shared" si="1"/>
        <v>35.047977881862423</v>
      </c>
      <c r="K29" s="127">
        <f t="shared" si="17"/>
        <v>4.2134660879925168</v>
      </c>
      <c r="L29" s="127">
        <f t="shared" si="17"/>
        <v>78.106938371409342</v>
      </c>
      <c r="M29" s="127">
        <f t="shared" si="18"/>
        <v>82.320404459401857</v>
      </c>
      <c r="N29" s="128">
        <f t="shared" si="19"/>
        <v>15.680077039886068</v>
      </c>
      <c r="O29" s="129" t="str">
        <f t="shared" si="2"/>
        <v>OK</v>
      </c>
    </row>
    <row r="30" spans="1:15" ht="14.25" customHeight="1" x14ac:dyDescent="0.25">
      <c r="A30" s="120" t="str">
        <f>IF(N30=MIN(N9:N32),1,"")</f>
        <v/>
      </c>
      <c r="B30" s="121">
        <f t="shared" si="6"/>
        <v>42309.874999999949</v>
      </c>
      <c r="C30" s="122">
        <f t="shared" si="16"/>
        <v>1</v>
      </c>
      <c r="D30" s="123">
        <v>860.99710207126338</v>
      </c>
      <c r="E30" s="124">
        <v>50.103752136230469</v>
      </c>
      <c r="F30" s="125">
        <v>12.58769936805901</v>
      </c>
      <c r="G30" s="126">
        <v>2.228571891784668</v>
      </c>
      <c r="H30" s="127">
        <f>HLOOKUP('Operational Worksheet'!E30,$B$773:$U$775,3)</f>
        <v>5.25</v>
      </c>
      <c r="I30" s="127">
        <f t="shared" si="0"/>
        <v>1.8931538748258034</v>
      </c>
      <c r="J30" s="127">
        <f t="shared" si="1"/>
        <v>35.087781841153223</v>
      </c>
      <c r="K30" s="127">
        <f t="shared" si="17"/>
        <v>4.2190295122600157</v>
      </c>
      <c r="L30" s="127">
        <f t="shared" si="17"/>
        <v>78.195644356266556</v>
      </c>
      <c r="M30" s="127">
        <f t="shared" si="18"/>
        <v>82.414673868526577</v>
      </c>
      <c r="N30" s="128">
        <f t="shared" si="19"/>
        <v>15.698033117814585</v>
      </c>
      <c r="O30" s="129" t="str">
        <f t="shared" si="2"/>
        <v>OK</v>
      </c>
    </row>
    <row r="31" spans="1:15" ht="14.25" customHeight="1" x14ac:dyDescent="0.25">
      <c r="A31" s="120" t="str">
        <f>IF(N31=MIN(N9:N32),1,"")</f>
        <v/>
      </c>
      <c r="B31" s="121">
        <f t="shared" si="6"/>
        <v>42309.916666666613</v>
      </c>
      <c r="C31" s="122">
        <f t="shared" si="16"/>
        <v>1</v>
      </c>
      <c r="D31" s="123">
        <v>859.78568869089634</v>
      </c>
      <c r="E31" s="124">
        <v>50.103752136230469</v>
      </c>
      <c r="F31" s="125">
        <v>12.589439631543526</v>
      </c>
      <c r="G31" s="126">
        <v>2.228571891784668</v>
      </c>
      <c r="H31" s="127">
        <f>HLOOKUP('Operational Worksheet'!E31,$B$773:$U$775,3)</f>
        <v>5.25</v>
      </c>
      <c r="I31" s="127">
        <f t="shared" si="0"/>
        <v>1.895821274347828</v>
      </c>
      <c r="J31" s="127">
        <f t="shared" si="1"/>
        <v>35.14207727940795</v>
      </c>
      <c r="K31" s="127">
        <f t="shared" si="17"/>
        <v>4.2249740038589589</v>
      </c>
      <c r="L31" s="127">
        <f t="shared" si="17"/>
        <v>78.316645643813175</v>
      </c>
      <c r="M31" s="127">
        <f t="shared" si="18"/>
        <v>82.541619647672135</v>
      </c>
      <c r="N31" s="128">
        <f t="shared" si="19"/>
        <v>15.722213266223264</v>
      </c>
      <c r="O31" s="129" t="str">
        <f t="shared" si="2"/>
        <v>OK</v>
      </c>
    </row>
    <row r="32" spans="1:15" ht="14.25" customHeight="1" x14ac:dyDescent="0.25">
      <c r="A32" s="130" t="str">
        <f>IF(N32=MIN(N9:N32),1,"")</f>
        <v/>
      </c>
      <c r="B32" s="131">
        <f t="shared" si="6"/>
        <v>42309.958333333278</v>
      </c>
      <c r="C32" s="132">
        <f t="shared" si="16"/>
        <v>1</v>
      </c>
      <c r="D32" s="123">
        <v>859.25292923482573</v>
      </c>
      <c r="E32" s="124">
        <v>50.103752136230469</v>
      </c>
      <c r="F32" s="125">
        <v>12.588907998849308</v>
      </c>
      <c r="G32" s="126">
        <v>2.3178207874298096</v>
      </c>
      <c r="H32" s="133">
        <f>HLOOKUP('Operational Worksheet'!E32,$B$773:$U$775,3)</f>
        <v>5.25</v>
      </c>
      <c r="I32" s="134">
        <f t="shared" si="0"/>
        <v>1.8969967334897921</v>
      </c>
      <c r="J32" s="133">
        <f t="shared" si="1"/>
        <v>35.162381377208327</v>
      </c>
      <c r="K32" s="133">
        <f>I32*$G32</f>
        <v>4.3968984625690863</v>
      </c>
      <c r="L32" s="133">
        <f>J32*$G32</f>
        <v>81.500098491628279</v>
      </c>
      <c r="M32" s="133">
        <f>K32+L32</f>
        <v>85.896996954197363</v>
      </c>
      <c r="N32" s="134">
        <f t="shared" si="19"/>
        <v>16.361332753180449</v>
      </c>
      <c r="O32" s="135" t="str">
        <f t="shared" si="2"/>
        <v>OK</v>
      </c>
    </row>
    <row r="33" spans="1:15" ht="14.25" customHeight="1" x14ac:dyDescent="0.25">
      <c r="A33" s="110" t="str">
        <f>IF(N33=MIN(N33:N56),1,"")</f>
        <v/>
      </c>
      <c r="B33" s="111">
        <f>'[1]Turbidity Daily Data Sheet'!B17</f>
        <v>42310</v>
      </c>
      <c r="C33" s="112">
        <f>DAY(B33)</f>
        <v>2</v>
      </c>
      <c r="D33" s="123">
        <v>863.12694854359836</v>
      </c>
      <c r="E33" s="124">
        <v>49.020524596798829</v>
      </c>
      <c r="F33" s="125">
        <v>12.585847730188169</v>
      </c>
      <c r="G33" s="126">
        <v>2.3178207874298096</v>
      </c>
      <c r="H33" s="117">
        <f>HLOOKUP('Operational Worksheet'!E33,$B$773:$U$775,3)</f>
        <v>5.6000000000000005</v>
      </c>
      <c r="I33" s="117">
        <f t="shared" si="0"/>
        <v>1.8884823405761908</v>
      </c>
      <c r="J33" s="117">
        <f t="shared" si="1"/>
        <v>34.996050816649749</v>
      </c>
      <c r="K33" s="117">
        <f>I33*$G33</f>
        <v>4.3771636256815967</v>
      </c>
      <c r="L33" s="117">
        <f>J33*$G33</f>
        <v>81.114574060780754</v>
      </c>
      <c r="M33" s="117">
        <f>K33+L33</f>
        <v>85.491737686462358</v>
      </c>
      <c r="N33" s="118">
        <f>IF(D33&gt;0,M33/H33,"PO")</f>
        <v>15.266381729725419</v>
      </c>
      <c r="O33" s="119" t="str">
        <f t="shared" si="2"/>
        <v>OK</v>
      </c>
    </row>
    <row r="34" spans="1:15" ht="14.25" customHeight="1" x14ac:dyDescent="0.25">
      <c r="A34" s="120" t="str">
        <f>IF(N34=MIN(N33:N56),1,"")</f>
        <v/>
      </c>
      <c r="B34" s="121">
        <f>B33+1/24</f>
        <v>42310.041666666664</v>
      </c>
      <c r="C34" s="122">
        <f>DAY(B34)</f>
        <v>2</v>
      </c>
      <c r="D34" s="123">
        <v>858.2189440784183</v>
      </c>
      <c r="E34" s="124">
        <v>47.754146575927734</v>
      </c>
      <c r="F34" s="125">
        <v>12.594515470897303</v>
      </c>
      <c r="G34" s="126">
        <v>2.3178207874298096</v>
      </c>
      <c r="H34" s="127">
        <f>HLOOKUP('Operational Worksheet'!E34,$B$773:$U$775,3)</f>
        <v>5.9499999999999993</v>
      </c>
      <c r="I34" s="127">
        <f t="shared" si="0"/>
        <v>1.8992822417248594</v>
      </c>
      <c r="J34" s="127">
        <f t="shared" si="1"/>
        <v>35.2204263710492</v>
      </c>
      <c r="K34" s="127">
        <f t="shared" ref="K34:L37" si="20">I34*$G34</f>
        <v>4.4021958610661676</v>
      </c>
      <c r="L34" s="127">
        <f t="shared" si="20"/>
        <v>81.634636384958881</v>
      </c>
      <c r="M34" s="127">
        <f t="shared" ref="M34:M37" si="21">K34+L34</f>
        <v>86.036832246025043</v>
      </c>
      <c r="N34" s="128">
        <f t="shared" ref="N34:N38" si="22">IF(D34&gt;0,M34/H34,"PO")</f>
        <v>14.459971806054631</v>
      </c>
      <c r="O34" s="129" t="str">
        <f t="shared" si="2"/>
        <v>OK</v>
      </c>
    </row>
    <row r="35" spans="1:15" ht="14.25" customHeight="1" x14ac:dyDescent="0.25">
      <c r="A35" s="120" t="str">
        <f>IF(N35=MIN(N33:N56),1,"")</f>
        <v/>
      </c>
      <c r="B35" s="121">
        <f t="shared" ref="B35:B50" si="23">B34+1/24</f>
        <v>42310.083333333328</v>
      </c>
      <c r="C35" s="122">
        <f t="shared" ref="C35" si="24">DAY(B35)</f>
        <v>2</v>
      </c>
      <c r="D35" s="123">
        <v>865.60028881497681</v>
      </c>
      <c r="E35" s="124">
        <v>47.754146575927734</v>
      </c>
      <c r="F35" s="125">
        <v>12.587747023495178</v>
      </c>
      <c r="G35" s="126">
        <v>2.3178207874298096</v>
      </c>
      <c r="H35" s="127">
        <f>HLOOKUP('Operational Worksheet'!E35,$B$773:$U$775,3)</f>
        <v>5.9499999999999993</v>
      </c>
      <c r="I35" s="127">
        <f t="shared" si="0"/>
        <v>1.8830862478471453</v>
      </c>
      <c r="J35" s="127">
        <f t="shared" si="1"/>
        <v>34.901320212990342</v>
      </c>
      <c r="K35" s="127">
        <f t="shared" si="20"/>
        <v>4.3646564497833156</v>
      </c>
      <c r="L35" s="127">
        <f t="shared" si="20"/>
        <v>80.895005498413198</v>
      </c>
      <c r="M35" s="127">
        <f t="shared" si="21"/>
        <v>85.259661948196509</v>
      </c>
      <c r="N35" s="128">
        <f t="shared" si="22"/>
        <v>14.329354949276725</v>
      </c>
      <c r="O35" s="129" t="str">
        <f t="shared" si="2"/>
        <v>OK</v>
      </c>
    </row>
    <row r="36" spans="1:15" ht="14.25" customHeight="1" x14ac:dyDescent="0.25">
      <c r="A36" s="120" t="str">
        <f>IF(N36=MIN(N33:N56),1,"")</f>
        <v/>
      </c>
      <c r="B36" s="121">
        <f t="shared" si="23"/>
        <v>42310.124999999993</v>
      </c>
      <c r="C36" s="122">
        <f>DAY(B36)</f>
        <v>2</v>
      </c>
      <c r="D36" s="123">
        <v>867.21080715010373</v>
      </c>
      <c r="E36" s="124">
        <v>47.754146575927734</v>
      </c>
      <c r="F36" s="125">
        <v>12.597951361606018</v>
      </c>
      <c r="G36" s="126">
        <v>2.3178207874298096</v>
      </c>
      <c r="H36" s="127">
        <f>HLOOKUP('Operational Worksheet'!E36,$B$773:$U$775,3)</f>
        <v>5.9499999999999993</v>
      </c>
      <c r="I36" s="127">
        <f t="shared" si="0"/>
        <v>1.8795891224610473</v>
      </c>
      <c r="J36" s="127">
        <f t="shared" si="1"/>
        <v>34.864744556419154</v>
      </c>
      <c r="K36" s="127">
        <f t="shared" si="20"/>
        <v>4.3565507398671697</v>
      </c>
      <c r="L36" s="127">
        <f t="shared" si="20"/>
        <v>80.810229681298608</v>
      </c>
      <c r="M36" s="127">
        <f t="shared" si="21"/>
        <v>85.166780421165782</v>
      </c>
      <c r="N36" s="128">
        <f t="shared" si="22"/>
        <v>14.313744608599293</v>
      </c>
      <c r="O36" s="129" t="str">
        <f t="shared" si="2"/>
        <v>OK</v>
      </c>
    </row>
    <row r="37" spans="1:15" ht="14.25" customHeight="1" x14ac:dyDescent="0.25">
      <c r="A37" s="120" t="str">
        <f>IF(N37=MIN(N33:N56),1,"")</f>
        <v/>
      </c>
      <c r="B37" s="121">
        <f t="shared" si="23"/>
        <v>42310.166666666657</v>
      </c>
      <c r="C37" s="122">
        <f t="shared" ref="C37:C38" si="25">DAY(B37)</f>
        <v>2</v>
      </c>
      <c r="D37" s="123">
        <v>871.7196516701473</v>
      </c>
      <c r="E37" s="124">
        <v>47.754146575927734</v>
      </c>
      <c r="F37" s="125">
        <v>12.593544329777103</v>
      </c>
      <c r="G37" s="126">
        <v>2.3178207874298096</v>
      </c>
      <c r="H37" s="127">
        <f>HLOOKUP('Operational Worksheet'!E37,$B$773:$U$775,3)</f>
        <v>5.9499999999999993</v>
      </c>
      <c r="I37" s="127">
        <f t="shared" si="0"/>
        <v>1.8698672180637965</v>
      </c>
      <c r="J37" s="127">
        <f t="shared" si="1"/>
        <v>34.672278333472505</v>
      </c>
      <c r="K37" s="127">
        <f t="shared" si="20"/>
        <v>4.3340171077618166</v>
      </c>
      <c r="L37" s="127">
        <f t="shared" si="20"/>
        <v>80.36412746887477</v>
      </c>
      <c r="M37" s="127">
        <f t="shared" si="21"/>
        <v>84.698144576636594</v>
      </c>
      <c r="N37" s="128">
        <f t="shared" si="22"/>
        <v>14.234982281787664</v>
      </c>
      <c r="O37" s="129" t="str">
        <f t="shared" si="2"/>
        <v>OK</v>
      </c>
    </row>
    <row r="38" spans="1:15" ht="14.25" customHeight="1" x14ac:dyDescent="0.25">
      <c r="A38" s="120" t="str">
        <f>IF(N38=MIN(N33:N56),1,"")</f>
        <v/>
      </c>
      <c r="B38" s="121">
        <f t="shared" si="23"/>
        <v>42310.208333333321</v>
      </c>
      <c r="C38" s="122">
        <f t="shared" si="25"/>
        <v>2</v>
      </c>
      <c r="D38" s="123">
        <v>869.13133249840052</v>
      </c>
      <c r="E38" s="124">
        <v>47.754146575927734</v>
      </c>
      <c r="F38" s="125">
        <v>12.588434045704831</v>
      </c>
      <c r="G38" s="126">
        <v>2.1462786197662354</v>
      </c>
      <c r="H38" s="127">
        <f>HLOOKUP('Operational Worksheet'!E38,$B$773:$U$775,3)</f>
        <v>5.9499999999999993</v>
      </c>
      <c r="I38" s="128">
        <f t="shared" si="0"/>
        <v>1.8754357817413052</v>
      </c>
      <c r="J38" s="127">
        <f t="shared" si="1"/>
        <v>34.761422790780806</v>
      </c>
      <c r="K38" s="127">
        <f>I38*$G38</f>
        <v>4.0252077210959394</v>
      </c>
      <c r="L38" s="127">
        <f>J38*$G38</f>
        <v>74.607698528507584</v>
      </c>
      <c r="M38" s="127">
        <f>K38+L38</f>
        <v>78.632906249603522</v>
      </c>
      <c r="N38" s="128">
        <f t="shared" si="22"/>
        <v>13.215614495731685</v>
      </c>
      <c r="O38" s="129" t="str">
        <f t="shared" si="2"/>
        <v>OK</v>
      </c>
    </row>
    <row r="39" spans="1:15" ht="14.25" customHeight="1" x14ac:dyDescent="0.25">
      <c r="A39" s="120" t="str">
        <f>IF(N39=MIN(N33:N56),1,"")</f>
        <v/>
      </c>
      <c r="B39" s="121">
        <f t="shared" si="23"/>
        <v>42310.249999999985</v>
      </c>
      <c r="C39" s="122">
        <f>DAY(B39)</f>
        <v>2</v>
      </c>
      <c r="D39" s="123">
        <v>716.48846114452988</v>
      </c>
      <c r="E39" s="124">
        <v>47.754146575927734</v>
      </c>
      <c r="F39" s="125">
        <v>12.573481754241968</v>
      </c>
      <c r="G39" s="126">
        <v>2.3658695220947266</v>
      </c>
      <c r="H39" s="127">
        <f>HLOOKUP('Operational Worksheet'!E39,$B$773:$U$775,3)</f>
        <v>5.9499999999999993</v>
      </c>
      <c r="I39" s="127">
        <f t="shared" si="0"/>
        <v>2.2749842996720595</v>
      </c>
      <c r="J39" s="127">
        <f t="shared" si="1"/>
        <v>42.117016318694844</v>
      </c>
      <c r="K39" s="127">
        <f>I39*$G39</f>
        <v>5.382316017838142</v>
      </c>
      <c r="L39" s="127">
        <f>J39*$G39</f>
        <v>99.643365269966367</v>
      </c>
      <c r="M39" s="127">
        <f>K39+L39</f>
        <v>105.0256812878045</v>
      </c>
      <c r="N39" s="128">
        <f>IF(D39&gt;0,M39/H39,"PO")</f>
        <v>17.6513750063537</v>
      </c>
      <c r="O39" s="129" t="str">
        <f t="shared" si="2"/>
        <v>OK</v>
      </c>
    </row>
    <row r="40" spans="1:15" ht="14.25" customHeight="1" x14ac:dyDescent="0.25">
      <c r="A40" s="120" t="str">
        <f>IF(N40=MIN(N33:N56),1,"")</f>
        <v/>
      </c>
      <c r="B40" s="121">
        <f t="shared" si="23"/>
        <v>42310.29166666665</v>
      </c>
      <c r="C40" s="122">
        <f t="shared" ref="C40:C44" si="26">DAY(B40)</f>
        <v>2</v>
      </c>
      <c r="D40" s="123">
        <v>590.38695721265435</v>
      </c>
      <c r="E40" s="124">
        <v>47.754146575927734</v>
      </c>
      <c r="F40" s="125">
        <v>12.584498010147136</v>
      </c>
      <c r="G40" s="126">
        <v>2.3658695220947266</v>
      </c>
      <c r="H40" s="127">
        <f>HLOOKUP('Operational Worksheet'!E40,$B$773:$U$775,3)</f>
        <v>5.9499999999999993</v>
      </c>
      <c r="I40" s="127">
        <f t="shared" si="0"/>
        <v>2.7609011006875654</v>
      </c>
      <c r="J40" s="127">
        <f t="shared" si="1"/>
        <v>51.157626121937234</v>
      </c>
      <c r="K40" s="127">
        <f t="shared" ref="K40:L43" si="27">I40*$G40</f>
        <v>6.5319317676344948</v>
      </c>
      <c r="L40" s="127">
        <f t="shared" si="27"/>
        <v>121.03226846460835</v>
      </c>
      <c r="M40" s="127">
        <f t="shared" ref="M40:M43" si="28">K40+L40</f>
        <v>127.56420023224284</v>
      </c>
      <c r="N40" s="128">
        <f t="shared" ref="N40:N44" si="29">IF(D40&gt;0,M40/H40,"PO")</f>
        <v>21.439361383570226</v>
      </c>
      <c r="O40" s="129" t="str">
        <f t="shared" si="2"/>
        <v>OK</v>
      </c>
    </row>
    <row r="41" spans="1:15" ht="14.25" customHeight="1" x14ac:dyDescent="0.25">
      <c r="A41" s="120" t="str">
        <f>IF(N41=MIN(N33:N56),1,"")</f>
        <v/>
      </c>
      <c r="B41" s="121">
        <f t="shared" si="23"/>
        <v>42310.333333333314</v>
      </c>
      <c r="C41" s="122">
        <f t="shared" si="26"/>
        <v>2</v>
      </c>
      <c r="D41" s="123">
        <v>792.25240521261878</v>
      </c>
      <c r="E41" s="124">
        <v>47.75205714236867</v>
      </c>
      <c r="F41" s="125">
        <v>13.121358931370887</v>
      </c>
      <c r="G41" s="126">
        <v>2.3658695220947266</v>
      </c>
      <c r="H41" s="127">
        <f>HLOOKUP('Operational Worksheet'!E41,$B$773:$U$775,3)</f>
        <v>5.9499999999999993</v>
      </c>
      <c r="I41" s="127">
        <f t="shared" si="0"/>
        <v>2.057425120170576</v>
      </c>
      <c r="J41" s="127">
        <f t="shared" si="1"/>
        <v>39.749025977193142</v>
      </c>
      <c r="K41" s="127">
        <f t="shared" si="27"/>
        <v>4.8675993858036462</v>
      </c>
      <c r="L41" s="127">
        <f t="shared" si="27"/>
        <v>94.041009092392812</v>
      </c>
      <c r="M41" s="127">
        <f t="shared" si="28"/>
        <v>98.908608478196456</v>
      </c>
      <c r="N41" s="128">
        <f t="shared" si="29"/>
        <v>16.623295542554029</v>
      </c>
      <c r="O41" s="129" t="str">
        <f t="shared" si="2"/>
        <v>OK</v>
      </c>
    </row>
    <row r="42" spans="1:15" ht="14.25" customHeight="1" x14ac:dyDescent="0.25">
      <c r="A42" s="120" t="str">
        <f>IF(N42=MIN(N33:N56),1,"")</f>
        <v/>
      </c>
      <c r="B42" s="121">
        <f t="shared" si="23"/>
        <v>42310.374999999978</v>
      </c>
      <c r="C42" s="122">
        <f t="shared" si="26"/>
        <v>2</v>
      </c>
      <c r="D42" s="123">
        <v>1083.4742471078146</v>
      </c>
      <c r="E42" s="124">
        <v>47.7506103515625</v>
      </c>
      <c r="F42" s="125">
        <v>12.619395515056219</v>
      </c>
      <c r="G42" s="126">
        <v>2.3658695220947266</v>
      </c>
      <c r="H42" s="127">
        <f>HLOOKUP('Operational Worksheet'!E42,$B$773:$U$775,3)</f>
        <v>5.9499999999999993</v>
      </c>
      <c r="I42" s="127">
        <f t="shared" si="0"/>
        <v>1.5044196983463711</v>
      </c>
      <c r="J42" s="127">
        <f t="shared" si="1"/>
        <v>27.953178690661733</v>
      </c>
      <c r="K42" s="127">
        <f t="shared" si="27"/>
        <v>3.5592607127566218</v>
      </c>
      <c r="L42" s="127">
        <f t="shared" si="27"/>
        <v>66.133573509904366</v>
      </c>
      <c r="M42" s="127">
        <f t="shared" si="28"/>
        <v>69.692834222660991</v>
      </c>
      <c r="N42" s="128">
        <f t="shared" si="29"/>
        <v>11.713081381959832</v>
      </c>
      <c r="O42" s="129" t="str">
        <f t="shared" si="2"/>
        <v>OK</v>
      </c>
    </row>
    <row r="43" spans="1:15" ht="14.25" customHeight="1" x14ac:dyDescent="0.25">
      <c r="A43" s="120" t="str">
        <f>IF(N43=MIN(N33:N56),1,"")</f>
        <v/>
      </c>
      <c r="B43" s="121">
        <f t="shared" si="23"/>
        <v>42310.416666666642</v>
      </c>
      <c r="C43" s="122">
        <f t="shared" si="26"/>
        <v>2</v>
      </c>
      <c r="D43" s="123">
        <v>1061.1646340621298</v>
      </c>
      <c r="E43" s="124">
        <v>47.7506103515625</v>
      </c>
      <c r="F43" s="125">
        <v>12.600234165675838</v>
      </c>
      <c r="G43" s="126">
        <v>2.4004349708557129</v>
      </c>
      <c r="H43" s="127">
        <f>HLOOKUP('Operational Worksheet'!E43,$B$773:$U$775,3)</f>
        <v>5.9499999999999993</v>
      </c>
      <c r="I43" s="127">
        <f t="shared" si="0"/>
        <v>1.536048175446983</v>
      </c>
      <c r="J43" s="127">
        <f t="shared" si="1"/>
        <v>28.49752152204826</v>
      </c>
      <c r="K43" s="127">
        <f t="shared" si="27"/>
        <v>3.6871837572620496</v>
      </c>
      <c r="L43" s="127">
        <f t="shared" si="27"/>
        <v>68.406447244237967</v>
      </c>
      <c r="M43" s="127">
        <f t="shared" si="28"/>
        <v>72.093631001500015</v>
      </c>
      <c r="N43" s="128">
        <f t="shared" si="29"/>
        <v>12.116576638907567</v>
      </c>
      <c r="O43" s="129" t="str">
        <f t="shared" si="2"/>
        <v>OK</v>
      </c>
    </row>
    <row r="44" spans="1:15" ht="14.25" customHeight="1" x14ac:dyDescent="0.25">
      <c r="A44" s="120" t="str">
        <f>IF(N44=MIN(N33:N56),1,"")</f>
        <v/>
      </c>
      <c r="B44" s="121">
        <f t="shared" si="23"/>
        <v>42310.458333333307</v>
      </c>
      <c r="C44" s="122">
        <f t="shared" si="26"/>
        <v>2</v>
      </c>
      <c r="D44" s="123">
        <v>1063.2977515751468</v>
      </c>
      <c r="E44" s="124">
        <v>47.7506103515625</v>
      </c>
      <c r="F44" s="125">
        <v>12.585785507426557</v>
      </c>
      <c r="G44" s="126">
        <v>2.4004349708557129</v>
      </c>
      <c r="H44" s="127">
        <f>HLOOKUP('Operational Worksheet'!E44,$B$773:$U$775,3)</f>
        <v>5.9499999999999993</v>
      </c>
      <c r="I44" s="128">
        <f t="shared" si="0"/>
        <v>1.532966657350072</v>
      </c>
      <c r="J44" s="127">
        <f t="shared" si="1"/>
        <v>28.407739199182334</v>
      </c>
      <c r="K44" s="127">
        <f>I44*$G44</f>
        <v>3.6797867734588996</v>
      </c>
      <c r="L44" s="127">
        <f>J44*$G44</f>
        <v>68.190930616665938</v>
      </c>
      <c r="M44" s="127">
        <f>K44+L44</f>
        <v>71.870717390124838</v>
      </c>
      <c r="N44" s="128">
        <f t="shared" si="29"/>
        <v>12.079112166407537</v>
      </c>
      <c r="O44" s="129" t="str">
        <f t="shared" si="2"/>
        <v>OK</v>
      </c>
    </row>
    <row r="45" spans="1:15" ht="14.25" customHeight="1" x14ac:dyDescent="0.25">
      <c r="A45" s="120" t="str">
        <f>IF(N45=MIN(N33:N56),1,"")</f>
        <v/>
      </c>
      <c r="B45" s="121">
        <f t="shared" si="23"/>
        <v>42310.499999999971</v>
      </c>
      <c r="C45" s="122">
        <f>DAY(B45)</f>
        <v>2</v>
      </c>
      <c r="D45" s="123">
        <v>1063.250508349563</v>
      </c>
      <c r="E45" s="124">
        <v>47.76697464578865</v>
      </c>
      <c r="F45" s="125">
        <v>12.590358646024656</v>
      </c>
      <c r="G45" s="126">
        <v>2.1325807571411133</v>
      </c>
      <c r="H45" s="127">
        <f>HLOOKUP('Operational Worksheet'!E45,$B$773:$U$775,3)</f>
        <v>5.9499999999999993</v>
      </c>
      <c r="I45" s="127">
        <f t="shared" si="0"/>
        <v>1.5330347713919059</v>
      </c>
      <c r="J45" s="127">
        <f t="shared" si="1"/>
        <v>28.419324056908732</v>
      </c>
      <c r="K45" s="127">
        <f>I45*$G45</f>
        <v>3.269320453498604</v>
      </c>
      <c r="L45" s="127">
        <f>J45*$G45</f>
        <v>60.606503614721078</v>
      </c>
      <c r="M45" s="127">
        <f>K45+L45</f>
        <v>63.875824068219679</v>
      </c>
      <c r="N45" s="128">
        <f>IF(D45&gt;0,M45/H45,"PO")</f>
        <v>10.735432616507511</v>
      </c>
      <c r="O45" s="129" t="str">
        <f t="shared" si="2"/>
        <v>OK</v>
      </c>
    </row>
    <row r="46" spans="1:15" ht="14.25" customHeight="1" x14ac:dyDescent="0.25">
      <c r="A46" s="120" t="str">
        <f>IF(N46=MIN(N33:N56),1,"")</f>
        <v/>
      </c>
      <c r="B46" s="121">
        <f t="shared" si="23"/>
        <v>42310.541666666635</v>
      </c>
      <c r="C46" s="122">
        <f t="shared" ref="C46:C50" si="30">DAY(B46)</f>
        <v>2</v>
      </c>
      <c r="D46" s="123">
        <v>1059.9861414326324</v>
      </c>
      <c r="E46" s="124">
        <v>47.796543121337891</v>
      </c>
      <c r="F46" s="125">
        <v>12.593224252411321</v>
      </c>
      <c r="G46" s="126">
        <v>2.1325807571411133</v>
      </c>
      <c r="H46" s="127">
        <f>HLOOKUP('Operational Worksheet'!E46,$B$773:$U$775,3)</f>
        <v>5.9499999999999993</v>
      </c>
      <c r="I46" s="127">
        <f t="shared" si="0"/>
        <v>1.5377559538627183</v>
      </c>
      <c r="J46" s="127">
        <f t="shared" si="1"/>
        <v>28.513333358243763</v>
      </c>
      <c r="K46" s="127">
        <f t="shared" ref="K46:L49" si="31">I46*$G46</f>
        <v>3.2793887563868109</v>
      </c>
      <c r="L46" s="127">
        <f t="shared" si="31"/>
        <v>60.806986041740444</v>
      </c>
      <c r="M46" s="127">
        <f t="shared" ref="M46:M49" si="32">K46+L46</f>
        <v>64.086374798127252</v>
      </c>
      <c r="N46" s="128">
        <f t="shared" ref="N46:N50" si="33">IF(D46&gt;0,M46/H46,"PO")</f>
        <v>10.770819293802901</v>
      </c>
      <c r="O46" s="129" t="str">
        <f t="shared" si="2"/>
        <v>OK</v>
      </c>
    </row>
    <row r="47" spans="1:15" ht="14.25" customHeight="1" x14ac:dyDescent="0.25">
      <c r="A47" s="120" t="str">
        <f>IF(N47=MIN(N33:N56),1,"")</f>
        <v/>
      </c>
      <c r="B47" s="121">
        <f t="shared" si="23"/>
        <v>42310.583333333299</v>
      </c>
      <c r="C47" s="122">
        <f t="shared" si="30"/>
        <v>2</v>
      </c>
      <c r="D47" s="123">
        <v>1064.2249056351261</v>
      </c>
      <c r="E47" s="124">
        <v>47.796543121337891</v>
      </c>
      <c r="F47" s="125">
        <v>12.583226577232487</v>
      </c>
      <c r="G47" s="126">
        <v>2.1325807571411133</v>
      </c>
      <c r="H47" s="127">
        <f>HLOOKUP('Operational Worksheet'!E47,$B$773:$U$775,3)</f>
        <v>5.9499999999999993</v>
      </c>
      <c r="I47" s="127">
        <f t="shared" si="0"/>
        <v>1.5316311348936351</v>
      </c>
      <c r="J47" s="127">
        <f t="shared" si="1"/>
        <v>28.377219538321985</v>
      </c>
      <c r="K47" s="127">
        <f t="shared" si="31"/>
        <v>3.2663270853123709</v>
      </c>
      <c r="L47" s="127">
        <f t="shared" si="31"/>
        <v>60.516712328594288</v>
      </c>
      <c r="M47" s="127">
        <f t="shared" si="32"/>
        <v>63.783039413906657</v>
      </c>
      <c r="N47" s="128">
        <f t="shared" si="33"/>
        <v>10.719838556959104</v>
      </c>
      <c r="O47" s="129" t="str">
        <f t="shared" si="2"/>
        <v>OK</v>
      </c>
    </row>
    <row r="48" spans="1:15" ht="14.25" customHeight="1" x14ac:dyDescent="0.25">
      <c r="A48" s="120" t="str">
        <f>IF(N48=MIN(N33:N56),1,"")</f>
        <v/>
      </c>
      <c r="B48" s="121">
        <f t="shared" si="23"/>
        <v>42310.624999999964</v>
      </c>
      <c r="C48" s="122">
        <f t="shared" si="30"/>
        <v>2</v>
      </c>
      <c r="D48" s="123">
        <v>1064.2563213469541</v>
      </c>
      <c r="E48" s="124">
        <v>47.796543121337891</v>
      </c>
      <c r="F48" s="125">
        <v>12.590648380131654</v>
      </c>
      <c r="G48" s="126">
        <v>2.1325807571411133</v>
      </c>
      <c r="H48" s="127">
        <f>HLOOKUP('Operational Worksheet'!E48,$B$773:$U$775,3)</f>
        <v>5.9499999999999993</v>
      </c>
      <c r="I48" s="127">
        <f t="shared" si="0"/>
        <v>1.5315859227756561</v>
      </c>
      <c r="J48" s="127">
        <f t="shared" si="1"/>
        <v>28.393118749881364</v>
      </c>
      <c r="K48" s="127">
        <f t="shared" si="31"/>
        <v>3.2662306668195793</v>
      </c>
      <c r="L48" s="127">
        <f t="shared" si="31"/>
        <v>60.550618681219539</v>
      </c>
      <c r="M48" s="127">
        <f t="shared" si="32"/>
        <v>63.816849348039121</v>
      </c>
      <c r="N48" s="128">
        <f t="shared" si="33"/>
        <v>10.725520898830105</v>
      </c>
      <c r="O48" s="129" t="str">
        <f t="shared" si="2"/>
        <v>OK</v>
      </c>
    </row>
    <row r="49" spans="1:15" ht="14.25" customHeight="1" x14ac:dyDescent="0.25">
      <c r="A49" s="120">
        <f>IF(N49=MIN(N33:N56),1,"")</f>
        <v>1</v>
      </c>
      <c r="B49" s="121">
        <f t="shared" si="23"/>
        <v>42310.666666666628</v>
      </c>
      <c r="C49" s="122">
        <f t="shared" si="30"/>
        <v>2</v>
      </c>
      <c r="D49" s="123">
        <v>1409.2078950704331</v>
      </c>
      <c r="E49" s="124">
        <v>49.064587896252007</v>
      </c>
      <c r="F49" s="125">
        <v>12.602136178562006</v>
      </c>
      <c r="G49" s="126">
        <v>1.9745224714279175</v>
      </c>
      <c r="H49" s="127">
        <f>HLOOKUP('Operational Worksheet'!E49,$B$773:$U$775,3)</f>
        <v>5.6000000000000005</v>
      </c>
      <c r="I49" s="127">
        <f t="shared" si="0"/>
        <v>1.1566781634575867</v>
      </c>
      <c r="J49" s="127">
        <f t="shared" si="1"/>
        <v>21.462501689317559</v>
      </c>
      <c r="K49" s="127">
        <f t="shared" si="31"/>
        <v>2.2838870259569788</v>
      </c>
      <c r="L49" s="127">
        <f t="shared" si="31"/>
        <v>42.378191878617159</v>
      </c>
      <c r="M49" s="127">
        <f t="shared" si="32"/>
        <v>44.662078904574138</v>
      </c>
      <c r="N49" s="128">
        <f t="shared" si="33"/>
        <v>7.9753712329596667</v>
      </c>
      <c r="O49" s="129" t="str">
        <f t="shared" si="2"/>
        <v>OK</v>
      </c>
    </row>
    <row r="50" spans="1:15" ht="14.25" customHeight="1" x14ac:dyDescent="0.25">
      <c r="A50" s="120" t="str">
        <f>IF(N50=MIN(N33:N56),1,"")</f>
        <v/>
      </c>
      <c r="B50" s="121">
        <f t="shared" si="23"/>
        <v>42310.708333333292</v>
      </c>
      <c r="C50" s="122">
        <f t="shared" si="30"/>
        <v>2</v>
      </c>
      <c r="D50" s="123">
        <v>1428.8735821248222</v>
      </c>
      <c r="E50" s="124">
        <v>49.326442718505859</v>
      </c>
      <c r="F50" s="125">
        <v>12.586276544791998</v>
      </c>
      <c r="G50" s="126">
        <v>2.3384742736816406</v>
      </c>
      <c r="H50" s="127">
        <f>HLOOKUP('Operational Worksheet'!E50,$B$773:$U$775,3)</f>
        <v>5.6000000000000005</v>
      </c>
      <c r="I50" s="128">
        <f t="shared" si="0"/>
        <v>1.1407587209892218</v>
      </c>
      <c r="J50" s="127">
        <f t="shared" si="1"/>
        <v>21.140473226876406</v>
      </c>
      <c r="K50" s="127">
        <f>I50*$G50</f>
        <v>2.6676349215112678</v>
      </c>
      <c r="L50" s="127">
        <f>J50*$G50</f>
        <v>49.436452774505973</v>
      </c>
      <c r="M50" s="127">
        <f>K50+L50</f>
        <v>52.104087696017238</v>
      </c>
      <c r="N50" s="128">
        <f t="shared" si="33"/>
        <v>9.3043013742887926</v>
      </c>
      <c r="O50" s="129" t="str">
        <f t="shared" si="2"/>
        <v>OK</v>
      </c>
    </row>
    <row r="51" spans="1:15" ht="14.25" customHeight="1" x14ac:dyDescent="0.25">
      <c r="A51" s="120" t="str">
        <f>IF(N51=MIN(N33:N56),1,"")</f>
        <v/>
      </c>
      <c r="B51" s="121">
        <f>B50+1/24</f>
        <v>42310.749999999956</v>
      </c>
      <c r="C51" s="122">
        <f>DAY(B51)</f>
        <v>2</v>
      </c>
      <c r="D51" s="123">
        <v>1443.4075995098622</v>
      </c>
      <c r="E51" s="124">
        <v>48.906277808462129</v>
      </c>
      <c r="F51" s="125">
        <v>12.603497714595493</v>
      </c>
      <c r="G51" s="126">
        <v>2.3384742736816406</v>
      </c>
      <c r="H51" s="127">
        <f>HLOOKUP('Operational Worksheet'!E51,$B$773:$U$775,3)</f>
        <v>5.6000000000000005</v>
      </c>
      <c r="I51" s="127">
        <f t="shared" si="0"/>
        <v>1.1292721477658141</v>
      </c>
      <c r="J51" s="127">
        <f t="shared" si="1"/>
        <v>20.956238920524338</v>
      </c>
      <c r="K51" s="127">
        <f>I51*$G51</f>
        <v>2.6407738655355684</v>
      </c>
      <c r="L51" s="127">
        <f>J51*$G51</f>
        <v>49.005625588772084</v>
      </c>
      <c r="M51" s="127">
        <f>K51+L51</f>
        <v>51.646399454307655</v>
      </c>
      <c r="N51" s="128">
        <f>IF(D51&gt;0,M51/H51,"PO")</f>
        <v>9.2225713311263657</v>
      </c>
      <c r="O51" s="129" t="str">
        <f t="shared" si="2"/>
        <v>OK</v>
      </c>
    </row>
    <row r="52" spans="1:15" ht="14.25" customHeight="1" x14ac:dyDescent="0.25">
      <c r="A52" s="120" t="str">
        <f>IF(N52=MIN(N33:N56),1,"")</f>
        <v/>
      </c>
      <c r="B52" s="121">
        <f t="shared" ref="B52:B56" si="34">B51+1/24</f>
        <v>42310.791666666621</v>
      </c>
      <c r="C52" s="122">
        <f t="shared" ref="C52:C56" si="35">DAY(B52)</f>
        <v>2</v>
      </c>
      <c r="D52" s="123">
        <v>1076.3223945487489</v>
      </c>
      <c r="E52" s="124">
        <v>48.861628050504571</v>
      </c>
      <c r="F52" s="125">
        <v>12.599626016728456</v>
      </c>
      <c r="G52" s="126">
        <v>2.3384742736816406</v>
      </c>
      <c r="H52" s="127">
        <f>HLOOKUP('Operational Worksheet'!E52,$B$773:$U$775,3)</f>
        <v>5.6000000000000005</v>
      </c>
      <c r="I52" s="127">
        <f t="shared" si="0"/>
        <v>1.5144161342878886</v>
      </c>
      <c r="J52" s="127">
        <f t="shared" si="1"/>
        <v>28.094837191254502</v>
      </c>
      <c r="K52" s="127">
        <f t="shared" ref="K52:L55" si="36">I52*$G52</f>
        <v>3.5414231696806282</v>
      </c>
      <c r="L52" s="127">
        <f t="shared" si="36"/>
        <v>65.699053995022823</v>
      </c>
      <c r="M52" s="127">
        <f t="shared" ref="M52:M55" si="37">K52+L52</f>
        <v>69.240477164703449</v>
      </c>
      <c r="N52" s="128">
        <f t="shared" ref="N52:N56" si="38">IF(D52&gt;0,M52/H52,"PO")</f>
        <v>12.364370922268472</v>
      </c>
      <c r="O52" s="129" t="str">
        <f t="shared" si="2"/>
        <v>OK</v>
      </c>
    </row>
    <row r="53" spans="1:15" ht="14.25" customHeight="1" x14ac:dyDescent="0.25">
      <c r="A53" s="120" t="str">
        <f>IF(N53=MIN(N33:N56),1,"")</f>
        <v/>
      </c>
      <c r="B53" s="121">
        <f t="shared" si="34"/>
        <v>42310.833333333285</v>
      </c>
      <c r="C53" s="122">
        <f t="shared" si="35"/>
        <v>2</v>
      </c>
      <c r="D53" s="123">
        <v>1063.2235238801698</v>
      </c>
      <c r="E53" s="124">
        <v>47.450286865234375</v>
      </c>
      <c r="F53" s="125">
        <v>12.600944383637774</v>
      </c>
      <c r="G53" s="126">
        <v>2.3384742736816406</v>
      </c>
      <c r="H53" s="127">
        <f>HLOOKUP('Operational Worksheet'!E53,$B$773:$U$775,3)</f>
        <v>5.9499999999999993</v>
      </c>
      <c r="I53" s="127">
        <f t="shared" si="0"/>
        <v>1.5330736796072888</v>
      </c>
      <c r="J53" s="127">
        <f t="shared" si="1"/>
        <v>28.443940377055746</v>
      </c>
      <c r="K53" s="127">
        <f t="shared" si="36"/>
        <v>3.5850533594200948</v>
      </c>
      <c r="L53" s="127">
        <f t="shared" si="36"/>
        <v>66.515422813879326</v>
      </c>
      <c r="M53" s="127">
        <f t="shared" si="37"/>
        <v>70.100476173299427</v>
      </c>
      <c r="N53" s="128">
        <f t="shared" si="38"/>
        <v>11.781592634167973</v>
      </c>
      <c r="O53" s="129" t="str">
        <f t="shared" si="2"/>
        <v>OK</v>
      </c>
    </row>
    <row r="54" spans="1:15" ht="14.25" customHeight="1" x14ac:dyDescent="0.25">
      <c r="A54" s="120" t="str">
        <f>IF(N54=MIN(N33:N56),1,"")</f>
        <v/>
      </c>
      <c r="B54" s="121">
        <f t="shared" si="34"/>
        <v>42310.874999999949</v>
      </c>
      <c r="C54" s="122">
        <f t="shared" si="35"/>
        <v>2</v>
      </c>
      <c r="D54" s="123">
        <v>1060.1176241267597</v>
      </c>
      <c r="E54" s="124">
        <v>47.450286865234375</v>
      </c>
      <c r="F54" s="125">
        <v>12.595053926325043</v>
      </c>
      <c r="G54" s="126">
        <v>2.3384742736816406</v>
      </c>
      <c r="H54" s="127">
        <f>HLOOKUP('Operational Worksheet'!E54,$B$773:$U$775,3)</f>
        <v>5.9499999999999993</v>
      </c>
      <c r="I54" s="127">
        <f t="shared" si="0"/>
        <v>1.5375652313512511</v>
      </c>
      <c r="J54" s="127">
        <f t="shared" si="1"/>
        <v>28.513939147157963</v>
      </c>
      <c r="K54" s="127">
        <f t="shared" si="36"/>
        <v>3.5955567376222608</v>
      </c>
      <c r="L54" s="127">
        <f t="shared" si="36"/>
        <v>66.679113136952722</v>
      </c>
      <c r="M54" s="127">
        <f t="shared" si="37"/>
        <v>70.274669874574982</v>
      </c>
      <c r="N54" s="128">
        <f t="shared" si="38"/>
        <v>11.810868886483192</v>
      </c>
      <c r="O54" s="129" t="str">
        <f t="shared" si="2"/>
        <v>OK</v>
      </c>
    </row>
    <row r="55" spans="1:15" ht="14.25" customHeight="1" x14ac:dyDescent="0.25">
      <c r="A55" s="120" t="str">
        <f>IF(N55=MIN(N33:N56),1,"")</f>
        <v/>
      </c>
      <c r="B55" s="121">
        <f t="shared" si="34"/>
        <v>42310.916666666613</v>
      </c>
      <c r="C55" s="122">
        <f t="shared" si="35"/>
        <v>2</v>
      </c>
      <c r="D55" s="123">
        <v>1061.9628335164214</v>
      </c>
      <c r="E55" s="124">
        <v>47.450286865234375</v>
      </c>
      <c r="F55" s="125">
        <v>12.602076341315582</v>
      </c>
      <c r="G55" s="126">
        <v>2.3384742736816406</v>
      </c>
      <c r="H55" s="127">
        <f>HLOOKUP('Operational Worksheet'!E55,$B$773:$U$775,3)</f>
        <v>5.9499999999999993</v>
      </c>
      <c r="I55" s="127">
        <f t="shared" si="0"/>
        <v>1.5348936408656291</v>
      </c>
      <c r="J55" s="127">
        <f t="shared" si="1"/>
        <v>28.480265282927824</v>
      </c>
      <c r="K55" s="127">
        <f t="shared" si="36"/>
        <v>3.589309292001821</v>
      </c>
      <c r="L55" s="127">
        <f t="shared" si="36"/>
        <v>66.600367671755095</v>
      </c>
      <c r="M55" s="127">
        <f t="shared" si="37"/>
        <v>70.189676963756909</v>
      </c>
      <c r="N55" s="128">
        <f t="shared" si="38"/>
        <v>11.796584363656624</v>
      </c>
      <c r="O55" s="129" t="str">
        <f t="shared" si="2"/>
        <v>OK</v>
      </c>
    </row>
    <row r="56" spans="1:15" ht="14.25" customHeight="1" x14ac:dyDescent="0.25">
      <c r="A56" s="130" t="str">
        <f>IF(N56=MIN(N33:N56),1,"")</f>
        <v/>
      </c>
      <c r="B56" s="131">
        <f t="shared" si="34"/>
        <v>42310.958333333278</v>
      </c>
      <c r="C56" s="132">
        <f t="shared" si="35"/>
        <v>2</v>
      </c>
      <c r="D56" s="123">
        <v>1066.0114954346222</v>
      </c>
      <c r="E56" s="124">
        <v>47.450286865234375</v>
      </c>
      <c r="F56" s="125">
        <v>12.604681511016587</v>
      </c>
      <c r="G56" s="126">
        <v>2.3384742736816406</v>
      </c>
      <c r="H56" s="133">
        <f>HLOOKUP('Operational Worksheet'!E56,$B$773:$U$775,3)</f>
        <v>5.9499999999999993</v>
      </c>
      <c r="I56" s="134">
        <f t="shared" si="0"/>
        <v>1.5290641864377219</v>
      </c>
      <c r="J56" s="133">
        <f t="shared" si="1"/>
        <v>28.377963798698165</v>
      </c>
      <c r="K56" s="133">
        <f>I56*$G56</f>
        <v>3.5756772627925604</v>
      </c>
      <c r="L56" s="133">
        <f>J56*$G56</f>
        <v>66.361138282724582</v>
      </c>
      <c r="M56" s="133">
        <f>K56+L56</f>
        <v>69.936815545517149</v>
      </c>
      <c r="N56" s="134">
        <f t="shared" si="38"/>
        <v>11.754086646305405</v>
      </c>
      <c r="O56" s="135" t="str">
        <f t="shared" si="2"/>
        <v>OK</v>
      </c>
    </row>
    <row r="57" spans="1:15" ht="14.25" customHeight="1" x14ac:dyDescent="0.25">
      <c r="A57" s="110" t="str">
        <f>IF(N57=MIN(N57:N80),1,"")</f>
        <v/>
      </c>
      <c r="B57" s="111">
        <f>'[1]Turbidity Daily Data Sheet'!B18</f>
        <v>42311</v>
      </c>
      <c r="C57" s="112">
        <f>DAY(B57)</f>
        <v>3</v>
      </c>
      <c r="D57" s="123">
        <v>1064.8934142972755</v>
      </c>
      <c r="E57" s="124">
        <v>47.450286865234375</v>
      </c>
      <c r="F57" s="125">
        <v>12.594579100219274</v>
      </c>
      <c r="G57" s="126">
        <v>2.3384742736816406</v>
      </c>
      <c r="H57" s="117">
        <f>HLOOKUP('Operational Worksheet'!E57,$B$773:$U$775,3)</f>
        <v>5.9499999999999993</v>
      </c>
      <c r="I57" s="117">
        <f t="shared" si="0"/>
        <v>1.5306696220631988</v>
      </c>
      <c r="J57" s="117">
        <f t="shared" si="1"/>
        <v>28.384990868286181</v>
      </c>
      <c r="K57" s="117">
        <f>I57*$G57</f>
        <v>3.5794315327007902</v>
      </c>
      <c r="L57" s="117">
        <f>J57*$G57</f>
        <v>66.377570904175528</v>
      </c>
      <c r="M57" s="117">
        <f>K57+L57</f>
        <v>69.957002436876323</v>
      </c>
      <c r="N57" s="118">
        <f>IF(D57&gt;0,M57/H57,"PO")</f>
        <v>11.757479401155686</v>
      </c>
      <c r="O57" s="119" t="str">
        <f t="shared" si="2"/>
        <v>OK</v>
      </c>
    </row>
    <row r="58" spans="1:15" ht="14.25" customHeight="1" x14ac:dyDescent="0.25">
      <c r="A58" s="120" t="str">
        <f>IF(N58=MIN(N57:N80),1,"")</f>
        <v/>
      </c>
      <c r="B58" s="121">
        <f>B57+1/24</f>
        <v>42311.041666666664</v>
      </c>
      <c r="C58" s="122">
        <f>DAY(B58)</f>
        <v>3</v>
      </c>
      <c r="D58" s="123">
        <v>1063.1590151188673</v>
      </c>
      <c r="E58" s="124">
        <v>47.450286865234375</v>
      </c>
      <c r="F58" s="125">
        <v>12.590176930484816</v>
      </c>
      <c r="G58" s="126">
        <v>2.3179278373718262</v>
      </c>
      <c r="H58" s="127">
        <f>HLOOKUP('Operational Worksheet'!E58,$B$773:$U$775,3)</f>
        <v>5.9499999999999993</v>
      </c>
      <c r="I58" s="127">
        <f t="shared" si="0"/>
        <v>1.5331667011427794</v>
      </c>
      <c r="J58" s="127">
        <f t="shared" si="1"/>
        <v>28.421359555310918</v>
      </c>
      <c r="K58" s="127">
        <f t="shared" ref="K58:L61" si="39">I58*$G58</f>
        <v>3.5537697759103795</v>
      </c>
      <c r="L58" s="127">
        <f t="shared" si="39"/>
        <v>65.878660489208926</v>
      </c>
      <c r="M58" s="127">
        <f t="shared" ref="M58:M61" si="40">K58+L58</f>
        <v>69.432430265119308</v>
      </c>
      <c r="N58" s="128">
        <f t="shared" ref="N58:N62" si="41">IF(D58&gt;0,M58/H58,"PO")</f>
        <v>11.669316010944423</v>
      </c>
      <c r="O58" s="129" t="str">
        <f t="shared" si="2"/>
        <v>OK</v>
      </c>
    </row>
    <row r="59" spans="1:15" ht="14.25" customHeight="1" x14ac:dyDescent="0.25">
      <c r="A59" s="120" t="str">
        <f>IF(N59=MIN(N57:N80),1,"")</f>
        <v/>
      </c>
      <c r="B59" s="121">
        <f t="shared" ref="B59:B74" si="42">B58+1/24</f>
        <v>42311.083333333328</v>
      </c>
      <c r="C59" s="122">
        <f t="shared" ref="C59" si="43">DAY(B59)</f>
        <v>3</v>
      </c>
      <c r="D59" s="123">
        <v>1068.1975518616223</v>
      </c>
      <c r="E59" s="124">
        <v>47.450286865234375</v>
      </c>
      <c r="F59" s="125">
        <v>12.597105250869872</v>
      </c>
      <c r="G59" s="126">
        <v>2.2834694385528564</v>
      </c>
      <c r="H59" s="127">
        <f>HLOOKUP('Operational Worksheet'!E59,$B$773:$U$775,3)</f>
        <v>5.9499999999999993</v>
      </c>
      <c r="I59" s="127">
        <f t="shared" si="0"/>
        <v>1.5259349706983372</v>
      </c>
      <c r="J59" s="127">
        <f t="shared" si="1"/>
        <v>28.302866402753352</v>
      </c>
      <c r="K59" s="127">
        <f t="shared" si="39"/>
        <v>3.4844258708087015</v>
      </c>
      <c r="L59" s="127">
        <f t="shared" si="39"/>
        <v>64.628730454131698</v>
      </c>
      <c r="M59" s="127">
        <f t="shared" si="40"/>
        <v>68.113156324940405</v>
      </c>
      <c r="N59" s="128">
        <f t="shared" si="41"/>
        <v>11.447589298309314</v>
      </c>
      <c r="O59" s="129" t="str">
        <f t="shared" si="2"/>
        <v>OK</v>
      </c>
    </row>
    <row r="60" spans="1:15" ht="14.25" customHeight="1" x14ac:dyDescent="0.25">
      <c r="A60" s="120">
        <f>IF(N60=MIN(N57:N80),1,"")</f>
        <v>1</v>
      </c>
      <c r="B60" s="121">
        <f t="shared" si="42"/>
        <v>42311.124999999993</v>
      </c>
      <c r="C60" s="122">
        <f>DAY(B60)</f>
        <v>3</v>
      </c>
      <c r="D60" s="123">
        <v>1069.6669617014879</v>
      </c>
      <c r="E60" s="124">
        <v>47.447674545048109</v>
      </c>
      <c r="F60" s="125">
        <v>12.606753132654928</v>
      </c>
      <c r="G60" s="126">
        <v>2.2834694385528564</v>
      </c>
      <c r="H60" s="127">
        <f>HLOOKUP('Operational Worksheet'!E60,$B$773:$U$775,3)</f>
        <v>5.9499999999999993</v>
      </c>
      <c r="I60" s="127">
        <f t="shared" si="0"/>
        <v>1.5238387819393868</v>
      </c>
      <c r="J60" s="127">
        <f t="shared" si="1"/>
        <v>28.285633380920885</v>
      </c>
      <c r="K60" s="127">
        <f t="shared" si="39"/>
        <v>3.4796392878402003</v>
      </c>
      <c r="L60" s="127">
        <f t="shared" si="39"/>
        <v>64.589379375443343</v>
      </c>
      <c r="M60" s="127">
        <f t="shared" si="40"/>
        <v>68.069018663283543</v>
      </c>
      <c r="N60" s="128">
        <f t="shared" si="41"/>
        <v>11.440171203913202</v>
      </c>
      <c r="O60" s="129" t="str">
        <f t="shared" si="2"/>
        <v>OK</v>
      </c>
    </row>
    <row r="61" spans="1:15" ht="14.25" customHeight="1" x14ac:dyDescent="0.25">
      <c r="A61" s="120" t="str">
        <f>IF(N61=MIN(N57:N80),1,"")</f>
        <v/>
      </c>
      <c r="B61" s="121">
        <f t="shared" si="42"/>
        <v>42311.166666666657</v>
      </c>
      <c r="C61" s="122">
        <f t="shared" ref="C61:C62" si="44">DAY(B61)</f>
        <v>3</v>
      </c>
      <c r="D61" s="123">
        <v>1064.4668760627353</v>
      </c>
      <c r="E61" s="124">
        <v>47.40435791015625</v>
      </c>
      <c r="F61" s="125">
        <v>12.596713313968516</v>
      </c>
      <c r="G61" s="126">
        <v>2.2834694385528564</v>
      </c>
      <c r="H61" s="127">
        <f>HLOOKUP('Operational Worksheet'!E61,$B$773:$U$775,3)</f>
        <v>5.9499999999999993</v>
      </c>
      <c r="I61" s="127">
        <f t="shared" si="0"/>
        <v>1.5312829705223581</v>
      </c>
      <c r="J61" s="127">
        <f t="shared" si="1"/>
        <v>28.401176808194716</v>
      </c>
      <c r="K61" s="127">
        <f t="shared" si="39"/>
        <v>3.4966378649642391</v>
      </c>
      <c r="L61" s="127">
        <f t="shared" si="39"/>
        <v>64.853219260448796</v>
      </c>
      <c r="M61" s="127">
        <f t="shared" si="40"/>
        <v>68.349857125413038</v>
      </c>
      <c r="N61" s="128">
        <f t="shared" si="41"/>
        <v>11.487370945447571</v>
      </c>
      <c r="O61" s="129" t="str">
        <f t="shared" si="2"/>
        <v>OK</v>
      </c>
    </row>
    <row r="62" spans="1:15" ht="14.25" customHeight="1" x14ac:dyDescent="0.25">
      <c r="A62" s="120" t="str">
        <f>IF(N62=MIN(N57:N80),1,"")</f>
        <v/>
      </c>
      <c r="B62" s="121">
        <f t="shared" si="42"/>
        <v>42311.208333333321</v>
      </c>
      <c r="C62" s="122">
        <f t="shared" si="44"/>
        <v>3</v>
      </c>
      <c r="D62" s="123">
        <v>1067.8238674253305</v>
      </c>
      <c r="E62" s="124">
        <v>47.40435791015625</v>
      </c>
      <c r="F62" s="125">
        <v>12.586107710430904</v>
      </c>
      <c r="G62" s="126">
        <v>2.2834694385528564</v>
      </c>
      <c r="H62" s="127">
        <f>HLOOKUP('Operational Worksheet'!E62,$B$773:$U$775,3)</f>
        <v>5.9499999999999993</v>
      </c>
      <c r="I62" s="128">
        <f t="shared" si="0"/>
        <v>1.5264689708895092</v>
      </c>
      <c r="J62" s="127">
        <f t="shared" si="1"/>
        <v>28.288053326497145</v>
      </c>
      <c r="K62" s="127">
        <f>I62*$G62</f>
        <v>3.4856452439254242</v>
      </c>
      <c r="L62" s="127">
        <f>J62*$G62</f>
        <v>64.594905247209695</v>
      </c>
      <c r="M62" s="127">
        <f>K62+L62</f>
        <v>68.080550491135114</v>
      </c>
      <c r="N62" s="128">
        <f t="shared" si="41"/>
        <v>11.442109326241196</v>
      </c>
      <c r="O62" s="129" t="str">
        <f t="shared" si="2"/>
        <v>OK</v>
      </c>
    </row>
    <row r="63" spans="1:15" ht="14.25" customHeight="1" x14ac:dyDescent="0.25">
      <c r="A63" s="120" t="str">
        <f>IF(N63=MIN(N57:N80),1,"")</f>
        <v/>
      </c>
      <c r="B63" s="121">
        <f t="shared" si="42"/>
        <v>42311.249999999985</v>
      </c>
      <c r="C63" s="122">
        <f>DAY(B63)</f>
        <v>3</v>
      </c>
      <c r="D63" s="123">
        <v>1061.7673844811884</v>
      </c>
      <c r="E63" s="124">
        <v>47.40435791015625</v>
      </c>
      <c r="F63" s="125">
        <v>12.599291087772418</v>
      </c>
      <c r="G63" s="126">
        <v>2.2834694385528564</v>
      </c>
      <c r="H63" s="127">
        <f>HLOOKUP('Operational Worksheet'!E63,$B$773:$U$775,3)</f>
        <v>5.9499999999999993</v>
      </c>
      <c r="I63" s="127">
        <f t="shared" si="0"/>
        <v>1.53517618248979</v>
      </c>
      <c r="J63" s="127">
        <f t="shared" si="1"/>
        <v>28.479212163245293</v>
      </c>
      <c r="K63" s="127">
        <f>I63*$G63</f>
        <v>3.5055278955096782</v>
      </c>
      <c r="L63" s="127">
        <f>J63*$G63</f>
        <v>65.031410608833411</v>
      </c>
      <c r="M63" s="127">
        <f>K63+L63</f>
        <v>68.536938504343084</v>
      </c>
      <c r="N63" s="128">
        <f>IF(D63&gt;0,M63/H63,"PO")</f>
        <v>11.518813194007242</v>
      </c>
      <c r="O63" s="129" t="str">
        <f t="shared" si="2"/>
        <v>OK</v>
      </c>
    </row>
    <row r="64" spans="1:15" ht="14.25" customHeight="1" x14ac:dyDescent="0.25">
      <c r="A64" s="120" t="str">
        <f>IF(N64=MIN(N57:N80),1,"")</f>
        <v/>
      </c>
      <c r="B64" s="121">
        <f t="shared" si="42"/>
        <v>42311.29166666665</v>
      </c>
      <c r="C64" s="122">
        <f t="shared" ref="C64:C68" si="45">DAY(B64)</f>
        <v>3</v>
      </c>
      <c r="D64" s="123">
        <v>1058.2443277483201</v>
      </c>
      <c r="E64" s="124">
        <v>47.40435791015625</v>
      </c>
      <c r="F64" s="125">
        <v>12.580331307829647</v>
      </c>
      <c r="G64" s="126">
        <v>2.2834694385528564</v>
      </c>
      <c r="H64" s="127">
        <f>HLOOKUP('Operational Worksheet'!E64,$B$773:$U$775,3)</f>
        <v>5.9499999999999993</v>
      </c>
      <c r="I64" s="127">
        <f t="shared" si="0"/>
        <v>1.5402870180917798</v>
      </c>
      <c r="J64" s="127">
        <f t="shared" si="1"/>
        <v>28.531024780481353</v>
      </c>
      <c r="K64" s="127">
        <f t="shared" ref="K64:L67" si="46">I64*$G64</f>
        <v>3.5171983324122897</v>
      </c>
      <c r="L64" s="127">
        <f t="shared" si="46"/>
        <v>65.149723136823383</v>
      </c>
      <c r="M64" s="127">
        <f t="shared" ref="M64:M67" si="47">K64+L64</f>
        <v>68.666921469235675</v>
      </c>
      <c r="N64" s="128">
        <f t="shared" ref="N64:N68" si="48">IF(D64&gt;0,M64/H64,"PO")</f>
        <v>11.540659070459778</v>
      </c>
      <c r="O64" s="129" t="str">
        <f t="shared" si="2"/>
        <v>OK</v>
      </c>
    </row>
    <row r="65" spans="1:15" ht="14.25" customHeight="1" x14ac:dyDescent="0.25">
      <c r="A65" s="120" t="str">
        <f>IF(N65=MIN(N57:N80),1,"")</f>
        <v/>
      </c>
      <c r="B65" s="121">
        <f t="shared" si="42"/>
        <v>42311.333333333314</v>
      </c>
      <c r="C65" s="122">
        <f t="shared" si="45"/>
        <v>3</v>
      </c>
      <c r="D65" s="123">
        <v>658.94954432779275</v>
      </c>
      <c r="E65" s="124">
        <v>47.40435791015625</v>
      </c>
      <c r="F65" s="125">
        <v>12.592603727511589</v>
      </c>
      <c r="G65" s="126">
        <v>2.2834694385528564</v>
      </c>
      <c r="H65" s="127">
        <f>HLOOKUP('Operational Worksheet'!E65,$B$773:$U$775,3)</f>
        <v>5.9499999999999993</v>
      </c>
      <c r="I65" s="127">
        <f t="shared" si="0"/>
        <v>2.4736340043497482</v>
      </c>
      <c r="J65" s="127">
        <f t="shared" si="1"/>
        <v>45.864283853262421</v>
      </c>
      <c r="K65" s="127">
        <f t="shared" si="46"/>
        <v>5.648467651097774</v>
      </c>
      <c r="L65" s="127">
        <f t="shared" si="46"/>
        <v>104.72969050003798</v>
      </c>
      <c r="M65" s="127">
        <f t="shared" si="47"/>
        <v>110.37815815113575</v>
      </c>
      <c r="N65" s="128">
        <f t="shared" si="48"/>
        <v>18.550950949770716</v>
      </c>
      <c r="O65" s="129" t="str">
        <f t="shared" si="2"/>
        <v>OK</v>
      </c>
    </row>
    <row r="66" spans="1:15" ht="14.25" customHeight="1" x14ac:dyDescent="0.25">
      <c r="A66" s="120" t="str">
        <f>IF(N66=MIN(N57:N80),1,"")</f>
        <v/>
      </c>
      <c r="B66" s="121">
        <f t="shared" si="42"/>
        <v>42311.374999999978</v>
      </c>
      <c r="C66" s="122">
        <f t="shared" si="45"/>
        <v>3</v>
      </c>
      <c r="D66" s="123">
        <v>672.30501100295703</v>
      </c>
      <c r="E66" s="124">
        <v>47.40435791015625</v>
      </c>
      <c r="F66" s="125">
        <v>12.573390693124182</v>
      </c>
      <c r="G66" s="126">
        <v>2.3796744346618652</v>
      </c>
      <c r="H66" s="127">
        <f>HLOOKUP('Operational Worksheet'!E66,$B$773:$U$775,3)</f>
        <v>5.9499999999999993</v>
      </c>
      <c r="I66" s="127">
        <f t="shared" si="0"/>
        <v>2.4244947952542195</v>
      </c>
      <c r="J66" s="127">
        <f t="shared" si="1"/>
        <v>44.884594298175344</v>
      </c>
      <c r="K66" s="127">
        <f t="shared" si="46"/>
        <v>5.7695082812372194</v>
      </c>
      <c r="L66" s="127">
        <f t="shared" si="46"/>
        <v>106.81072156153759</v>
      </c>
      <c r="M66" s="127">
        <f t="shared" si="47"/>
        <v>112.58022984277481</v>
      </c>
      <c r="N66" s="128">
        <f t="shared" si="48"/>
        <v>18.92104703239913</v>
      </c>
      <c r="O66" s="129" t="str">
        <f t="shared" si="2"/>
        <v>OK</v>
      </c>
    </row>
    <row r="67" spans="1:15" ht="14.25" customHeight="1" x14ac:dyDescent="0.25">
      <c r="A67" s="120" t="str">
        <f>IF(N67=MIN(N57:N80),1,"")</f>
        <v/>
      </c>
      <c r="B67" s="121">
        <f t="shared" si="42"/>
        <v>42311.416666666642</v>
      </c>
      <c r="C67" s="122">
        <f t="shared" si="45"/>
        <v>3</v>
      </c>
      <c r="D67" s="123">
        <v>853.09303424262941</v>
      </c>
      <c r="E67" s="124">
        <v>47.40435791015625</v>
      </c>
      <c r="F67" s="125">
        <v>12.587125426867507</v>
      </c>
      <c r="G67" s="126">
        <v>2.3796744346618652</v>
      </c>
      <c r="H67" s="127">
        <f>HLOOKUP('Operational Worksheet'!E67,$B$773:$U$775,3)</f>
        <v>5.9499999999999993</v>
      </c>
      <c r="I67" s="127">
        <f t="shared" si="0"/>
        <v>1.9106943024650338</v>
      </c>
      <c r="J67" s="127">
        <f t="shared" si="1"/>
        <v>35.411262092066508</v>
      </c>
      <c r="K67" s="127">
        <f t="shared" si="46"/>
        <v>4.5468303840301258</v>
      </c>
      <c r="L67" s="127">
        <f t="shared" si="46"/>
        <v>84.267275099601505</v>
      </c>
      <c r="M67" s="127">
        <f t="shared" si="47"/>
        <v>88.814105483631636</v>
      </c>
      <c r="N67" s="128">
        <f t="shared" si="48"/>
        <v>14.926740417417083</v>
      </c>
      <c r="O67" s="129" t="str">
        <f t="shared" si="2"/>
        <v>OK</v>
      </c>
    </row>
    <row r="68" spans="1:15" ht="14.25" customHeight="1" x14ac:dyDescent="0.25">
      <c r="A68" s="120" t="str">
        <f>IF(N68=MIN(N57:N80),1,"")</f>
        <v/>
      </c>
      <c r="B68" s="121">
        <f t="shared" si="42"/>
        <v>42311.458333333307</v>
      </c>
      <c r="C68" s="122">
        <f t="shared" si="45"/>
        <v>3</v>
      </c>
      <c r="D68" s="123">
        <v>872.0992262624643</v>
      </c>
      <c r="E68" s="124">
        <v>47.397159630161873</v>
      </c>
      <c r="F68" s="125">
        <v>12.598856675499736</v>
      </c>
      <c r="G68" s="126">
        <v>2.01582932472229</v>
      </c>
      <c r="H68" s="127">
        <f>HLOOKUP('Operational Worksheet'!E68,$B$773:$U$775,3)</f>
        <v>5.9499999999999993</v>
      </c>
      <c r="I68" s="128">
        <f t="shared" si="0"/>
        <v>1.8690533724994274</v>
      </c>
      <c r="J68" s="127">
        <f t="shared" si="1"/>
        <v>34.671806958006925</v>
      </c>
      <c r="K68" s="127">
        <f>I68*$G68</f>
        <v>3.7676925977554396</v>
      </c>
      <c r="L68" s="127">
        <f>J68*$G68</f>
        <v>69.892445207060703</v>
      </c>
      <c r="M68" s="127">
        <f>K68+L68</f>
        <v>73.660137804816145</v>
      </c>
      <c r="N68" s="128">
        <f t="shared" si="48"/>
        <v>12.379855093246412</v>
      </c>
      <c r="O68" s="129" t="str">
        <f t="shared" si="2"/>
        <v>OK</v>
      </c>
    </row>
    <row r="69" spans="1:15" ht="14.25" customHeight="1" x14ac:dyDescent="0.25">
      <c r="A69" s="120" t="str">
        <f>IF(N69=MIN(N57:N80),1,"")</f>
        <v/>
      </c>
      <c r="B69" s="121">
        <f t="shared" si="42"/>
        <v>42311.499999999971</v>
      </c>
      <c r="C69" s="122">
        <f>DAY(B69)</f>
        <v>3</v>
      </c>
      <c r="D69" s="123">
        <v>873.67182297058264</v>
      </c>
      <c r="E69" s="124">
        <v>47.301887512207031</v>
      </c>
      <c r="F69" s="125">
        <v>12.598442787945825</v>
      </c>
      <c r="G69" s="126">
        <v>2.0157222747802734</v>
      </c>
      <c r="H69" s="127">
        <f>HLOOKUP('Operational Worksheet'!E69,$B$773:$U$775,3)</f>
        <v>5.9499999999999993</v>
      </c>
      <c r="I69" s="127">
        <f t="shared" si="0"/>
        <v>1.8656891033269407</v>
      </c>
      <c r="J69" s="127">
        <f t="shared" si="1"/>
        <v>34.608261244208698</v>
      </c>
      <c r="K69" s="127">
        <f>I69*$G69</f>
        <v>3.7607110833909494</v>
      </c>
      <c r="L69" s="127">
        <f>J69*$G69</f>
        <v>69.760643081366339</v>
      </c>
      <c r="M69" s="127">
        <f>K69+L69</f>
        <v>73.521354164757284</v>
      </c>
      <c r="N69" s="128">
        <f>IF(D69&gt;0,M69/H69,"PO")</f>
        <v>12.356530111723915</v>
      </c>
      <c r="O69" s="129" t="str">
        <f t="shared" si="2"/>
        <v>OK</v>
      </c>
    </row>
    <row r="70" spans="1:15" ht="14.25" customHeight="1" x14ac:dyDescent="0.25">
      <c r="A70" s="120" t="str">
        <f>IF(N70=MIN(N57:N80),1,"")</f>
        <v/>
      </c>
      <c r="B70" s="121">
        <f t="shared" si="42"/>
        <v>42311.541666666635</v>
      </c>
      <c r="C70" s="122">
        <f t="shared" ref="C70:C74" si="49">DAY(B70)</f>
        <v>3</v>
      </c>
      <c r="D70" s="123">
        <v>869.48044898707076</v>
      </c>
      <c r="E70" s="124">
        <v>47.301887512207031</v>
      </c>
      <c r="F70" s="125">
        <v>12.590615502015895</v>
      </c>
      <c r="G70" s="126">
        <v>2.0157222747802734</v>
      </c>
      <c r="H70" s="127">
        <f>HLOOKUP('Operational Worksheet'!E70,$B$773:$U$775,3)</f>
        <v>5.9499999999999993</v>
      </c>
      <c r="I70" s="127">
        <f t="shared" si="0"/>
        <v>1.8746827509450281</v>
      </c>
      <c r="J70" s="127">
        <f t="shared" si="1"/>
        <v>34.753486682812671</v>
      </c>
      <c r="K70" s="127">
        <f t="shared" ref="K70:L73" si="50">I70*$G70</f>
        <v>3.7788397792262529</v>
      </c>
      <c r="L70" s="127">
        <f t="shared" si="50"/>
        <v>70.053377232825099</v>
      </c>
      <c r="M70" s="127">
        <f t="shared" ref="M70:M73" si="51">K70+L70</f>
        <v>73.832217012051359</v>
      </c>
      <c r="N70" s="128">
        <f t="shared" ref="N70:N74" si="52">IF(D70&gt;0,M70/H70,"PO")</f>
        <v>12.408775968411994</v>
      </c>
      <c r="O70" s="129" t="str">
        <f t="shared" si="2"/>
        <v>OK</v>
      </c>
    </row>
    <row r="71" spans="1:15" ht="14.25" customHeight="1" x14ac:dyDescent="0.25">
      <c r="A71" s="120" t="str">
        <f>IF(N71=MIN(N57:N80),1,"")</f>
        <v/>
      </c>
      <c r="B71" s="121">
        <f t="shared" si="42"/>
        <v>42311.583333333299</v>
      </c>
      <c r="C71" s="122">
        <f t="shared" si="49"/>
        <v>3</v>
      </c>
      <c r="D71" s="123">
        <v>872.45353202391914</v>
      </c>
      <c r="E71" s="124">
        <v>47.301887512207031</v>
      </c>
      <c r="F71" s="125">
        <v>12.585341902008071</v>
      </c>
      <c r="G71" s="126">
        <v>2.0157222747802734</v>
      </c>
      <c r="H71" s="127">
        <f>HLOOKUP('Operational Worksheet'!E71,$B$773:$U$775,3)</f>
        <v>5.9499999999999993</v>
      </c>
      <c r="I71" s="127">
        <f t="shared" si="0"/>
        <v>1.8682943448216931</v>
      </c>
      <c r="J71" s="127">
        <f t="shared" si="1"/>
        <v>34.620549354359511</v>
      </c>
      <c r="K71" s="127">
        <f t="shared" si="50"/>
        <v>3.7659625267031038</v>
      </c>
      <c r="L71" s="127">
        <f t="shared" si="50"/>
        <v>69.785412498712276</v>
      </c>
      <c r="M71" s="127">
        <f t="shared" si="51"/>
        <v>73.551375025415382</v>
      </c>
      <c r="N71" s="128">
        <f t="shared" si="52"/>
        <v>12.361575634523595</v>
      </c>
      <c r="O71" s="129" t="str">
        <f t="shared" si="2"/>
        <v>OK</v>
      </c>
    </row>
    <row r="72" spans="1:15" ht="14.25" customHeight="1" x14ac:dyDescent="0.25">
      <c r="A72" s="120" t="str">
        <f>IF(N72=MIN(N57:N80),1,"")</f>
        <v/>
      </c>
      <c r="B72" s="121">
        <f t="shared" si="42"/>
        <v>42311.624999999964</v>
      </c>
      <c r="C72" s="122">
        <f t="shared" si="49"/>
        <v>3</v>
      </c>
      <c r="D72" s="123">
        <v>840.71850843923971</v>
      </c>
      <c r="E72" s="124">
        <v>47.392245843960168</v>
      </c>
      <c r="F72" s="125">
        <v>12.580968135108625</v>
      </c>
      <c r="G72" s="126">
        <v>2.0157222747802734</v>
      </c>
      <c r="H72" s="127">
        <f>HLOOKUP('Operational Worksheet'!E72,$B$773:$U$775,3)</f>
        <v>5.9499999999999993</v>
      </c>
      <c r="I72" s="127">
        <f t="shared" si="0"/>
        <v>1.9388177893526215</v>
      </c>
      <c r="J72" s="127">
        <f t="shared" si="1"/>
        <v>35.914902813684037</v>
      </c>
      <c r="K72" s="127">
        <f t="shared" si="50"/>
        <v>3.9081182047383272</v>
      </c>
      <c r="L72" s="127">
        <f t="shared" si="50"/>
        <v>72.394469598111627</v>
      </c>
      <c r="M72" s="127">
        <f t="shared" si="51"/>
        <v>76.302587802849956</v>
      </c>
      <c r="N72" s="128">
        <f t="shared" si="52"/>
        <v>12.823964336613439</v>
      </c>
      <c r="O72" s="129" t="str">
        <f t="shared" si="2"/>
        <v>OK</v>
      </c>
    </row>
    <row r="73" spans="1:15" ht="14.25" customHeight="1" x14ac:dyDescent="0.25">
      <c r="A73" s="120" t="str">
        <f>IF(N73=MIN(N57:N80),1,"")</f>
        <v/>
      </c>
      <c r="B73" s="121">
        <f t="shared" si="42"/>
        <v>42311.666666666628</v>
      </c>
      <c r="C73" s="122">
        <f t="shared" si="49"/>
        <v>3</v>
      </c>
      <c r="D73" s="123">
        <v>868.76552724313854</v>
      </c>
      <c r="E73" s="124">
        <v>49.040245056152344</v>
      </c>
      <c r="F73" s="125">
        <v>12.597067388336312</v>
      </c>
      <c r="G73" s="126">
        <v>2.3178207874298096</v>
      </c>
      <c r="H73" s="127">
        <f>HLOOKUP('Operational Worksheet'!E73,$B$773:$U$775,3)</f>
        <v>5.6000000000000005</v>
      </c>
      <c r="I73" s="127">
        <f t="shared" ref="I73:I136" si="53">$G$768/D73*$H$768</f>
        <v>1.8762254588674734</v>
      </c>
      <c r="J73" s="127">
        <f t="shared" ref="J73:J136" si="54">$G$769*F73/D73*$H$769</f>
        <v>34.799909508317711</v>
      </c>
      <c r="K73" s="127">
        <f t="shared" si="50"/>
        <v>4.3487543704680629</v>
      </c>
      <c r="L73" s="127">
        <f t="shared" si="50"/>
        <v>80.659953659055077</v>
      </c>
      <c r="M73" s="127">
        <f t="shared" si="51"/>
        <v>85.008708029523135</v>
      </c>
      <c r="N73" s="128">
        <f t="shared" si="52"/>
        <v>15.180126433843416</v>
      </c>
      <c r="O73" s="129" t="str">
        <f t="shared" ref="O73:O136" si="55">+IF(N73&gt;=1, "OK","Alarm")</f>
        <v>OK</v>
      </c>
    </row>
    <row r="74" spans="1:15" ht="14.25" customHeight="1" x14ac:dyDescent="0.25">
      <c r="A74" s="120" t="str">
        <f>IF(N74=MIN(N57:N80),1,"")</f>
        <v/>
      </c>
      <c r="B74" s="121">
        <f t="shared" si="42"/>
        <v>42311.708333333292</v>
      </c>
      <c r="C74" s="122">
        <f t="shared" si="49"/>
        <v>3</v>
      </c>
      <c r="D74" s="123">
        <v>874.14711484614884</v>
      </c>
      <c r="E74" s="124">
        <v>49.040245056152344</v>
      </c>
      <c r="F74" s="125">
        <v>12.593181400503486</v>
      </c>
      <c r="G74" s="126">
        <v>2.3178207874298096</v>
      </c>
      <c r="H74" s="127">
        <f>HLOOKUP('Operational Worksheet'!E74,$B$773:$U$775,3)</f>
        <v>5.6000000000000005</v>
      </c>
      <c r="I74" s="128">
        <f t="shared" si="53"/>
        <v>1.8646746895536941</v>
      </c>
      <c r="J74" s="127">
        <f t="shared" si="54"/>
        <v>34.574998702052305</v>
      </c>
      <c r="K74" s="127">
        <f>I74*$G74</f>
        <v>4.3219817572417787</v>
      </c>
      <c r="L74" s="127">
        <f>J74*$G74</f>
        <v>80.138650716975519</v>
      </c>
      <c r="M74" s="127">
        <f>K74+L74</f>
        <v>84.460632474217292</v>
      </c>
      <c r="N74" s="128">
        <f t="shared" si="52"/>
        <v>15.082255798967372</v>
      </c>
      <c r="O74" s="129" t="str">
        <f t="shared" si="55"/>
        <v>OK</v>
      </c>
    </row>
    <row r="75" spans="1:15" ht="14.25" customHeight="1" x14ac:dyDescent="0.25">
      <c r="A75" s="120" t="str">
        <f>IF(N75=MIN(N57:N80),1,"")</f>
        <v/>
      </c>
      <c r="B75" s="121">
        <f>B74+1/24</f>
        <v>42311.749999999956</v>
      </c>
      <c r="C75" s="122">
        <f>DAY(B75)</f>
        <v>3</v>
      </c>
      <c r="D75" s="123">
        <v>874.1533461091351</v>
      </c>
      <c r="E75" s="124">
        <v>49.040245056152344</v>
      </c>
      <c r="F75" s="125">
        <v>12.591204111288537</v>
      </c>
      <c r="G75" s="126">
        <v>2.3383674621582031</v>
      </c>
      <c r="H75" s="127">
        <f>HLOOKUP('Operational Worksheet'!E75,$B$773:$U$775,3)</f>
        <v>5.6000000000000005</v>
      </c>
      <c r="I75" s="127">
        <f t="shared" si="53"/>
        <v>1.8646613975169752</v>
      </c>
      <c r="J75" s="127">
        <f t="shared" si="54"/>
        <v>34.569323565021008</v>
      </c>
      <c r="K75" s="127">
        <f>I75*$G75</f>
        <v>4.3602635398961374</v>
      </c>
      <c r="L75" s="127">
        <f>J75*$G75</f>
        <v>80.835781413263945</v>
      </c>
      <c r="M75" s="127">
        <f>K75+L75</f>
        <v>85.196044953160083</v>
      </c>
      <c r="N75" s="128">
        <f>IF(D75&gt;0,M75/H75,"PO")</f>
        <v>15.213579455921442</v>
      </c>
      <c r="O75" s="129" t="str">
        <f t="shared" si="55"/>
        <v>OK</v>
      </c>
    </row>
    <row r="76" spans="1:15" ht="14.25" customHeight="1" x14ac:dyDescent="0.25">
      <c r="A76" s="120" t="str">
        <f>IF(N76=MIN(N57:N80),1,"")</f>
        <v/>
      </c>
      <c r="B76" s="121">
        <f t="shared" ref="B76:B80" si="56">B75+1/24</f>
        <v>42311.791666666621</v>
      </c>
      <c r="C76" s="122">
        <f t="shared" ref="C76:C80" si="57">DAY(B76)</f>
        <v>3</v>
      </c>
      <c r="D76" s="123">
        <v>868.58687188922443</v>
      </c>
      <c r="E76" s="124">
        <v>49.040245056152344</v>
      </c>
      <c r="F76" s="125">
        <v>12.586668687586457</v>
      </c>
      <c r="G76" s="126">
        <v>2.3728253841400146</v>
      </c>
      <c r="H76" s="127">
        <f>HLOOKUP('Operational Worksheet'!E76,$B$773:$U$775,3)</f>
        <v>5.6000000000000005</v>
      </c>
      <c r="I76" s="127">
        <f t="shared" si="53"/>
        <v>1.8766113704374325</v>
      </c>
      <c r="J76" s="127">
        <f t="shared" si="54"/>
        <v>34.778334589035879</v>
      </c>
      <c r="K76" s="127">
        <f t="shared" ref="K76:L79" si="58">I76*$G76</f>
        <v>4.4528710959397202</v>
      </c>
      <c r="L76" s="127">
        <f t="shared" si="58"/>
        <v>82.522915130979015</v>
      </c>
      <c r="M76" s="127">
        <f t="shared" ref="M76:M79" si="59">K76+L76</f>
        <v>86.975786226918729</v>
      </c>
      <c r="N76" s="128">
        <f t="shared" ref="N76:N80" si="60">IF(D76&gt;0,M76/H76,"PO")</f>
        <v>15.531390397664056</v>
      </c>
      <c r="O76" s="129" t="str">
        <f t="shared" si="55"/>
        <v>OK</v>
      </c>
    </row>
    <row r="77" spans="1:15" ht="14.25" customHeight="1" x14ac:dyDescent="0.25">
      <c r="A77" s="120" t="str">
        <f>IF(N77=MIN(N57:N80),1,"")</f>
        <v/>
      </c>
      <c r="B77" s="121">
        <f t="shared" si="56"/>
        <v>42311.833333333285</v>
      </c>
      <c r="C77" s="122">
        <f t="shared" si="57"/>
        <v>3</v>
      </c>
      <c r="D77" s="123">
        <v>868.73295200421398</v>
      </c>
      <c r="E77" s="124">
        <v>49.040245056152344</v>
      </c>
      <c r="F77" s="125">
        <v>12.599114192556236</v>
      </c>
      <c r="G77" s="126">
        <v>2.4415280818939209</v>
      </c>
      <c r="H77" s="127">
        <f>HLOOKUP('Operational Worksheet'!E77,$B$773:$U$775,3)</f>
        <v>5.6000000000000005</v>
      </c>
      <c r="I77" s="127">
        <f t="shared" si="53"/>
        <v>1.8762958124697604</v>
      </c>
      <c r="J77" s="127">
        <f t="shared" si="54"/>
        <v>34.806869006608473</v>
      </c>
      <c r="K77" s="127">
        <f t="shared" si="58"/>
        <v>4.5810289160848896</v>
      </c>
      <c r="L77" s="127">
        <f t="shared" si="58"/>
        <v>84.981948122437743</v>
      </c>
      <c r="M77" s="127">
        <f t="shared" si="59"/>
        <v>89.562977038522632</v>
      </c>
      <c r="N77" s="128">
        <f t="shared" si="60"/>
        <v>15.993388756879041</v>
      </c>
      <c r="O77" s="129" t="str">
        <f t="shared" si="55"/>
        <v>OK</v>
      </c>
    </row>
    <row r="78" spans="1:15" ht="14.25" customHeight="1" x14ac:dyDescent="0.25">
      <c r="A78" s="120" t="str">
        <f>IF(N78=MIN(N57:N80),1,"")</f>
        <v/>
      </c>
      <c r="B78" s="121">
        <f t="shared" si="56"/>
        <v>42311.874999999949</v>
      </c>
      <c r="C78" s="122">
        <f t="shared" si="57"/>
        <v>3</v>
      </c>
      <c r="D78" s="123">
        <v>854.71378280516171</v>
      </c>
      <c r="E78" s="124">
        <v>49.040245056152344</v>
      </c>
      <c r="F78" s="125">
        <v>12.583320788328384</v>
      </c>
      <c r="G78" s="126">
        <v>2.3384742736816406</v>
      </c>
      <c r="H78" s="127">
        <f>HLOOKUP('Operational Worksheet'!E78,$B$773:$U$775,3)</f>
        <v>5.6000000000000005</v>
      </c>
      <c r="I78" s="127">
        <f t="shared" si="53"/>
        <v>1.9070711538666862</v>
      </c>
      <c r="J78" s="127">
        <f t="shared" si="54"/>
        <v>35.333430324326976</v>
      </c>
      <c r="K78" s="127">
        <f t="shared" si="58"/>
        <v>4.4596368313976074</v>
      </c>
      <c r="L78" s="127">
        <f t="shared" si="58"/>
        <v>82.626317814361386</v>
      </c>
      <c r="M78" s="127">
        <f t="shared" si="59"/>
        <v>87.085954645758989</v>
      </c>
      <c r="N78" s="128">
        <f t="shared" si="60"/>
        <v>15.551063329599819</v>
      </c>
      <c r="O78" s="129" t="str">
        <f t="shared" si="55"/>
        <v>OK</v>
      </c>
    </row>
    <row r="79" spans="1:15" ht="14.25" customHeight="1" x14ac:dyDescent="0.25">
      <c r="A79" s="120" t="str">
        <f>IF(N79=MIN(N57:N80),1,"")</f>
        <v/>
      </c>
      <c r="B79" s="121">
        <f t="shared" si="56"/>
        <v>42311.916666666613</v>
      </c>
      <c r="C79" s="122">
        <f t="shared" si="57"/>
        <v>3</v>
      </c>
      <c r="D79" s="123">
        <v>850.73706934982806</v>
      </c>
      <c r="E79" s="124">
        <v>48.824484450092207</v>
      </c>
      <c r="F79" s="125">
        <v>12.590383022290025</v>
      </c>
      <c r="G79" s="126">
        <v>2.3384742736816406</v>
      </c>
      <c r="H79" s="127">
        <f>HLOOKUP('Operational Worksheet'!E79,$B$773:$U$775,3)</f>
        <v>5.6000000000000005</v>
      </c>
      <c r="I79" s="127">
        <f t="shared" si="53"/>
        <v>1.915985630255562</v>
      </c>
      <c r="J79" s="127">
        <f t="shared" si="54"/>
        <v>35.518517227172438</v>
      </c>
      <c r="K79" s="127">
        <f t="shared" si="58"/>
        <v>4.4804831050963356</v>
      </c>
      <c r="L79" s="127">
        <f t="shared" si="58"/>
        <v>83.059138775060902</v>
      </c>
      <c r="M79" s="127">
        <f t="shared" si="59"/>
        <v>87.539621880157242</v>
      </c>
      <c r="N79" s="128">
        <f t="shared" si="60"/>
        <v>15.632075335742362</v>
      </c>
      <c r="O79" s="129" t="str">
        <f t="shared" si="55"/>
        <v>OK</v>
      </c>
    </row>
    <row r="80" spans="1:15" ht="14.25" customHeight="1" x14ac:dyDescent="0.25">
      <c r="A80" s="130" t="str">
        <f>IF(N80=MIN(N57:N80),1,"")</f>
        <v/>
      </c>
      <c r="B80" s="131">
        <f t="shared" si="56"/>
        <v>42311.958333333278</v>
      </c>
      <c r="C80" s="132">
        <f t="shared" si="57"/>
        <v>3</v>
      </c>
      <c r="D80" s="123">
        <v>850.99275579184371</v>
      </c>
      <c r="E80" s="124">
        <v>48.008537292480469</v>
      </c>
      <c r="F80" s="125">
        <v>12.580200937451874</v>
      </c>
      <c r="G80" s="126">
        <v>2.1255180835723877</v>
      </c>
      <c r="H80" s="133">
        <f>HLOOKUP('Operational Worksheet'!E80,$B$773:$U$775,3)</f>
        <v>5.9499999999999993</v>
      </c>
      <c r="I80" s="134">
        <f t="shared" si="53"/>
        <v>1.9154099596104019</v>
      </c>
      <c r="J80" s="133">
        <f t="shared" si="54"/>
        <v>35.479129574717206</v>
      </c>
      <c r="K80" s="133">
        <f>I80*$G80</f>
        <v>4.0712385066065657</v>
      </c>
      <c r="L80" s="133">
        <f>J80*$G80</f>
        <v>75.411531500469337</v>
      </c>
      <c r="M80" s="133">
        <f>K80+L80</f>
        <v>79.482770007075899</v>
      </c>
      <c r="N80" s="134">
        <f t="shared" si="60"/>
        <v>13.358448740685027</v>
      </c>
      <c r="O80" s="135" t="str">
        <f t="shared" si="55"/>
        <v>OK</v>
      </c>
    </row>
    <row r="81" spans="1:15" ht="14.25" customHeight="1" x14ac:dyDescent="0.25">
      <c r="A81" s="110" t="str">
        <f>IF(N81=MIN(N81:N104),1,"")</f>
        <v/>
      </c>
      <c r="B81" s="111">
        <f>'[1]Turbidity Daily Data Sheet'!B19</f>
        <v>42312</v>
      </c>
      <c r="C81" s="112">
        <f>DAY(B81)</f>
        <v>4</v>
      </c>
      <c r="D81" s="123">
        <v>867.78793923443152</v>
      </c>
      <c r="E81" s="124">
        <v>48.008537292480469</v>
      </c>
      <c r="F81" s="125">
        <v>12.596495498071823</v>
      </c>
      <c r="G81" s="126">
        <v>2.1255180835723877</v>
      </c>
      <c r="H81" s="117">
        <f>HLOOKUP('Operational Worksheet'!E81,$B$773:$U$775,3)</f>
        <v>5.9499999999999993</v>
      </c>
      <c r="I81" s="117">
        <f t="shared" si="53"/>
        <v>1.8783390806721711</v>
      </c>
      <c r="J81" s="117">
        <f t="shared" si="54"/>
        <v>34.837530954904594</v>
      </c>
      <c r="K81" s="117">
        <f>I81*$G81</f>
        <v>3.9924436830494336</v>
      </c>
      <c r="L81" s="117">
        <f>J81*$G81</f>
        <v>74.047802031662542</v>
      </c>
      <c r="M81" s="117">
        <f>K81+L81</f>
        <v>78.040245714711972</v>
      </c>
      <c r="N81" s="118">
        <f>IF(D81&gt;0,M81/H81,"PO")</f>
        <v>13.11600768314487</v>
      </c>
      <c r="O81" s="119" t="str">
        <f t="shared" si="55"/>
        <v>OK</v>
      </c>
    </row>
    <row r="82" spans="1:15" ht="14.25" customHeight="1" x14ac:dyDescent="0.25">
      <c r="A82" s="120" t="str">
        <f>IF(N82=MIN(N81:N104),1,"")</f>
        <v/>
      </c>
      <c r="B82" s="121">
        <f>B81+1/24</f>
        <v>42312.041666666664</v>
      </c>
      <c r="C82" s="122">
        <f>DAY(B82)</f>
        <v>4</v>
      </c>
      <c r="D82" s="123">
        <v>866.36303875384885</v>
      </c>
      <c r="E82" s="124">
        <v>48.008537292480469</v>
      </c>
      <c r="F82" s="125">
        <v>12.59512635655785</v>
      </c>
      <c r="G82" s="126">
        <v>2.1255180835723877</v>
      </c>
      <c r="H82" s="127">
        <f>HLOOKUP('Operational Worksheet'!E82,$B$773:$U$775,3)</f>
        <v>5.9499999999999993</v>
      </c>
      <c r="I82" s="127">
        <f t="shared" si="53"/>
        <v>1.8814283701951831</v>
      </c>
      <c r="J82" s="127">
        <f t="shared" si="54"/>
        <v>34.89103517068127</v>
      </c>
      <c r="K82" s="127">
        <f t="shared" ref="K82:L85" si="61">I82*$G82</f>
        <v>3.9990100237959862</v>
      </c>
      <c r="L82" s="127">
        <f t="shared" si="61"/>
        <v>74.161526209843231</v>
      </c>
      <c r="M82" s="127">
        <f t="shared" ref="M82:M85" si="62">K82+L82</f>
        <v>78.16053623363922</v>
      </c>
      <c r="N82" s="128">
        <f t="shared" ref="N82:N86" si="63">IF(D82&gt;0,M82/H82,"PO")</f>
        <v>13.136224577082224</v>
      </c>
      <c r="O82" s="129" t="str">
        <f t="shared" si="55"/>
        <v>OK</v>
      </c>
    </row>
    <row r="83" spans="1:15" ht="14.25" customHeight="1" x14ac:dyDescent="0.25">
      <c r="A83" s="120" t="str">
        <f>IF(N83=MIN(N81:N104),1,"")</f>
        <v/>
      </c>
      <c r="B83" s="121">
        <f t="shared" ref="B83:B98" si="64">B82+1/24</f>
        <v>42312.083333333328</v>
      </c>
      <c r="C83" s="122">
        <f t="shared" ref="C83" si="65">DAY(B83)</f>
        <v>4</v>
      </c>
      <c r="D83" s="123">
        <v>871.64053401788965</v>
      </c>
      <c r="E83" s="124">
        <v>48.008537292480469</v>
      </c>
      <c r="F83" s="125">
        <v>12.599324680990737</v>
      </c>
      <c r="G83" s="126">
        <v>2.1255180835723877</v>
      </c>
      <c r="H83" s="127">
        <f>HLOOKUP('Operational Worksheet'!E83,$B$773:$U$775,3)</f>
        <v>5.9499999999999993</v>
      </c>
      <c r="I83" s="127">
        <f t="shared" si="53"/>
        <v>1.870036943424829</v>
      </c>
      <c r="J83" s="127">
        <f t="shared" si="54"/>
        <v>34.691341274586883</v>
      </c>
      <c r="K83" s="127">
        <f t="shared" si="61"/>
        <v>3.9747973401979082</v>
      </c>
      <c r="L83" s="127">
        <f t="shared" si="61"/>
        <v>73.73707322251559</v>
      </c>
      <c r="M83" s="127">
        <f t="shared" si="62"/>
        <v>77.7118705627135</v>
      </c>
      <c r="N83" s="128">
        <f t="shared" si="63"/>
        <v>13.060818581968658</v>
      </c>
      <c r="O83" s="129" t="str">
        <f t="shared" si="55"/>
        <v>OK</v>
      </c>
    </row>
    <row r="84" spans="1:15" ht="14.25" customHeight="1" x14ac:dyDescent="0.25">
      <c r="A84" s="120" t="str">
        <f>IF(N84=MIN(N81:N104),1,"")</f>
        <v/>
      </c>
      <c r="B84" s="121">
        <f t="shared" si="64"/>
        <v>42312.124999999993</v>
      </c>
      <c r="C84" s="122">
        <f>DAY(B84)</f>
        <v>4</v>
      </c>
      <c r="D84" s="123">
        <v>882.84393504966044</v>
      </c>
      <c r="E84" s="124">
        <v>48.008537292480469</v>
      </c>
      <c r="F84" s="125">
        <v>12.596231435310203</v>
      </c>
      <c r="G84" s="126">
        <v>2.1255180835723877</v>
      </c>
      <c r="H84" s="127">
        <f>HLOOKUP('Operational Worksheet'!E84,$B$773:$U$775,3)</f>
        <v>5.9499999999999993</v>
      </c>
      <c r="I84" s="127">
        <f t="shared" si="53"/>
        <v>1.8463059384423495</v>
      </c>
      <c r="J84" s="127">
        <f t="shared" si="54"/>
        <v>34.242694823569217</v>
      </c>
      <c r="K84" s="127">
        <f t="shared" si="61"/>
        <v>3.9243566599663016</v>
      </c>
      <c r="L84" s="127">
        <f t="shared" si="61"/>
        <v>72.783467077746963</v>
      </c>
      <c r="M84" s="127">
        <f t="shared" si="62"/>
        <v>76.707823737713269</v>
      </c>
      <c r="N84" s="128">
        <f t="shared" si="63"/>
        <v>12.8920712164224</v>
      </c>
      <c r="O84" s="129" t="str">
        <f t="shared" si="55"/>
        <v>OK</v>
      </c>
    </row>
    <row r="85" spans="1:15" ht="14.25" customHeight="1" x14ac:dyDescent="0.25">
      <c r="A85" s="120" t="str">
        <f>IF(N85=MIN(N81:N104),1,"")</f>
        <v/>
      </c>
      <c r="B85" s="121">
        <f t="shared" si="64"/>
        <v>42312.166666666657</v>
      </c>
      <c r="C85" s="122">
        <f t="shared" ref="C85:C86" si="66">DAY(B85)</f>
        <v>4</v>
      </c>
      <c r="D85" s="123">
        <v>869.21177936224387</v>
      </c>
      <c r="E85" s="124">
        <v>48.008537292480469</v>
      </c>
      <c r="F85" s="125">
        <v>12.594573691910449</v>
      </c>
      <c r="G85" s="126">
        <v>2.1255180835723877</v>
      </c>
      <c r="H85" s="127">
        <f>HLOOKUP('Operational Worksheet'!E85,$B$773:$U$775,3)</f>
        <v>5.9499999999999993</v>
      </c>
      <c r="I85" s="127">
        <f t="shared" si="53"/>
        <v>1.875262207325308</v>
      </c>
      <c r="J85" s="127">
        <f t="shared" si="54"/>
        <v>34.775157882424402</v>
      </c>
      <c r="K85" s="127">
        <f t="shared" si="61"/>
        <v>3.9859037331098142</v>
      </c>
      <c r="L85" s="127">
        <f t="shared" si="61"/>
        <v>73.915226938177923</v>
      </c>
      <c r="M85" s="127">
        <f t="shared" si="62"/>
        <v>77.901130671287731</v>
      </c>
      <c r="N85" s="128">
        <f t="shared" si="63"/>
        <v>13.092627003577771</v>
      </c>
      <c r="O85" s="129" t="str">
        <f t="shared" si="55"/>
        <v>OK</v>
      </c>
    </row>
    <row r="86" spans="1:15" ht="14.25" customHeight="1" x14ac:dyDescent="0.25">
      <c r="A86" s="120" t="str">
        <f>IF(N86=MIN(N81:N104),1,"")</f>
        <v/>
      </c>
      <c r="B86" s="121">
        <f t="shared" si="64"/>
        <v>42312.208333333321</v>
      </c>
      <c r="C86" s="122">
        <f t="shared" si="66"/>
        <v>4</v>
      </c>
      <c r="D86" s="123">
        <v>874.48931441276443</v>
      </c>
      <c r="E86" s="124">
        <v>48.008537292480469</v>
      </c>
      <c r="F86" s="125">
        <v>12.601082098510544</v>
      </c>
      <c r="G86" s="126">
        <v>2.1255180835723877</v>
      </c>
      <c r="H86" s="127">
        <f>HLOOKUP('Operational Worksheet'!E86,$B$773:$U$775,3)</f>
        <v>5.9499999999999993</v>
      </c>
      <c r="I86" s="128">
        <f t="shared" si="53"/>
        <v>1.8639450169777945</v>
      </c>
      <c r="J86" s="127">
        <f t="shared" si="54"/>
        <v>34.583152175774451</v>
      </c>
      <c r="K86" s="127">
        <f>I86*$G86</f>
        <v>3.9618488403709433</v>
      </c>
      <c r="L86" s="127">
        <f>J86*$G86</f>
        <v>73.507115336544359</v>
      </c>
      <c r="M86" s="127">
        <f>K86+L86</f>
        <v>77.468964176915307</v>
      </c>
      <c r="N86" s="128">
        <f t="shared" si="63"/>
        <v>13.019993979313499</v>
      </c>
      <c r="O86" s="129" t="str">
        <f t="shared" si="55"/>
        <v>OK</v>
      </c>
    </row>
    <row r="87" spans="1:15" ht="14.25" customHeight="1" x14ac:dyDescent="0.25">
      <c r="A87" s="120" t="str">
        <f>IF(N87=MIN(N81:N104),1,"")</f>
        <v/>
      </c>
      <c r="B87" s="121">
        <f t="shared" si="64"/>
        <v>42312.249999999985</v>
      </c>
      <c r="C87" s="122">
        <f>DAY(B87)</f>
        <v>4</v>
      </c>
      <c r="D87" s="123">
        <v>865.86746690769326</v>
      </c>
      <c r="E87" s="124">
        <v>47.837745198097807</v>
      </c>
      <c r="F87" s="125">
        <v>12.589224942355134</v>
      </c>
      <c r="G87" s="126">
        <v>2.1255180835723877</v>
      </c>
      <c r="H87" s="127">
        <f>HLOOKUP('Operational Worksheet'!E87,$B$773:$U$775,3)</f>
        <v>5.9499999999999993</v>
      </c>
      <c r="I87" s="127">
        <f t="shared" si="53"/>
        <v>1.8825051896467291</v>
      </c>
      <c r="J87" s="127">
        <f t="shared" si="54"/>
        <v>34.894647294645772</v>
      </c>
      <c r="K87" s="127">
        <f>I87*$G87</f>
        <v>4.0012988230129896</v>
      </c>
      <c r="L87" s="127">
        <f>J87*$G87</f>
        <v>74.169203844649886</v>
      </c>
      <c r="M87" s="127">
        <f>K87+L87</f>
        <v>78.170502667662873</v>
      </c>
      <c r="N87" s="128">
        <f>IF(D87&gt;0,M87/H87,"PO")</f>
        <v>13.137899608010569</v>
      </c>
      <c r="O87" s="129" t="str">
        <f t="shared" si="55"/>
        <v>OK</v>
      </c>
    </row>
    <row r="88" spans="1:15" ht="14.25" customHeight="1" x14ac:dyDescent="0.25">
      <c r="A88" s="120" t="str">
        <f>IF(N88=MIN(N81:N104),1,"")</f>
        <v/>
      </c>
      <c r="B88" s="121">
        <f t="shared" si="64"/>
        <v>42312.29166666665</v>
      </c>
      <c r="C88" s="122">
        <f t="shared" ref="C88:C92" si="67">DAY(B88)</f>
        <v>4</v>
      </c>
      <c r="D88" s="123">
        <v>871.13988186430697</v>
      </c>
      <c r="E88" s="124">
        <v>47.330154418945313</v>
      </c>
      <c r="F88" s="125">
        <v>12.592415314032582</v>
      </c>
      <c r="G88" s="126">
        <v>2.3384742736816406</v>
      </c>
      <c r="H88" s="127">
        <f>HLOOKUP('Operational Worksheet'!E88,$B$773:$U$775,3)</f>
        <v>5.9499999999999993</v>
      </c>
      <c r="I88" s="127">
        <f t="shared" si="53"/>
        <v>1.8711116709657161</v>
      </c>
      <c r="J88" s="127">
        <f t="shared" si="54"/>
        <v>34.69224332721538</v>
      </c>
      <c r="K88" s="127">
        <f t="shared" ref="K88:L91" si="68">I88*$G88</f>
        <v>4.3755465057387939</v>
      </c>
      <c r="L88" s="127">
        <f t="shared" si="68"/>
        <v>81.126918516996724</v>
      </c>
      <c r="M88" s="127">
        <f t="shared" ref="M88:M91" si="69">K88+L88</f>
        <v>85.502465022735521</v>
      </c>
      <c r="N88" s="128">
        <f t="shared" ref="N88:N92" si="70">IF(D88&gt;0,M88/H88,"PO")</f>
        <v>14.370162188695048</v>
      </c>
      <c r="O88" s="129" t="str">
        <f t="shared" si="55"/>
        <v>OK</v>
      </c>
    </row>
    <row r="89" spans="1:15" ht="14.25" customHeight="1" x14ac:dyDescent="0.25">
      <c r="A89" s="120" t="str">
        <f>IF(N89=MIN(N81:N104),1,"")</f>
        <v/>
      </c>
      <c r="B89" s="121">
        <f t="shared" si="64"/>
        <v>42312.333333333314</v>
      </c>
      <c r="C89" s="122">
        <f t="shared" si="67"/>
        <v>4</v>
      </c>
      <c r="D89" s="123">
        <v>871.7219079835138</v>
      </c>
      <c r="E89" s="124">
        <v>47.330154418945313</v>
      </c>
      <c r="F89" s="125">
        <v>12.601702754390876</v>
      </c>
      <c r="G89" s="126">
        <v>2.3384742736816406</v>
      </c>
      <c r="H89" s="127">
        <f>HLOOKUP('Operational Worksheet'!E89,$B$773:$U$775,3)</f>
        <v>5.9499999999999993</v>
      </c>
      <c r="I89" s="127">
        <f t="shared" si="53"/>
        <v>1.8698623782102157</v>
      </c>
      <c r="J89" s="127">
        <f t="shared" si="54"/>
        <v>34.694650132746332</v>
      </c>
      <c r="K89" s="127">
        <f t="shared" si="68"/>
        <v>4.3726250667697597</v>
      </c>
      <c r="L89" s="127">
        <f t="shared" si="68"/>
        <v>81.13254676981262</v>
      </c>
      <c r="M89" s="127">
        <f t="shared" si="69"/>
        <v>85.505171836582377</v>
      </c>
      <c r="N89" s="128">
        <f t="shared" si="70"/>
        <v>14.370617115391997</v>
      </c>
      <c r="O89" s="129" t="str">
        <f t="shared" si="55"/>
        <v>OK</v>
      </c>
    </row>
    <row r="90" spans="1:15" ht="14.25" customHeight="1" x14ac:dyDescent="0.25">
      <c r="A90" s="120" t="str">
        <f>IF(N90=MIN(N81:N104),1,"")</f>
        <v/>
      </c>
      <c r="B90" s="121">
        <f t="shared" si="64"/>
        <v>42312.374999999978</v>
      </c>
      <c r="C90" s="122">
        <f t="shared" si="67"/>
        <v>4</v>
      </c>
      <c r="D90" s="123">
        <v>869.10948330343831</v>
      </c>
      <c r="E90" s="124">
        <v>47.330154418945313</v>
      </c>
      <c r="F90" s="125">
        <v>12.592483262857842</v>
      </c>
      <c r="G90" s="126">
        <v>2.3384742736816406</v>
      </c>
      <c r="H90" s="127">
        <f>HLOOKUP('Operational Worksheet'!E90,$B$773:$U$775,3)</f>
        <v>5.9499999999999993</v>
      </c>
      <c r="I90" s="127">
        <f t="shared" si="53"/>
        <v>1.875482929727631</v>
      </c>
      <c r="J90" s="127">
        <f t="shared" si="54"/>
        <v>34.773478383858823</v>
      </c>
      <c r="K90" s="127">
        <f t="shared" si="68"/>
        <v>4.3857685818971373</v>
      </c>
      <c r="L90" s="127">
        <f t="shared" si="68"/>
        <v>81.316884607078492</v>
      </c>
      <c r="M90" s="127">
        <f t="shared" si="69"/>
        <v>85.702653188975631</v>
      </c>
      <c r="N90" s="128">
        <f t="shared" si="70"/>
        <v>14.403807258651367</v>
      </c>
      <c r="O90" s="129" t="str">
        <f t="shared" si="55"/>
        <v>OK</v>
      </c>
    </row>
    <row r="91" spans="1:15" ht="14.25" customHeight="1" x14ac:dyDescent="0.25">
      <c r="A91" s="120" t="str">
        <f>IF(N91=MIN(N81:N104),1,"")</f>
        <v/>
      </c>
      <c r="B91" s="121">
        <f t="shared" si="64"/>
        <v>42312.416666666642</v>
      </c>
      <c r="C91" s="122">
        <f t="shared" si="67"/>
        <v>4</v>
      </c>
      <c r="D91" s="123">
        <v>869.5490989606933</v>
      </c>
      <c r="E91" s="124">
        <v>47.330154418945313</v>
      </c>
      <c r="F91" s="125">
        <v>12.599360926183051</v>
      </c>
      <c r="G91" s="126">
        <v>2.3384742736816406</v>
      </c>
      <c r="H91" s="127">
        <f>HLOOKUP('Operational Worksheet'!E91,$B$773:$U$775,3)</f>
        <v>5.9499999999999993</v>
      </c>
      <c r="I91" s="127">
        <f t="shared" si="53"/>
        <v>1.87453474674198</v>
      </c>
      <c r="J91" s="127">
        <f t="shared" si="54"/>
        <v>34.774880750242957</v>
      </c>
      <c r="K91" s="127">
        <f t="shared" si="68"/>
        <v>4.38355128037845</v>
      </c>
      <c r="L91" s="127">
        <f t="shared" si="68"/>
        <v>81.320164004790058</v>
      </c>
      <c r="M91" s="127">
        <f t="shared" si="69"/>
        <v>85.703715285168514</v>
      </c>
      <c r="N91" s="128">
        <f t="shared" si="70"/>
        <v>14.403985762213198</v>
      </c>
      <c r="O91" s="129" t="str">
        <f t="shared" si="55"/>
        <v>OK</v>
      </c>
    </row>
    <row r="92" spans="1:15" ht="14.25" customHeight="1" x14ac:dyDescent="0.25">
      <c r="A92" s="120" t="str">
        <f>IF(N92=MIN(N81:N104),1,"")</f>
        <v/>
      </c>
      <c r="B92" s="121">
        <f t="shared" si="64"/>
        <v>42312.458333333307</v>
      </c>
      <c r="C92" s="122">
        <f t="shared" si="67"/>
        <v>4</v>
      </c>
      <c r="D92" s="123">
        <v>401.87796648719603</v>
      </c>
      <c r="E92" s="124">
        <v>47.330154418945313</v>
      </c>
      <c r="F92" s="125">
        <v>12.706622317279981</v>
      </c>
      <c r="G92" s="126">
        <v>2.3384742736816406</v>
      </c>
      <c r="H92" s="127">
        <f>HLOOKUP('Operational Worksheet'!E92,$B$773:$U$775,3)</f>
        <v>5.9499999999999993</v>
      </c>
      <c r="I92" s="128">
        <f t="shared" si="53"/>
        <v>4.0559576187960342</v>
      </c>
      <c r="J92" s="127">
        <f t="shared" si="54"/>
        <v>75.883467381990855</v>
      </c>
      <c r="K92" s="127">
        <f>I92*$G92</f>
        <v>9.4847525466975728</v>
      </c>
      <c r="L92" s="127">
        <f>J92*$G92</f>
        <v>177.45153627054552</v>
      </c>
      <c r="M92" s="127">
        <f>K92+L92</f>
        <v>186.93628881724308</v>
      </c>
      <c r="N92" s="128">
        <f t="shared" si="70"/>
        <v>31.417863666763548</v>
      </c>
      <c r="O92" s="129" t="str">
        <f t="shared" si="55"/>
        <v>OK</v>
      </c>
    </row>
    <row r="93" spans="1:15" ht="14.25" customHeight="1" x14ac:dyDescent="0.25">
      <c r="A93" s="120" t="str">
        <f>IF(N93=MIN(N81:N104),1,"")</f>
        <v/>
      </c>
      <c r="B93" s="121">
        <f t="shared" si="64"/>
        <v>42312.499999999971</v>
      </c>
      <c r="C93" s="122">
        <f>DAY(B93)</f>
        <v>4</v>
      </c>
      <c r="D93" s="123">
        <v>0</v>
      </c>
      <c r="E93" s="124">
        <v>47.330154418945313</v>
      </c>
      <c r="F93" s="125">
        <v>12.880624771118164</v>
      </c>
      <c r="G93" s="126">
        <v>2.283576488494873</v>
      </c>
      <c r="H93" s="127">
        <f>HLOOKUP('Operational Worksheet'!E93,$B$773:$U$775,3)</f>
        <v>5.9499999999999993</v>
      </c>
      <c r="I93" s="127" t="e">
        <f t="shared" si="53"/>
        <v>#DIV/0!</v>
      </c>
      <c r="J93" s="127" t="e">
        <f t="shared" si="54"/>
        <v>#DIV/0!</v>
      </c>
      <c r="K93" s="127" t="e">
        <f>I93*$G93</f>
        <v>#DIV/0!</v>
      </c>
      <c r="L93" s="127" t="e">
        <f>J93*$G93</f>
        <v>#DIV/0!</v>
      </c>
      <c r="M93" s="127" t="e">
        <f>K93+L93</f>
        <v>#DIV/0!</v>
      </c>
      <c r="N93" s="128" t="str">
        <f>IF(D93&gt;0,M93/H93,"PO")</f>
        <v>PO</v>
      </c>
      <c r="O93" s="129" t="str">
        <f t="shared" si="55"/>
        <v>OK</v>
      </c>
    </row>
    <row r="94" spans="1:15" ht="14.25" customHeight="1" x14ac:dyDescent="0.25">
      <c r="A94" s="120" t="str">
        <f>IF(N94=MIN(N81:N104),1,"")</f>
        <v/>
      </c>
      <c r="B94" s="121">
        <f t="shared" si="64"/>
        <v>42312.541666666635</v>
      </c>
      <c r="C94" s="122">
        <f t="shared" ref="C94:C98" si="71">DAY(B94)</f>
        <v>4</v>
      </c>
      <c r="D94" s="123">
        <v>765.32665415535598</v>
      </c>
      <c r="E94" s="124">
        <v>47.330154418945313</v>
      </c>
      <c r="F94" s="125">
        <v>12.634614143264011</v>
      </c>
      <c r="G94" s="126">
        <v>2.1668252944946289</v>
      </c>
      <c r="H94" s="127">
        <f>HLOOKUP('Operational Worksheet'!E94,$B$773:$U$775,3)</f>
        <v>5.9499999999999993</v>
      </c>
      <c r="I94" s="127">
        <f t="shared" si="53"/>
        <v>2.1298095279314828</v>
      </c>
      <c r="J94" s="127">
        <f t="shared" si="54"/>
        <v>39.621086994937265</v>
      </c>
      <c r="K94" s="127">
        <f t="shared" ref="K94:L97" si="72">I94*$G94</f>
        <v>4.614925157577602</v>
      </c>
      <c r="L94" s="127">
        <f t="shared" si="72"/>
        <v>85.851973496002245</v>
      </c>
      <c r="M94" s="127">
        <f t="shared" ref="M94:M97" si="73">K94+L94</f>
        <v>90.466898653579847</v>
      </c>
      <c r="N94" s="128">
        <f t="shared" ref="N94:N98" si="74">IF(D94&gt;0,M94/H94,"PO")</f>
        <v>15.204520782114262</v>
      </c>
      <c r="O94" s="129" t="str">
        <f t="shared" si="55"/>
        <v>OK</v>
      </c>
    </row>
    <row r="95" spans="1:15" ht="14.25" customHeight="1" x14ac:dyDescent="0.25">
      <c r="A95" s="120" t="str">
        <f>IF(N95=MIN(N81:N104),1,"")</f>
        <v/>
      </c>
      <c r="B95" s="121">
        <f t="shared" si="64"/>
        <v>42312.583333333299</v>
      </c>
      <c r="C95" s="122">
        <f t="shared" si="71"/>
        <v>4</v>
      </c>
      <c r="D95" s="123">
        <v>874.66468050652088</v>
      </c>
      <c r="E95" s="124">
        <v>47.008804143683925</v>
      </c>
      <c r="F95" s="125">
        <v>12.594490366722555</v>
      </c>
      <c r="G95" s="126">
        <v>2.1668252944946289</v>
      </c>
      <c r="H95" s="127">
        <f>HLOOKUP('Operational Worksheet'!E95,$B$773:$U$775,3)</f>
        <v>5.9499999999999993</v>
      </c>
      <c r="I95" s="127">
        <f t="shared" si="53"/>
        <v>1.8635713048983094</v>
      </c>
      <c r="J95" s="127">
        <f t="shared" si="54"/>
        <v>34.558131308823079</v>
      </c>
      <c r="K95" s="127">
        <f t="shared" si="72"/>
        <v>4.038033441548019</v>
      </c>
      <c r="L95" s="127">
        <f t="shared" si="72"/>
        <v>74.881433050424619</v>
      </c>
      <c r="M95" s="127">
        <f t="shared" si="73"/>
        <v>78.919466491972642</v>
      </c>
      <c r="N95" s="128">
        <f t="shared" si="74"/>
        <v>13.263775881003808</v>
      </c>
      <c r="O95" s="129" t="str">
        <f t="shared" si="55"/>
        <v>OK</v>
      </c>
    </row>
    <row r="96" spans="1:15" ht="14.25" customHeight="1" x14ac:dyDescent="0.25">
      <c r="A96" s="120" t="str">
        <f>IF(N96=MIN(N81:N104),1,"")</f>
        <v/>
      </c>
      <c r="B96" s="121">
        <f t="shared" si="64"/>
        <v>42312.624999999964</v>
      </c>
      <c r="C96" s="122">
        <f t="shared" si="71"/>
        <v>4</v>
      </c>
      <c r="D96" s="123">
        <v>864.79008023231347</v>
      </c>
      <c r="E96" s="124">
        <v>46.807235717773438</v>
      </c>
      <c r="F96" s="125">
        <v>12.594677085032531</v>
      </c>
      <c r="G96" s="126">
        <v>2.1668252944946289</v>
      </c>
      <c r="H96" s="127">
        <f>HLOOKUP('Operational Worksheet'!E96,$B$773:$U$775,3)</f>
        <v>5.9499999999999993</v>
      </c>
      <c r="I96" s="127">
        <f t="shared" si="53"/>
        <v>1.8848504825149288</v>
      </c>
      <c r="J96" s="127">
        <f t="shared" si="54"/>
        <v>34.953251309217109</v>
      </c>
      <c r="K96" s="127">
        <f t="shared" si="72"/>
        <v>4.0841417018537536</v>
      </c>
      <c r="L96" s="127">
        <f t="shared" si="72"/>
        <v>75.737589061639142</v>
      </c>
      <c r="M96" s="127">
        <f t="shared" si="73"/>
        <v>79.821730763492894</v>
      </c>
      <c r="N96" s="128">
        <f t="shared" si="74"/>
        <v>13.415416935040824</v>
      </c>
      <c r="O96" s="129" t="str">
        <f t="shared" si="55"/>
        <v>OK</v>
      </c>
    </row>
    <row r="97" spans="1:15" ht="14.25" customHeight="1" x14ac:dyDescent="0.25">
      <c r="A97" s="120" t="str">
        <f>IF(N97=MIN(N81:N104),1,"")</f>
        <v/>
      </c>
      <c r="B97" s="121">
        <f t="shared" si="64"/>
        <v>42312.666666666628</v>
      </c>
      <c r="C97" s="122">
        <f t="shared" si="71"/>
        <v>4</v>
      </c>
      <c r="D97" s="123">
        <v>867.74095955930284</v>
      </c>
      <c r="E97" s="124">
        <v>46.807235717773438</v>
      </c>
      <c r="F97" s="125">
        <v>12.588391411104135</v>
      </c>
      <c r="G97" s="126">
        <v>2.3591279983520508</v>
      </c>
      <c r="H97" s="127">
        <f>HLOOKUP('Operational Worksheet'!E97,$B$773:$U$775,3)</f>
        <v>5.9499999999999993</v>
      </c>
      <c r="I97" s="127">
        <f t="shared" si="53"/>
        <v>1.8784407743387193</v>
      </c>
      <c r="J97" s="127">
        <f t="shared" si="54"/>
        <v>34.817002763121472</v>
      </c>
      <c r="K97" s="127">
        <f t="shared" si="72"/>
        <v>4.4314822239885787</v>
      </c>
      <c r="L97" s="127">
        <f t="shared" si="72"/>
        <v>82.137766037180583</v>
      </c>
      <c r="M97" s="127">
        <f t="shared" si="73"/>
        <v>86.569248261169164</v>
      </c>
      <c r="N97" s="128">
        <f t="shared" si="74"/>
        <v>14.54945348927213</v>
      </c>
      <c r="O97" s="129" t="str">
        <f t="shared" si="55"/>
        <v>OK</v>
      </c>
    </row>
    <row r="98" spans="1:15" ht="14.25" customHeight="1" x14ac:dyDescent="0.25">
      <c r="A98" s="120" t="str">
        <f>IF(N98=MIN(N81:N104),1,"")</f>
        <v/>
      </c>
      <c r="B98" s="121">
        <f t="shared" si="64"/>
        <v>42312.708333333292</v>
      </c>
      <c r="C98" s="122">
        <f t="shared" si="71"/>
        <v>4</v>
      </c>
      <c r="D98" s="123">
        <v>862.9513873376261</v>
      </c>
      <c r="E98" s="124">
        <v>48.219820386118371</v>
      </c>
      <c r="F98" s="125">
        <v>12.588277524169888</v>
      </c>
      <c r="G98" s="126">
        <v>2.3591279983520508</v>
      </c>
      <c r="H98" s="127">
        <f>HLOOKUP('Operational Worksheet'!E98,$B$773:$U$775,3)</f>
        <v>5.6000000000000005</v>
      </c>
      <c r="I98" s="128">
        <f t="shared" si="53"/>
        <v>1.8888665386226089</v>
      </c>
      <c r="J98" s="127">
        <f t="shared" si="54"/>
        <v>35.009928138845979</v>
      </c>
      <c r="K98" s="127">
        <f>I98*$G98</f>
        <v>4.4560779364149221</v>
      </c>
      <c r="L98" s="127">
        <f>J98*$G98</f>
        <v>82.592901692644858</v>
      </c>
      <c r="M98" s="127">
        <f>K98+L98</f>
        <v>87.048979629059787</v>
      </c>
      <c r="N98" s="128">
        <f t="shared" si="74"/>
        <v>15.544460648046389</v>
      </c>
      <c r="O98" s="129" t="str">
        <f t="shared" si="55"/>
        <v>OK</v>
      </c>
    </row>
    <row r="99" spans="1:15" ht="14.25" customHeight="1" x14ac:dyDescent="0.25">
      <c r="A99" s="120" t="str">
        <f>IF(N99=MIN(N81:N104),1,"")</f>
        <v/>
      </c>
      <c r="B99" s="121">
        <f>B98+1/24</f>
        <v>42312.749999999956</v>
      </c>
      <c r="C99" s="122">
        <f>DAY(B99)</f>
        <v>4</v>
      </c>
      <c r="D99" s="123">
        <v>918.08415734287689</v>
      </c>
      <c r="E99" s="124">
        <v>48.432533264160156</v>
      </c>
      <c r="F99" s="125">
        <v>12.597384054874688</v>
      </c>
      <c r="G99" s="126">
        <v>2.3591279983520508</v>
      </c>
      <c r="H99" s="127">
        <f>HLOOKUP('Operational Worksheet'!E99,$B$773:$U$775,3)</f>
        <v>5.6000000000000005</v>
      </c>
      <c r="I99" s="127">
        <f t="shared" si="53"/>
        <v>1.7754363660054358</v>
      </c>
      <c r="J99" s="127">
        <f t="shared" si="54"/>
        <v>32.931318430765451</v>
      </c>
      <c r="K99" s="127">
        <f>I99*$G99</f>
        <v>4.1884816403358425</v>
      </c>
      <c r="L99" s="127">
        <f>J99*$G99</f>
        <v>77.68919533266569</v>
      </c>
      <c r="M99" s="127">
        <f>K99+L99</f>
        <v>81.877676973001527</v>
      </c>
      <c r="N99" s="128">
        <f>IF(D99&gt;0,M99/H99,"PO")</f>
        <v>14.621013745178843</v>
      </c>
      <c r="O99" s="129" t="str">
        <f t="shared" si="55"/>
        <v>OK</v>
      </c>
    </row>
    <row r="100" spans="1:15" ht="14.25" customHeight="1" x14ac:dyDescent="0.25">
      <c r="A100" s="120" t="str">
        <f>IF(N100=MIN(N81:N104),1,"")</f>
        <v/>
      </c>
      <c r="B100" s="121">
        <f t="shared" ref="B100:B104" si="75">B99+1/24</f>
        <v>42312.791666666621</v>
      </c>
      <c r="C100" s="122">
        <f t="shared" ref="C100:C104" si="76">DAY(B100)</f>
        <v>4</v>
      </c>
      <c r="D100" s="123">
        <v>1062.234773769914</v>
      </c>
      <c r="E100" s="124">
        <v>48.432533264160156</v>
      </c>
      <c r="F100" s="125">
        <v>12.603648808516212</v>
      </c>
      <c r="G100" s="126">
        <v>2.3591279983520508</v>
      </c>
      <c r="H100" s="127">
        <f>HLOOKUP('Operational Worksheet'!E100,$B$773:$U$775,3)</f>
        <v>5.6000000000000005</v>
      </c>
      <c r="I100" s="127">
        <f t="shared" si="53"/>
        <v>1.5345006963150569</v>
      </c>
      <c r="J100" s="127">
        <f t="shared" si="54"/>
        <v>28.476526929244514</v>
      </c>
      <c r="K100" s="127">
        <f t="shared" ref="K100:L103" si="77">I100*$G100</f>
        <v>3.6200835561675682</v>
      </c>
      <c r="L100" s="127">
        <f t="shared" si="77"/>
        <v>67.179771974606879</v>
      </c>
      <c r="M100" s="127">
        <f t="shared" ref="M100:M103" si="78">K100+L100</f>
        <v>70.799855530774451</v>
      </c>
      <c r="N100" s="128">
        <f t="shared" ref="N100:N104" si="79">IF(D100&gt;0,M100/H100,"PO")</f>
        <v>12.64283134478115</v>
      </c>
      <c r="O100" s="129" t="str">
        <f t="shared" si="55"/>
        <v>OK</v>
      </c>
    </row>
    <row r="101" spans="1:15" ht="14.25" customHeight="1" x14ac:dyDescent="0.25">
      <c r="A101" s="120" t="str">
        <f>IF(N101=MIN(N81:N104),1,"")</f>
        <v/>
      </c>
      <c r="B101" s="121">
        <f t="shared" si="75"/>
        <v>42312.833333333285</v>
      </c>
      <c r="C101" s="122">
        <f t="shared" si="76"/>
        <v>4</v>
      </c>
      <c r="D101" s="123">
        <v>1066.582016961308</v>
      </c>
      <c r="E101" s="124">
        <v>48.432533264160156</v>
      </c>
      <c r="F101" s="125">
        <v>12.600300277560615</v>
      </c>
      <c r="G101" s="126">
        <v>2.3453233242034912</v>
      </c>
      <c r="H101" s="127">
        <f>HLOOKUP('Operational Worksheet'!E101,$B$773:$U$775,3)</f>
        <v>5.6000000000000005</v>
      </c>
      <c r="I101" s="127">
        <f t="shared" si="53"/>
        <v>1.5282462802475048</v>
      </c>
      <c r="J101" s="127">
        <f t="shared" si="54"/>
        <v>28.352925687141511</v>
      </c>
      <c r="K101" s="127">
        <f t="shared" si="77"/>
        <v>3.5842316461916979</v>
      </c>
      <c r="L101" s="127">
        <f t="shared" si="77"/>
        <v>66.496777923461281</v>
      </c>
      <c r="M101" s="127">
        <f t="shared" si="78"/>
        <v>70.081009569652977</v>
      </c>
      <c r="N101" s="128">
        <f t="shared" si="79"/>
        <v>12.514465994580888</v>
      </c>
      <c r="O101" s="129" t="str">
        <f t="shared" si="55"/>
        <v>OK</v>
      </c>
    </row>
    <row r="102" spans="1:15" ht="14.25" customHeight="1" x14ac:dyDescent="0.25">
      <c r="A102" s="120" t="str">
        <f>IF(N102=MIN(N81:N104),1,"")</f>
        <v/>
      </c>
      <c r="B102" s="121">
        <f t="shared" si="75"/>
        <v>42312.874999999949</v>
      </c>
      <c r="C102" s="122">
        <f t="shared" si="76"/>
        <v>4</v>
      </c>
      <c r="D102" s="123">
        <v>1062.8277023902033</v>
      </c>
      <c r="E102" s="124">
        <v>48.432533264160156</v>
      </c>
      <c r="F102" s="125">
        <v>12.604704051322093</v>
      </c>
      <c r="G102" s="126">
        <v>2.3453233242034912</v>
      </c>
      <c r="H102" s="127">
        <f>HLOOKUP('Operational Worksheet'!E102,$B$773:$U$775,3)</f>
        <v>5.6000000000000005</v>
      </c>
      <c r="I102" s="127">
        <f t="shared" si="53"/>
        <v>1.5336446315186154</v>
      </c>
      <c r="J102" s="127">
        <f t="shared" si="54"/>
        <v>28.46302336224452</v>
      </c>
      <c r="K102" s="127">
        <f t="shared" si="77"/>
        <v>3.5968925253400776</v>
      </c>
      <c r="L102" s="127">
        <f t="shared" si="77"/>
        <v>66.754992568820953</v>
      </c>
      <c r="M102" s="127">
        <f t="shared" si="78"/>
        <v>70.351885094161034</v>
      </c>
      <c r="N102" s="128">
        <f t="shared" si="79"/>
        <v>12.562836623957326</v>
      </c>
      <c r="O102" s="129" t="str">
        <f t="shared" si="55"/>
        <v>OK</v>
      </c>
    </row>
    <row r="103" spans="1:15" ht="14.25" customHeight="1" x14ac:dyDescent="0.25">
      <c r="A103" s="120" t="str">
        <f>IF(N103=MIN(N81:N104),1,"")</f>
        <v/>
      </c>
      <c r="B103" s="121">
        <f t="shared" si="75"/>
        <v>42312.916666666613</v>
      </c>
      <c r="C103" s="122">
        <f t="shared" si="76"/>
        <v>4</v>
      </c>
      <c r="D103" s="123">
        <v>1064.9466604276781</v>
      </c>
      <c r="E103" s="124">
        <v>46.709255744853742</v>
      </c>
      <c r="F103" s="125">
        <v>12.594522940221147</v>
      </c>
      <c r="G103" s="126">
        <v>2.3453233242034912</v>
      </c>
      <c r="H103" s="127">
        <f>HLOOKUP('Operational Worksheet'!E103,$B$773:$U$775,3)</f>
        <v>5.9499999999999993</v>
      </c>
      <c r="I103" s="127">
        <f t="shared" si="53"/>
        <v>1.5305930903106442</v>
      </c>
      <c r="J103" s="127">
        <f t="shared" si="54"/>
        <v>28.383445086716147</v>
      </c>
      <c r="K103" s="127">
        <f t="shared" si="77"/>
        <v>3.5897356745702544</v>
      </c>
      <c r="L103" s="127">
        <f t="shared" si="77"/>
        <v>66.56835578312436</v>
      </c>
      <c r="M103" s="127">
        <f t="shared" si="78"/>
        <v>70.15809145769461</v>
      </c>
      <c r="N103" s="128">
        <f t="shared" si="79"/>
        <v>11.791275875242793</v>
      </c>
      <c r="O103" s="129" t="str">
        <f t="shared" si="55"/>
        <v>OK</v>
      </c>
    </row>
    <row r="104" spans="1:15" ht="14.25" customHeight="1" x14ac:dyDescent="0.25">
      <c r="A104" s="130">
        <f>IF(N104=MIN(N81:N104),1,"")</f>
        <v>1</v>
      </c>
      <c r="B104" s="131">
        <f t="shared" si="75"/>
        <v>42312.958333333278</v>
      </c>
      <c r="C104" s="132">
        <f t="shared" si="76"/>
        <v>4</v>
      </c>
      <c r="D104" s="123">
        <v>1065.7364900102782</v>
      </c>
      <c r="E104" s="124">
        <v>46.192451477050781</v>
      </c>
      <c r="F104" s="125">
        <v>12.600402278875984</v>
      </c>
      <c r="G104" s="126">
        <v>2.3453233242034912</v>
      </c>
      <c r="H104" s="133">
        <f>HLOOKUP('Operational Worksheet'!E104,$B$773:$U$775,3)</f>
        <v>6.3000000000000007</v>
      </c>
      <c r="I104" s="134">
        <f t="shared" si="53"/>
        <v>1.5294587501496546</v>
      </c>
      <c r="J104" s="133">
        <f t="shared" si="54"/>
        <v>28.375649846624572</v>
      </c>
      <c r="K104" s="133">
        <f>I104*$G104</f>
        <v>3.5870752801331047</v>
      </c>
      <c r="L104" s="133">
        <f>J104*$G104</f>
        <v>66.550073424719827</v>
      </c>
      <c r="M104" s="133">
        <f>K104+L104</f>
        <v>70.137148704852933</v>
      </c>
      <c r="N104" s="134">
        <f t="shared" si="79"/>
        <v>11.132880746802051</v>
      </c>
      <c r="O104" s="135" t="str">
        <f t="shared" si="55"/>
        <v>OK</v>
      </c>
    </row>
    <row r="105" spans="1:15" ht="14.25" customHeight="1" x14ac:dyDescent="0.25">
      <c r="A105" s="110" t="str">
        <f>IF(N105=MIN(N105:N128),1,"")</f>
        <v/>
      </c>
      <c r="B105" s="111">
        <f>'[1]Turbidity Daily Data Sheet'!B20</f>
        <v>42313</v>
      </c>
      <c r="C105" s="112">
        <f>DAY(B105)</f>
        <v>5</v>
      </c>
      <c r="D105" s="123">
        <v>1063.1943954633609</v>
      </c>
      <c r="E105" s="124">
        <v>46.192451477050781</v>
      </c>
      <c r="F105" s="125">
        <v>12.604496052798719</v>
      </c>
      <c r="G105" s="126">
        <v>2.3453233242034912</v>
      </c>
      <c r="H105" s="117">
        <f>HLOOKUP('Operational Worksheet'!E105,$B$773:$U$775,3)</f>
        <v>6.3000000000000007</v>
      </c>
      <c r="I105" s="117">
        <f t="shared" si="53"/>
        <v>1.533115681342182</v>
      </c>
      <c r="J105" s="117">
        <f t="shared" si="54"/>
        <v>28.452737011967631</v>
      </c>
      <c r="K105" s="117">
        <f>I105*$G105</f>
        <v>3.5956519661539468</v>
      </c>
      <c r="L105" s="117">
        <f>J105*$G105</f>
        <v>66.730867751595639</v>
      </c>
      <c r="M105" s="117">
        <f>K105+L105</f>
        <v>70.326519717749591</v>
      </c>
      <c r="N105" s="118">
        <f>IF(D105&gt;0,M105/H105,"PO")</f>
        <v>11.162939637738029</v>
      </c>
      <c r="O105" s="119" t="str">
        <f t="shared" si="55"/>
        <v>OK</v>
      </c>
    </row>
    <row r="106" spans="1:15" ht="14.25" customHeight="1" x14ac:dyDescent="0.25">
      <c r="A106" s="120" t="str">
        <f>IF(N106=MIN(N105:N128),1,"")</f>
        <v/>
      </c>
      <c r="B106" s="121">
        <f>B105+1/24</f>
        <v>42313.041666666664</v>
      </c>
      <c r="C106" s="122">
        <f>DAY(B106)</f>
        <v>5</v>
      </c>
      <c r="D106" s="123">
        <v>1073.910340016427</v>
      </c>
      <c r="E106" s="124">
        <v>46.192451477050781</v>
      </c>
      <c r="F106" s="125">
        <v>12.591182510325924</v>
      </c>
      <c r="G106" s="126">
        <v>2.3453233242034912</v>
      </c>
      <c r="H106" s="127">
        <f>HLOOKUP('Operational Worksheet'!E106,$B$773:$U$775,3)</f>
        <v>6.3000000000000007</v>
      </c>
      <c r="I106" s="127">
        <f t="shared" si="53"/>
        <v>1.5178175861264795</v>
      </c>
      <c r="J106" s="127">
        <f t="shared" si="54"/>
        <v>28.139069807559519</v>
      </c>
      <c r="K106" s="127">
        <f t="shared" ref="K106:L109" si="80">I106*$G106</f>
        <v>3.559772986628674</v>
      </c>
      <c r="L106" s="127">
        <f t="shared" si="80"/>
        <v>65.995216741059579</v>
      </c>
      <c r="M106" s="127">
        <f t="shared" ref="M106:M109" si="81">K106+L106</f>
        <v>69.554989727688252</v>
      </c>
      <c r="N106" s="128">
        <f t="shared" ref="N106:N110" si="82">IF(D106&gt;0,M106/H106,"PO")</f>
        <v>11.040474559950514</v>
      </c>
      <c r="O106" s="129" t="str">
        <f t="shared" si="55"/>
        <v>OK</v>
      </c>
    </row>
    <row r="107" spans="1:15" ht="14.25" customHeight="1" x14ac:dyDescent="0.25">
      <c r="A107" s="120" t="str">
        <f>IF(N107=MIN(N105:N128),1,"")</f>
        <v/>
      </c>
      <c r="B107" s="121">
        <f t="shared" ref="B107:B122" si="83">B106+1/24</f>
        <v>42313.083333333328</v>
      </c>
      <c r="C107" s="122">
        <f t="shared" ref="C107" si="84">DAY(B107)</f>
        <v>5</v>
      </c>
      <c r="D107" s="123">
        <v>1073.6333363812425</v>
      </c>
      <c r="E107" s="124">
        <v>46.192451477050781</v>
      </c>
      <c r="F107" s="125">
        <v>12.599898890124036</v>
      </c>
      <c r="G107" s="126">
        <v>2.3453233242034912</v>
      </c>
      <c r="H107" s="127">
        <f>HLOOKUP('Operational Worksheet'!E107,$B$773:$U$775,3)</f>
        <v>6.3000000000000007</v>
      </c>
      <c r="I107" s="127">
        <f t="shared" si="53"/>
        <v>1.5182091918773972</v>
      </c>
      <c r="J107" s="127">
        <f t="shared" si="54"/>
        <v>28.165814446692703</v>
      </c>
      <c r="K107" s="127">
        <f t="shared" si="80"/>
        <v>3.5606914287301934</v>
      </c>
      <c r="L107" s="127">
        <f t="shared" si="80"/>
        <v>66.057941567016044</v>
      </c>
      <c r="M107" s="127">
        <f t="shared" si="81"/>
        <v>69.618632995746239</v>
      </c>
      <c r="N107" s="128">
        <f t="shared" si="82"/>
        <v>11.050576665991466</v>
      </c>
      <c r="O107" s="129" t="str">
        <f t="shared" si="55"/>
        <v>OK</v>
      </c>
    </row>
    <row r="108" spans="1:15" ht="14.25" customHeight="1" x14ac:dyDescent="0.25">
      <c r="A108" s="120" t="str">
        <f>IF(N108=MIN(N105:N128),1,"")</f>
        <v/>
      </c>
      <c r="B108" s="121">
        <f t="shared" si="83"/>
        <v>42313.124999999993</v>
      </c>
      <c r="C108" s="122">
        <f>DAY(B108)</f>
        <v>5</v>
      </c>
      <c r="D108" s="123">
        <v>1073.5363184761932</v>
      </c>
      <c r="E108" s="124">
        <v>46.192451477050781</v>
      </c>
      <c r="F108" s="125">
        <v>12.603696311812696</v>
      </c>
      <c r="G108" s="126">
        <v>2.3453233242034912</v>
      </c>
      <c r="H108" s="127">
        <f>HLOOKUP('Operational Worksheet'!E108,$B$773:$U$775,3)</f>
        <v>6.3000000000000007</v>
      </c>
      <c r="I108" s="127">
        <f t="shared" si="53"/>
        <v>1.5183463958757042</v>
      </c>
      <c r="J108" s="127">
        <f t="shared" si="54"/>
        <v>28.176849378776996</v>
      </c>
      <c r="K108" s="127">
        <f t="shared" si="80"/>
        <v>3.5610132164675967</v>
      </c>
      <c r="L108" s="127">
        <f t="shared" si="80"/>
        <v>66.083822050614344</v>
      </c>
      <c r="M108" s="127">
        <f t="shared" si="81"/>
        <v>69.644835267081945</v>
      </c>
      <c r="N108" s="128">
        <f t="shared" si="82"/>
        <v>11.054735756679673</v>
      </c>
      <c r="O108" s="129" t="str">
        <f t="shared" si="55"/>
        <v>OK</v>
      </c>
    </row>
    <row r="109" spans="1:15" ht="14.25" customHeight="1" x14ac:dyDescent="0.25">
      <c r="A109" s="120" t="str">
        <f>IF(N109=MIN(N105:N128),1,"")</f>
        <v/>
      </c>
      <c r="B109" s="121">
        <f t="shared" si="83"/>
        <v>42313.166666666657</v>
      </c>
      <c r="C109" s="122">
        <f t="shared" ref="C109:C110" si="85">DAY(B109)</f>
        <v>5</v>
      </c>
      <c r="D109" s="123">
        <v>1070.2632901740039</v>
      </c>
      <c r="E109" s="124">
        <v>46.192451477050781</v>
      </c>
      <c r="F109" s="125">
        <v>12.598858069020126</v>
      </c>
      <c r="G109" s="126">
        <v>2.3246695995330811</v>
      </c>
      <c r="H109" s="127">
        <f>HLOOKUP('Operational Worksheet'!E109,$B$773:$U$775,3)</f>
        <v>6.3000000000000007</v>
      </c>
      <c r="I109" s="127">
        <f t="shared" si="53"/>
        <v>1.522989730625063</v>
      </c>
      <c r="J109" s="127">
        <f t="shared" si="54"/>
        <v>28.252169016029988</v>
      </c>
      <c r="K109" s="127">
        <f t="shared" si="80"/>
        <v>3.5404479271851601</v>
      </c>
      <c r="L109" s="127">
        <f t="shared" si="80"/>
        <v>65.676958432435356</v>
      </c>
      <c r="M109" s="127">
        <f t="shared" si="81"/>
        <v>69.217406359620512</v>
      </c>
      <c r="N109" s="128">
        <f t="shared" si="82"/>
        <v>10.986889898352461</v>
      </c>
      <c r="O109" s="129" t="str">
        <f t="shared" si="55"/>
        <v>OK</v>
      </c>
    </row>
    <row r="110" spans="1:15" ht="14.25" customHeight="1" x14ac:dyDescent="0.25">
      <c r="A110" s="120" t="str">
        <f>IF(N110=MIN(N105:N128),1,"")</f>
        <v/>
      </c>
      <c r="B110" s="121">
        <f t="shared" si="83"/>
        <v>42313.208333333321</v>
      </c>
      <c r="C110" s="122">
        <f t="shared" si="85"/>
        <v>5</v>
      </c>
      <c r="D110" s="123">
        <v>1075.6379517448763</v>
      </c>
      <c r="E110" s="124">
        <v>46.192451477050781</v>
      </c>
      <c r="F110" s="125">
        <v>12.605265925434352</v>
      </c>
      <c r="G110" s="126">
        <v>2.2493324279785156</v>
      </c>
      <c r="H110" s="127">
        <f>HLOOKUP('Operational Worksheet'!E110,$B$773:$U$775,3)</f>
        <v>6.3000000000000007</v>
      </c>
      <c r="I110" s="128">
        <f t="shared" si="53"/>
        <v>1.5153797775132885</v>
      </c>
      <c r="J110" s="127">
        <f t="shared" si="54"/>
        <v>28.125298267848656</v>
      </c>
      <c r="K110" s="127">
        <f>I110*$G110</f>
        <v>3.4085928742635079</v>
      </c>
      <c r="L110" s="127">
        <f>J110*$G110</f>
        <v>63.263145440439956</v>
      </c>
      <c r="M110" s="127">
        <f>K110+L110</f>
        <v>66.671738314703461</v>
      </c>
      <c r="N110" s="128">
        <f t="shared" si="82"/>
        <v>10.582815605508484</v>
      </c>
      <c r="O110" s="129" t="str">
        <f t="shared" si="55"/>
        <v>OK</v>
      </c>
    </row>
    <row r="111" spans="1:15" ht="14.25" customHeight="1" x14ac:dyDescent="0.25">
      <c r="A111" s="120" t="str">
        <f>IF(N111=MIN(N105:N128),1,"")</f>
        <v/>
      </c>
      <c r="B111" s="121">
        <f t="shared" si="83"/>
        <v>42313.249999999985</v>
      </c>
      <c r="C111" s="122">
        <f>DAY(B111)</f>
        <v>5</v>
      </c>
      <c r="D111" s="123">
        <v>1067.3114364798589</v>
      </c>
      <c r="E111" s="124">
        <v>45.877575279228068</v>
      </c>
      <c r="F111" s="125">
        <v>12.60223018915681</v>
      </c>
      <c r="G111" s="126">
        <v>2.2493324279785156</v>
      </c>
      <c r="H111" s="127">
        <f>HLOOKUP('Operational Worksheet'!E111,$B$773:$U$775,3)</f>
        <v>6.3000000000000007</v>
      </c>
      <c r="I111" s="127">
        <f t="shared" si="53"/>
        <v>1.5272018497018696</v>
      </c>
      <c r="J111" s="127">
        <f t="shared" si="54"/>
        <v>28.33788847398629</v>
      </c>
      <c r="K111" s="127">
        <f>I111*$G111</f>
        <v>3.4351846446031864</v>
      </c>
      <c r="L111" s="127">
        <f>J111*$G111</f>
        <v>63.741331484975973</v>
      </c>
      <c r="M111" s="127">
        <f>K111+L111</f>
        <v>67.176516129579156</v>
      </c>
      <c r="N111" s="128">
        <f>IF(D111&gt;0,M111/H111,"PO")</f>
        <v>10.662939068187166</v>
      </c>
      <c r="O111" s="129" t="str">
        <f t="shared" si="55"/>
        <v>OK</v>
      </c>
    </row>
    <row r="112" spans="1:15" ht="14.25" customHeight="1" x14ac:dyDescent="0.25">
      <c r="A112" s="120" t="str">
        <f>IF(N112=MIN(N105:N128),1,"")</f>
        <v/>
      </c>
      <c r="B112" s="121">
        <f t="shared" si="83"/>
        <v>42313.29166666665</v>
      </c>
      <c r="C112" s="122">
        <f t="shared" ref="C112:C116" si="86">DAY(B112)</f>
        <v>5</v>
      </c>
      <c r="D112" s="123">
        <v>1067.6402184708802</v>
      </c>
      <c r="E112" s="124">
        <v>45.796730041503906</v>
      </c>
      <c r="F112" s="125">
        <v>12.603659583796478</v>
      </c>
      <c r="G112" s="126">
        <v>2.2562882900238037</v>
      </c>
      <c r="H112" s="127">
        <f>HLOOKUP('Operational Worksheet'!E112,$B$773:$U$775,3)</f>
        <v>6.3000000000000007</v>
      </c>
      <c r="I112" s="127">
        <f t="shared" si="53"/>
        <v>1.526731544765666</v>
      </c>
      <c r="J112" s="127">
        <f t="shared" si="54"/>
        <v>28.332374968446899</v>
      </c>
      <c r="K112" s="127">
        <f t="shared" ref="K112:L115" si="87">I112*$G112</f>
        <v>3.4447465064647247</v>
      </c>
      <c r="L112" s="127">
        <f t="shared" si="87"/>
        <v>63.926005869870274</v>
      </c>
      <c r="M112" s="127">
        <f t="shared" ref="M112:M115" si="88">K112+L112</f>
        <v>67.370752376334991</v>
      </c>
      <c r="N112" s="128">
        <f t="shared" ref="N112:N116" si="89">IF(D112&gt;0,M112/H112,"PO")</f>
        <v>10.69377021846587</v>
      </c>
      <c r="O112" s="129" t="str">
        <f t="shared" si="55"/>
        <v>OK</v>
      </c>
    </row>
    <row r="113" spans="1:15" ht="14.25" customHeight="1" x14ac:dyDescent="0.25">
      <c r="A113" s="120" t="str">
        <f>IF(N113=MIN(N105:N128),1,"")</f>
        <v/>
      </c>
      <c r="B113" s="121">
        <f t="shared" si="83"/>
        <v>42313.333333333314</v>
      </c>
      <c r="C113" s="122">
        <f t="shared" si="86"/>
        <v>5</v>
      </c>
      <c r="D113" s="123">
        <v>1072.4366556335549</v>
      </c>
      <c r="E113" s="124">
        <v>45.796730041503906</v>
      </c>
      <c r="F113" s="125">
        <v>12.607121131160682</v>
      </c>
      <c r="G113" s="126">
        <v>2.2562882900238037</v>
      </c>
      <c r="H113" s="127">
        <f>HLOOKUP('Operational Worksheet'!E113,$B$773:$U$775,3)</f>
        <v>6.3000000000000007</v>
      </c>
      <c r="I113" s="127">
        <f t="shared" si="53"/>
        <v>1.5199032888679638</v>
      </c>
      <c r="J113" s="127">
        <f t="shared" si="54"/>
        <v>28.213405944158907</v>
      </c>
      <c r="K113" s="127">
        <f t="shared" si="87"/>
        <v>3.4293399926414532</v>
      </c>
      <c r="L113" s="127">
        <f t="shared" si="87"/>
        <v>63.657577453493722</v>
      </c>
      <c r="M113" s="127">
        <f t="shared" si="88"/>
        <v>67.086917446135175</v>
      </c>
      <c r="N113" s="128">
        <f t="shared" si="89"/>
        <v>10.64871705494209</v>
      </c>
      <c r="O113" s="129" t="str">
        <f t="shared" si="55"/>
        <v>OK</v>
      </c>
    </row>
    <row r="114" spans="1:15" ht="14.25" customHeight="1" x14ac:dyDescent="0.25">
      <c r="A114" s="120" t="str">
        <f>IF(N114=MIN(N105:N128),1,"")</f>
        <v/>
      </c>
      <c r="B114" s="121">
        <f t="shared" si="83"/>
        <v>42313.374999999978</v>
      </c>
      <c r="C114" s="122">
        <f t="shared" si="86"/>
        <v>5</v>
      </c>
      <c r="D114" s="123">
        <v>1071.7566095866862</v>
      </c>
      <c r="E114" s="124">
        <v>45.796730041503906</v>
      </c>
      <c r="F114" s="125">
        <v>12.608880156511468</v>
      </c>
      <c r="G114" s="126">
        <v>2.2562882900238037</v>
      </c>
      <c r="H114" s="127">
        <f>HLOOKUP('Operational Worksheet'!E114,$B$773:$U$775,3)</f>
        <v>6.3000000000000007</v>
      </c>
      <c r="I114" s="127">
        <f t="shared" si="53"/>
        <v>1.5208676908730199</v>
      </c>
      <c r="J114" s="127">
        <f t="shared" si="54"/>
        <v>28.23524679479004</v>
      </c>
      <c r="K114" s="127">
        <f t="shared" si="87"/>
        <v>3.431515961592337</v>
      </c>
      <c r="L114" s="127">
        <f t="shared" si="87"/>
        <v>63.706856709016904</v>
      </c>
      <c r="M114" s="127">
        <f t="shared" si="88"/>
        <v>67.138372670609243</v>
      </c>
      <c r="N114" s="128">
        <f t="shared" si="89"/>
        <v>10.656884550890355</v>
      </c>
      <c r="O114" s="129" t="str">
        <f t="shared" si="55"/>
        <v>OK</v>
      </c>
    </row>
    <row r="115" spans="1:15" ht="14.25" customHeight="1" x14ac:dyDescent="0.25">
      <c r="A115" s="120" t="str">
        <f>IF(N115=MIN(N105:N128),1,"")</f>
        <v/>
      </c>
      <c r="B115" s="121">
        <f t="shared" si="83"/>
        <v>42313.416666666642</v>
      </c>
      <c r="C115" s="122">
        <f t="shared" si="86"/>
        <v>5</v>
      </c>
      <c r="D115" s="123">
        <v>1071.1764765619948</v>
      </c>
      <c r="E115" s="124">
        <v>45.796730041503906</v>
      </c>
      <c r="F115" s="125">
        <v>12.608434832163255</v>
      </c>
      <c r="G115" s="126">
        <v>2.2562882900238037</v>
      </c>
      <c r="H115" s="127">
        <f>HLOOKUP('Operational Worksheet'!E115,$B$773:$U$775,3)</f>
        <v>6.3000000000000007</v>
      </c>
      <c r="I115" s="127">
        <f t="shared" si="53"/>
        <v>1.521691369877336</v>
      </c>
      <c r="J115" s="127">
        <f t="shared" si="54"/>
        <v>28.249540817320668</v>
      </c>
      <c r="K115" s="127">
        <f t="shared" si="87"/>
        <v>3.4333744188845139</v>
      </c>
      <c r="L115" s="127">
        <f t="shared" si="87"/>
        <v>63.739108144670098</v>
      </c>
      <c r="M115" s="127">
        <f t="shared" si="88"/>
        <v>67.17248256355461</v>
      </c>
      <c r="N115" s="128">
        <f t="shared" si="89"/>
        <v>10.662298819611841</v>
      </c>
      <c r="O115" s="129" t="str">
        <f t="shared" si="55"/>
        <v>OK</v>
      </c>
    </row>
    <row r="116" spans="1:15" ht="14.25" customHeight="1" x14ac:dyDescent="0.25">
      <c r="A116" s="120" t="str">
        <f>IF(N116=MIN(N105:N128),1,"")</f>
        <v/>
      </c>
      <c r="B116" s="121">
        <f t="shared" si="83"/>
        <v>42313.458333333307</v>
      </c>
      <c r="C116" s="122">
        <f t="shared" si="86"/>
        <v>5</v>
      </c>
      <c r="D116" s="123">
        <v>1076.9743513510582</v>
      </c>
      <c r="E116" s="124">
        <v>45.762712946491554</v>
      </c>
      <c r="F116" s="125">
        <v>12.610141604762498</v>
      </c>
      <c r="G116" s="126">
        <v>2.2562882900238037</v>
      </c>
      <c r="H116" s="127">
        <f>HLOOKUP('Operational Worksheet'!E116,$B$773:$U$775,3)</f>
        <v>6.3000000000000007</v>
      </c>
      <c r="I116" s="128">
        <f t="shared" si="53"/>
        <v>1.5134993678866857</v>
      </c>
      <c r="J116" s="127">
        <f t="shared" si="54"/>
        <v>28.101263334139347</v>
      </c>
      <c r="K116" s="127">
        <f>I116*$G116</f>
        <v>3.4148909007211579</v>
      </c>
      <c r="L116" s="127">
        <f>J116*$G116</f>
        <v>63.404551395693879</v>
      </c>
      <c r="M116" s="127">
        <f>K116+L116</f>
        <v>66.819442296415033</v>
      </c>
      <c r="N116" s="128">
        <f t="shared" si="89"/>
        <v>10.606260681970639</v>
      </c>
      <c r="O116" s="129" t="str">
        <f t="shared" si="55"/>
        <v>OK</v>
      </c>
    </row>
    <row r="117" spans="1:15" ht="14.25" customHeight="1" x14ac:dyDescent="0.25">
      <c r="A117" s="120" t="str">
        <f>IF(N117=MIN(N105:N128),1,"")</f>
        <v/>
      </c>
      <c r="B117" s="121">
        <f t="shared" si="83"/>
        <v>42313.499999999971</v>
      </c>
      <c r="C117" s="122">
        <f>DAY(B117)</f>
        <v>5</v>
      </c>
      <c r="D117" s="123">
        <v>1065.3580674140167</v>
      </c>
      <c r="E117" s="124">
        <v>45.747264862060547</v>
      </c>
      <c r="F117" s="125">
        <v>12.605507099761327</v>
      </c>
      <c r="G117" s="126">
        <v>2.2562882900238037</v>
      </c>
      <c r="H117" s="127">
        <f>HLOOKUP('Operational Worksheet'!E117,$B$773:$U$775,3)</f>
        <v>6.3000000000000007</v>
      </c>
      <c r="I117" s="127">
        <f t="shared" si="53"/>
        <v>1.5300020245367454</v>
      </c>
      <c r="J117" s="127">
        <f t="shared" si="54"/>
        <v>28.397229030106232</v>
      </c>
      <c r="K117" s="127">
        <f>I117*$G117</f>
        <v>3.452125651674971</v>
      </c>
      <c r="L117" s="127">
        <f>J117*$G117</f>
        <v>64.072335329752704</v>
      </c>
      <c r="M117" s="127">
        <f>K117+L117</f>
        <v>67.52446098142768</v>
      </c>
      <c r="N117" s="128">
        <f>IF(D117&gt;0,M117/H117,"PO")</f>
        <v>10.718168409750424</v>
      </c>
      <c r="O117" s="129" t="str">
        <f t="shared" si="55"/>
        <v>OK</v>
      </c>
    </row>
    <row r="118" spans="1:15" ht="14.25" customHeight="1" x14ac:dyDescent="0.25">
      <c r="A118" s="120" t="str">
        <f>IF(N118=MIN(N105:N128),1,"")</f>
        <v/>
      </c>
      <c r="B118" s="121">
        <f t="shared" si="83"/>
        <v>42313.541666666635</v>
      </c>
      <c r="C118" s="122">
        <f t="shared" ref="C118:C122" si="90">DAY(B118)</f>
        <v>5</v>
      </c>
      <c r="D118" s="123">
        <v>1071.3447710743437</v>
      </c>
      <c r="E118" s="124">
        <v>45.790726695328068</v>
      </c>
      <c r="F118" s="125">
        <v>12.614600581793924</v>
      </c>
      <c r="G118" s="126">
        <v>2.2562882900238037</v>
      </c>
      <c r="H118" s="127">
        <f>HLOOKUP('Operational Worksheet'!E118,$B$773:$U$775,3)</f>
        <v>6.3000000000000007</v>
      </c>
      <c r="I118" s="127">
        <f t="shared" si="53"/>
        <v>1.5214523316947142</v>
      </c>
      <c r="J118" s="127">
        <f t="shared" si="54"/>
        <v>28.25891553654164</v>
      </c>
      <c r="K118" s="127">
        <f t="shared" ref="K118:L121" si="91">I118*$G118</f>
        <v>3.4328350798321958</v>
      </c>
      <c r="L118" s="127">
        <f t="shared" si="91"/>
        <v>63.760260213870637</v>
      </c>
      <c r="M118" s="127">
        <f t="shared" ref="M118:M121" si="92">K118+L118</f>
        <v>67.193095293702839</v>
      </c>
      <c r="N118" s="128">
        <f t="shared" ref="N118:N122" si="93">IF(D118&gt;0,M118/H118,"PO")</f>
        <v>10.665570681540132</v>
      </c>
      <c r="O118" s="129" t="str">
        <f t="shared" si="55"/>
        <v>OK</v>
      </c>
    </row>
    <row r="119" spans="1:15" ht="14.25" customHeight="1" x14ac:dyDescent="0.25">
      <c r="A119" s="120" t="str">
        <f>IF(N119=MIN(N105:N128),1,"")</f>
        <v/>
      </c>
      <c r="B119" s="121">
        <f t="shared" si="83"/>
        <v>42313.583333333299</v>
      </c>
      <c r="C119" s="122">
        <f t="shared" si="90"/>
        <v>5</v>
      </c>
      <c r="D119" s="123">
        <v>1068.8646780534607</v>
      </c>
      <c r="E119" s="124">
        <v>46.029922485351563</v>
      </c>
      <c r="F119" s="125">
        <v>12.609084000153096</v>
      </c>
      <c r="G119" s="126">
        <v>2.1049714088439941</v>
      </c>
      <c r="H119" s="127">
        <f>HLOOKUP('Operational Worksheet'!E119,$B$773:$U$775,3)</f>
        <v>6.3000000000000007</v>
      </c>
      <c r="I119" s="127">
        <f t="shared" si="53"/>
        <v>1.5249825665194947</v>
      </c>
      <c r="J119" s="127">
        <f t="shared" si="54"/>
        <v>28.312098081001274</v>
      </c>
      <c r="K119" s="127">
        <f t="shared" si="91"/>
        <v>3.2100447015090707</v>
      </c>
      <c r="L119" s="127">
        <f t="shared" si="91"/>
        <v>59.596156984894591</v>
      </c>
      <c r="M119" s="127">
        <f t="shared" si="92"/>
        <v>62.806201686403661</v>
      </c>
      <c r="N119" s="128">
        <f t="shared" si="93"/>
        <v>9.9692383629212156</v>
      </c>
      <c r="O119" s="129" t="str">
        <f t="shared" si="55"/>
        <v>OK</v>
      </c>
    </row>
    <row r="120" spans="1:15" ht="14.25" customHeight="1" x14ac:dyDescent="0.25">
      <c r="A120" s="120" t="str">
        <f>IF(N120=MIN(N105:N128),1,"")</f>
        <v/>
      </c>
      <c r="B120" s="121">
        <f t="shared" si="83"/>
        <v>42313.624999999964</v>
      </c>
      <c r="C120" s="122">
        <f t="shared" si="90"/>
        <v>5</v>
      </c>
      <c r="D120" s="123">
        <v>1072.1978212390659</v>
      </c>
      <c r="E120" s="124">
        <v>46.029922485351563</v>
      </c>
      <c r="F120" s="125">
        <v>12.606120379453815</v>
      </c>
      <c r="G120" s="126">
        <v>2.1049714088439941</v>
      </c>
      <c r="H120" s="127">
        <f>HLOOKUP('Operational Worksheet'!E120,$B$773:$U$775,3)</f>
        <v>6.3000000000000007</v>
      </c>
      <c r="I120" s="127">
        <f t="shared" si="53"/>
        <v>1.5202418506281987</v>
      </c>
      <c r="J120" s="127">
        <f t="shared" si="54"/>
        <v>28.217450466114428</v>
      </c>
      <c r="K120" s="127">
        <f t="shared" si="91"/>
        <v>3.2000656301004402</v>
      </c>
      <c r="L120" s="127">
        <f t="shared" si="91"/>
        <v>59.396926461642508</v>
      </c>
      <c r="M120" s="127">
        <f t="shared" si="92"/>
        <v>62.596992091742948</v>
      </c>
      <c r="N120" s="128">
        <f t="shared" si="93"/>
        <v>9.9360304907528469</v>
      </c>
      <c r="O120" s="129" t="str">
        <f t="shared" si="55"/>
        <v>OK</v>
      </c>
    </row>
    <row r="121" spans="1:15" ht="14.25" customHeight="1" x14ac:dyDescent="0.25">
      <c r="A121" s="120" t="str">
        <f>IF(N121=MIN(N105:N128),1,"")</f>
        <v/>
      </c>
      <c r="B121" s="121">
        <f t="shared" si="83"/>
        <v>42313.666666666628</v>
      </c>
      <c r="C121" s="122">
        <f t="shared" si="90"/>
        <v>5</v>
      </c>
      <c r="D121" s="123">
        <v>1072.681824623126</v>
      </c>
      <c r="E121" s="124">
        <v>46.029922485351563</v>
      </c>
      <c r="F121" s="125">
        <v>12.609415107414213</v>
      </c>
      <c r="G121" s="126">
        <v>2.1049714088439941</v>
      </c>
      <c r="H121" s="127">
        <f>HLOOKUP('Operational Worksheet'!E121,$B$773:$U$775,3)</f>
        <v>6.3000000000000007</v>
      </c>
      <c r="I121" s="127">
        <f t="shared" si="53"/>
        <v>1.5195559042614348</v>
      </c>
      <c r="J121" s="127">
        <f t="shared" si="54"/>
        <v>28.212090074730703</v>
      </c>
      <c r="K121" s="127">
        <f t="shared" si="91"/>
        <v>3.1986217326104018</v>
      </c>
      <c r="L121" s="127">
        <f t="shared" si="91"/>
        <v>59.385642991039553</v>
      </c>
      <c r="M121" s="127">
        <f t="shared" si="92"/>
        <v>62.584264723649952</v>
      </c>
      <c r="N121" s="128">
        <f t="shared" si="93"/>
        <v>9.9340102735952289</v>
      </c>
      <c r="O121" s="129" t="str">
        <f t="shared" si="55"/>
        <v>OK</v>
      </c>
    </row>
    <row r="122" spans="1:15" ht="14.25" customHeight="1" x14ac:dyDescent="0.25">
      <c r="A122" s="120" t="str">
        <f>IF(N122=MIN(N105:N128),1,"")</f>
        <v/>
      </c>
      <c r="B122" s="121">
        <f t="shared" si="83"/>
        <v>42313.708333333292</v>
      </c>
      <c r="C122" s="122">
        <f t="shared" si="90"/>
        <v>5</v>
      </c>
      <c r="D122" s="123">
        <v>1072.0422575868481</v>
      </c>
      <c r="E122" s="124">
        <v>46.029922485351563</v>
      </c>
      <c r="F122" s="125">
        <v>12.608937908588201</v>
      </c>
      <c r="G122" s="126">
        <v>2.1049714088439941</v>
      </c>
      <c r="H122" s="127">
        <f>HLOOKUP('Operational Worksheet'!E122,$B$773:$U$775,3)</f>
        <v>6.3000000000000007</v>
      </c>
      <c r="I122" s="128">
        <f t="shared" si="53"/>
        <v>1.5204624523562222</v>
      </c>
      <c r="J122" s="127">
        <f t="shared" si="54"/>
        <v>28.227852742232177</v>
      </c>
      <c r="K122" s="127">
        <f>I122*$G122</f>
        <v>3.2005299904306717</v>
      </c>
      <c r="L122" s="127">
        <f>J122*$G122</f>
        <v>59.418822955457266</v>
      </c>
      <c r="M122" s="127">
        <f>K122+L122</f>
        <v>62.61935294588794</v>
      </c>
      <c r="N122" s="128">
        <f t="shared" si="93"/>
        <v>9.9395798326806251</v>
      </c>
      <c r="O122" s="129" t="str">
        <f t="shared" si="55"/>
        <v>OK</v>
      </c>
    </row>
    <row r="123" spans="1:15" ht="14.25" customHeight="1" x14ac:dyDescent="0.25">
      <c r="A123" s="120">
        <f>IF(N123=MIN(N105:N128),1,"")</f>
        <v>1</v>
      </c>
      <c r="B123" s="121">
        <f>B122+1/24</f>
        <v>42313.749999999956</v>
      </c>
      <c r="C123" s="122">
        <f>DAY(B123)</f>
        <v>5</v>
      </c>
      <c r="D123" s="123">
        <v>1074.7452086357318</v>
      </c>
      <c r="E123" s="124">
        <v>46.029922485351563</v>
      </c>
      <c r="F123" s="125">
        <v>12.605204320203477</v>
      </c>
      <c r="G123" s="126">
        <v>2.1049714088439941</v>
      </c>
      <c r="H123" s="127">
        <f>HLOOKUP('Operational Worksheet'!E123,$B$773:$U$775,3)</f>
        <v>6.3000000000000007</v>
      </c>
      <c r="I123" s="127">
        <f t="shared" si="53"/>
        <v>1.5166385361876622</v>
      </c>
      <c r="J123" s="127">
        <f t="shared" si="54"/>
        <v>28.148523134046329</v>
      </c>
      <c r="K123" s="127">
        <f>I123*$G123</f>
        <v>3.1924807562260362</v>
      </c>
      <c r="L123" s="127">
        <f>J123*$G123</f>
        <v>59.251836398351259</v>
      </c>
      <c r="M123" s="127">
        <f>K123+L123</f>
        <v>62.444317154577291</v>
      </c>
      <c r="N123" s="128">
        <f>IF(D123&gt;0,M123/H123,"PO")</f>
        <v>9.9117963737424262</v>
      </c>
      <c r="O123" s="129" t="str">
        <f t="shared" si="55"/>
        <v>OK</v>
      </c>
    </row>
    <row r="124" spans="1:15" ht="14.25" customHeight="1" x14ac:dyDescent="0.25">
      <c r="A124" s="120" t="str">
        <f>IF(N124=MIN(N105:N128),1,"")</f>
        <v/>
      </c>
      <c r="B124" s="121">
        <f t="shared" ref="B124:B128" si="94">B123+1/24</f>
        <v>42313.791666666621</v>
      </c>
      <c r="C124" s="122">
        <f t="shared" ref="C124:C128" si="95">DAY(B124)</f>
        <v>5</v>
      </c>
      <c r="D124" s="123">
        <v>1067.8647099507336</v>
      </c>
      <c r="E124" s="124">
        <v>46.029922485351563</v>
      </c>
      <c r="F124" s="125">
        <v>12.608091070109529</v>
      </c>
      <c r="G124" s="126">
        <v>2.1049714088439941</v>
      </c>
      <c r="H124" s="127">
        <f>HLOOKUP('Operational Worksheet'!E124,$B$773:$U$775,3)</f>
        <v>6.3000000000000007</v>
      </c>
      <c r="I124" s="127">
        <f t="shared" si="53"/>
        <v>1.5264105881682342</v>
      </c>
      <c r="J124" s="127">
        <f t="shared" si="54"/>
        <v>28.336378462828776</v>
      </c>
      <c r="K124" s="127">
        <f t="shared" ref="K124:L127" si="96">I124*$G124</f>
        <v>3.2130506462508777</v>
      </c>
      <c r="L124" s="127">
        <f t="shared" si="96"/>
        <v>59.647266494437304</v>
      </c>
      <c r="M124" s="127">
        <f t="shared" ref="M124:M127" si="97">K124+L124</f>
        <v>62.860317140688181</v>
      </c>
      <c r="N124" s="128">
        <f t="shared" ref="N124:N128" si="98">IF(D124&gt;0,M124/H124,"PO")</f>
        <v>9.9778281175695511</v>
      </c>
      <c r="O124" s="129" t="str">
        <f t="shared" si="55"/>
        <v>OK</v>
      </c>
    </row>
    <row r="125" spans="1:15" ht="14.25" customHeight="1" x14ac:dyDescent="0.25">
      <c r="A125" s="120" t="str">
        <f>IF(N125=MIN(N105:N128),1,"")</f>
        <v/>
      </c>
      <c r="B125" s="121">
        <f t="shared" si="94"/>
        <v>42313.833333333285</v>
      </c>
      <c r="C125" s="122">
        <f t="shared" si="95"/>
        <v>5</v>
      </c>
      <c r="D125" s="123">
        <v>1070.0454607135507</v>
      </c>
      <c r="E125" s="124">
        <v>46.029922485351563</v>
      </c>
      <c r="F125" s="125">
        <v>12.601449180112981</v>
      </c>
      <c r="G125" s="126">
        <v>2.1049714088439941</v>
      </c>
      <c r="H125" s="127">
        <f>HLOOKUP('Operational Worksheet'!E125,$B$773:$U$775,3)</f>
        <v>6.3000000000000007</v>
      </c>
      <c r="I125" s="127">
        <f t="shared" si="53"/>
        <v>1.5232997660800769</v>
      </c>
      <c r="J125" s="127">
        <f t="shared" si="54"/>
        <v>28.263731909206498</v>
      </c>
      <c r="K125" s="127">
        <f t="shared" si="96"/>
        <v>3.206502454697306</v>
      </c>
      <c r="L125" s="127">
        <f t="shared" si="96"/>
        <v>59.494347576111352</v>
      </c>
      <c r="M125" s="127">
        <f t="shared" si="97"/>
        <v>62.70085003080866</v>
      </c>
      <c r="N125" s="128">
        <f t="shared" si="98"/>
        <v>9.9525158779061353</v>
      </c>
      <c r="O125" s="129" t="str">
        <f t="shared" si="55"/>
        <v>OK</v>
      </c>
    </row>
    <row r="126" spans="1:15" ht="14.25" customHeight="1" x14ac:dyDescent="0.25">
      <c r="A126" s="120" t="str">
        <f>IF(N126=MIN(N105:N128),1,"")</f>
        <v/>
      </c>
      <c r="B126" s="121">
        <f t="shared" si="94"/>
        <v>42313.874999999949</v>
      </c>
      <c r="C126" s="122">
        <f t="shared" si="95"/>
        <v>5</v>
      </c>
      <c r="D126" s="123">
        <v>1069.961739667797</v>
      </c>
      <c r="E126" s="124">
        <v>45.791389486115918</v>
      </c>
      <c r="F126" s="125">
        <v>12.604496242092203</v>
      </c>
      <c r="G126" s="126">
        <v>2.1049714088439941</v>
      </c>
      <c r="H126" s="127">
        <f>HLOOKUP('Operational Worksheet'!E126,$B$773:$U$775,3)</f>
        <v>6.3000000000000007</v>
      </c>
      <c r="I126" s="127">
        <f t="shared" si="53"/>
        <v>1.5234189593602518</v>
      </c>
      <c r="J126" s="127">
        <f t="shared" si="54"/>
        <v>28.27277823075579</v>
      </c>
      <c r="K126" s="127">
        <f t="shared" si="96"/>
        <v>3.206753353144201</v>
      </c>
      <c r="L126" s="127">
        <f t="shared" si="96"/>
        <v>59.513389824327824</v>
      </c>
      <c r="M126" s="127">
        <f t="shared" si="97"/>
        <v>62.720143177472025</v>
      </c>
      <c r="N126" s="128">
        <f t="shared" si="98"/>
        <v>9.9555782821384149</v>
      </c>
      <c r="O126" s="129" t="str">
        <f t="shared" si="55"/>
        <v>OK</v>
      </c>
    </row>
    <row r="127" spans="1:15" ht="14.25" customHeight="1" x14ac:dyDescent="0.25">
      <c r="A127" s="120" t="str">
        <f>IF(N127=MIN(N105:N128),1,"")</f>
        <v/>
      </c>
      <c r="B127" s="121">
        <f t="shared" si="94"/>
        <v>42313.916666666613</v>
      </c>
      <c r="C127" s="122">
        <f t="shared" si="95"/>
        <v>5</v>
      </c>
      <c r="D127" s="123">
        <v>1075.9934265576958</v>
      </c>
      <c r="E127" s="124">
        <v>44.602493286132812</v>
      </c>
      <c r="F127" s="125">
        <v>12.614715543351426</v>
      </c>
      <c r="G127" s="126">
        <v>2.3041229248046875</v>
      </c>
      <c r="H127" s="127">
        <f>HLOOKUP('Operational Worksheet'!E127,$B$773:$U$775,3)</f>
        <v>6.3000000000000007</v>
      </c>
      <c r="I127" s="127">
        <f t="shared" si="53"/>
        <v>1.514879143095395</v>
      </c>
      <c r="J127" s="127">
        <f t="shared" si="54"/>
        <v>28.137083886190485</v>
      </c>
      <c r="K127" s="127">
        <f t="shared" si="96"/>
        <v>3.4904677619145801</v>
      </c>
      <c r="L127" s="127">
        <f t="shared" si="96"/>
        <v>64.831300019324061</v>
      </c>
      <c r="M127" s="127">
        <f t="shared" si="97"/>
        <v>68.321767781238634</v>
      </c>
      <c r="N127" s="128">
        <f t="shared" si="98"/>
        <v>10.844725044641052</v>
      </c>
      <c r="O127" s="129" t="str">
        <f t="shared" si="55"/>
        <v>OK</v>
      </c>
    </row>
    <row r="128" spans="1:15" ht="14.25" customHeight="1" x14ac:dyDescent="0.25">
      <c r="A128" s="130" t="str">
        <f>IF(N128=MIN(N105:N128),1,"")</f>
        <v/>
      </c>
      <c r="B128" s="131">
        <f t="shared" si="94"/>
        <v>42313.958333333278</v>
      </c>
      <c r="C128" s="132">
        <f t="shared" si="95"/>
        <v>5</v>
      </c>
      <c r="D128" s="123">
        <v>1073.417644751336</v>
      </c>
      <c r="E128" s="124">
        <v>44.602493286132812</v>
      </c>
      <c r="F128" s="125">
        <v>12.600729544940654</v>
      </c>
      <c r="G128" s="126">
        <v>2.3041229248046875</v>
      </c>
      <c r="H128" s="133">
        <f>HLOOKUP('Operational Worksheet'!E128,$B$773:$U$775,3)</f>
        <v>6.3000000000000007</v>
      </c>
      <c r="I128" s="134">
        <f t="shared" si="53"/>
        <v>1.5185142595430317</v>
      </c>
      <c r="J128" s="133">
        <f t="shared" si="54"/>
        <v>28.17333128044794</v>
      </c>
      <c r="K128" s="133">
        <f>I128*$G128</f>
        <v>3.4988435170559145</v>
      </c>
      <c r="L128" s="133">
        <f>J128*$G128</f>
        <v>64.914818471397098</v>
      </c>
      <c r="M128" s="133">
        <f>K128+L128</f>
        <v>68.413661988453015</v>
      </c>
      <c r="N128" s="134">
        <f t="shared" si="98"/>
        <v>10.859311426738573</v>
      </c>
      <c r="O128" s="135" t="str">
        <f t="shared" si="55"/>
        <v>OK</v>
      </c>
    </row>
    <row r="129" spans="1:15" ht="14.25" customHeight="1" x14ac:dyDescent="0.25">
      <c r="A129" s="110" t="str">
        <f>IF(N129=MIN(N129:N152),1,"")</f>
        <v/>
      </c>
      <c r="B129" s="111">
        <f>'[1]Turbidity Daily Data Sheet'!B21</f>
        <v>42314</v>
      </c>
      <c r="C129" s="112">
        <f>DAY(B129)</f>
        <v>6</v>
      </c>
      <c r="D129" s="123">
        <v>1070.0499058292437</v>
      </c>
      <c r="E129" s="124">
        <v>44.602493286132812</v>
      </c>
      <c r="F129" s="125">
        <v>12.608386173445764</v>
      </c>
      <c r="G129" s="126">
        <v>2.3041229248046875</v>
      </c>
      <c r="H129" s="117">
        <f>HLOOKUP('Operational Worksheet'!E129,$B$773:$U$775,3)</f>
        <v>6.3000000000000007</v>
      </c>
      <c r="I129" s="117">
        <f t="shared" si="53"/>
        <v>1.5232934381100838</v>
      </c>
      <c r="J129" s="117">
        <f t="shared" si="54"/>
        <v>28.279173383805407</v>
      </c>
      <c r="K129" s="117">
        <f>I129*$G129</f>
        <v>3.5098553319539945</v>
      </c>
      <c r="L129" s="117">
        <f>J129*$G129</f>
        <v>65.158691688152587</v>
      </c>
      <c r="M129" s="117">
        <f>K129+L129</f>
        <v>68.668547020106587</v>
      </c>
      <c r="N129" s="118">
        <f>IF(D129&gt;0,M129/H129,"PO")</f>
        <v>10.899769368270885</v>
      </c>
      <c r="O129" s="119" t="str">
        <f t="shared" si="55"/>
        <v>OK</v>
      </c>
    </row>
    <row r="130" spans="1:15" ht="14.25" customHeight="1" x14ac:dyDescent="0.25">
      <c r="A130" s="120" t="str">
        <f>IF(N130=MIN(N129:N152),1,"")</f>
        <v/>
      </c>
      <c r="B130" s="121">
        <f>B129+1/24</f>
        <v>42314.041666666664</v>
      </c>
      <c r="C130" s="122">
        <f>DAY(B130)</f>
        <v>6</v>
      </c>
      <c r="D130" s="123">
        <v>1063.9733078821735</v>
      </c>
      <c r="E130" s="124">
        <v>44.602493286132812</v>
      </c>
      <c r="F130" s="125">
        <v>12.613928722508049</v>
      </c>
      <c r="G130" s="126">
        <v>2.3041229248046875</v>
      </c>
      <c r="H130" s="127">
        <f>HLOOKUP('Operational Worksheet'!E130,$B$773:$U$775,3)</f>
        <v>6.3000000000000007</v>
      </c>
      <c r="I130" s="127">
        <f t="shared" si="53"/>
        <v>1.5319933196862767</v>
      </c>
      <c r="J130" s="127">
        <f t="shared" si="54"/>
        <v>28.453184595653276</v>
      </c>
      <c r="K130" s="127">
        <f t="shared" ref="K130:L133" si="99">I130*$G130</f>
        <v>3.5299009285367866</v>
      </c>
      <c r="L130" s="127">
        <f t="shared" si="99"/>
        <v>65.559634910544304</v>
      </c>
      <c r="M130" s="127">
        <f t="shared" ref="M130:M133" si="100">K130+L130</f>
        <v>69.089535839081094</v>
      </c>
      <c r="N130" s="128">
        <f t="shared" ref="N130:N134" si="101">IF(D130&gt;0,M130/H130,"PO")</f>
        <v>10.966592990330332</v>
      </c>
      <c r="O130" s="129" t="str">
        <f t="shared" si="55"/>
        <v>OK</v>
      </c>
    </row>
    <row r="131" spans="1:15" ht="14.25" customHeight="1" x14ac:dyDescent="0.25">
      <c r="A131" s="120" t="str">
        <f>IF(N131=MIN(N129:N152),1,"")</f>
        <v/>
      </c>
      <c r="B131" s="121">
        <f t="shared" ref="B131:B146" si="102">B130+1/24</f>
        <v>42314.083333333328</v>
      </c>
      <c r="C131" s="122">
        <f t="shared" ref="C131" si="103">DAY(B131)</f>
        <v>6</v>
      </c>
      <c r="D131" s="123">
        <v>1070.665487881404</v>
      </c>
      <c r="E131" s="124">
        <v>44.602493286132812</v>
      </c>
      <c r="F131" s="125">
        <v>12.605106395177989</v>
      </c>
      <c r="G131" s="126">
        <v>2.3041229248046875</v>
      </c>
      <c r="H131" s="127">
        <f>HLOOKUP('Operational Worksheet'!E131,$B$773:$U$775,3)</f>
        <v>6.3000000000000007</v>
      </c>
      <c r="I131" s="127">
        <f t="shared" si="53"/>
        <v>1.5224176163793117</v>
      </c>
      <c r="J131" s="127">
        <f t="shared" si="54"/>
        <v>28.255562256227471</v>
      </c>
      <c r="K131" s="127">
        <f t="shared" si="99"/>
        <v>3.5078373310260806</v>
      </c>
      <c r="L131" s="127">
        <f t="shared" si="99"/>
        <v>65.10428874781978</v>
      </c>
      <c r="M131" s="127">
        <f t="shared" si="100"/>
        <v>68.612126078845861</v>
      </c>
      <c r="N131" s="128">
        <f t="shared" si="101"/>
        <v>10.890813663308865</v>
      </c>
      <c r="O131" s="129" t="str">
        <f t="shared" si="55"/>
        <v>OK</v>
      </c>
    </row>
    <row r="132" spans="1:15" ht="14.25" customHeight="1" x14ac:dyDescent="0.25">
      <c r="A132" s="120" t="str">
        <f>IF(N132=MIN(N129:N152),1,"")</f>
        <v/>
      </c>
      <c r="B132" s="121">
        <f t="shared" si="102"/>
        <v>42314.124999999993</v>
      </c>
      <c r="C132" s="122">
        <f>DAY(B132)</f>
        <v>6</v>
      </c>
      <c r="D132" s="123">
        <v>1078.5047606726978</v>
      </c>
      <c r="E132" s="124">
        <v>44.602493286132812</v>
      </c>
      <c r="F132" s="125">
        <v>12.612094485626976</v>
      </c>
      <c r="G132" s="126">
        <v>2.3041229248046875</v>
      </c>
      <c r="H132" s="127">
        <f>HLOOKUP('Operational Worksheet'!E132,$B$773:$U$775,3)</f>
        <v>6.3000000000000007</v>
      </c>
      <c r="I132" s="127">
        <f t="shared" si="53"/>
        <v>1.5113516967540477</v>
      </c>
      <c r="J132" s="127">
        <f t="shared" si="54"/>
        <v>28.065733104993424</v>
      </c>
      <c r="K132" s="127">
        <f t="shared" si="99"/>
        <v>3.4823400919334633</v>
      </c>
      <c r="L132" s="127">
        <f t="shared" si="99"/>
        <v>64.666899048665186</v>
      </c>
      <c r="M132" s="127">
        <f t="shared" si="100"/>
        <v>68.149239140598652</v>
      </c>
      <c r="N132" s="128">
        <f t="shared" si="101"/>
        <v>10.817339546126769</v>
      </c>
      <c r="O132" s="129" t="str">
        <f t="shared" si="55"/>
        <v>OK</v>
      </c>
    </row>
    <row r="133" spans="1:15" ht="14.25" customHeight="1" x14ac:dyDescent="0.25">
      <c r="A133" s="120" t="str">
        <f>IF(N133=MIN(N129:N152),1,"")</f>
        <v/>
      </c>
      <c r="B133" s="121">
        <f t="shared" si="102"/>
        <v>42314.166666666657</v>
      </c>
      <c r="C133" s="122">
        <f t="shared" ref="C133:C134" si="104">DAY(B133)</f>
        <v>6</v>
      </c>
      <c r="D133" s="123">
        <v>1077.8461000148138</v>
      </c>
      <c r="E133" s="124">
        <v>44.602493286132812</v>
      </c>
      <c r="F133" s="125">
        <v>12.608285151497432</v>
      </c>
      <c r="G133" s="126">
        <v>2.3041229248046875</v>
      </c>
      <c r="H133" s="127">
        <f>HLOOKUP('Operational Worksheet'!E133,$B$773:$U$775,3)</f>
        <v>6.3000000000000007</v>
      </c>
      <c r="I133" s="127">
        <f t="shared" si="53"/>
        <v>1.5122752682202008</v>
      </c>
      <c r="J133" s="127">
        <f t="shared" si="54"/>
        <v>28.07440168237186</v>
      </c>
      <c r="K133" s="127">
        <f t="shared" si="99"/>
        <v>3.4844681141213223</v>
      </c>
      <c r="L133" s="127">
        <f t="shared" si="99"/>
        <v>64.686872516528297</v>
      </c>
      <c r="M133" s="127">
        <f t="shared" si="100"/>
        <v>68.171340630649624</v>
      </c>
      <c r="N133" s="128">
        <f t="shared" si="101"/>
        <v>10.820847719150732</v>
      </c>
      <c r="O133" s="129" t="str">
        <f t="shared" si="55"/>
        <v>OK</v>
      </c>
    </row>
    <row r="134" spans="1:15" ht="14.25" customHeight="1" x14ac:dyDescent="0.25">
      <c r="A134" s="120" t="str">
        <f>IF(N134=MIN(N129:N152),1,"")</f>
        <v/>
      </c>
      <c r="B134" s="121">
        <f t="shared" si="102"/>
        <v>42314.208333333321</v>
      </c>
      <c r="C134" s="122">
        <f t="shared" si="104"/>
        <v>6</v>
      </c>
      <c r="D134" s="123">
        <v>1079.0410959115652</v>
      </c>
      <c r="E134" s="124">
        <v>44.512243859274065</v>
      </c>
      <c r="F134" s="125">
        <v>12.612077663671277</v>
      </c>
      <c r="G134" s="126">
        <v>2.3178207874298096</v>
      </c>
      <c r="H134" s="127">
        <f>HLOOKUP('Operational Worksheet'!E134,$B$773:$U$775,3)</f>
        <v>6.3000000000000007</v>
      </c>
      <c r="I134" s="128">
        <f t="shared" si="53"/>
        <v>1.510600482387549</v>
      </c>
      <c r="J134" s="127">
        <f t="shared" si="54"/>
        <v>28.051745672615066</v>
      </c>
      <c r="K134" s="127">
        <f>I134*$G134</f>
        <v>3.501301199579359</v>
      </c>
      <c r="L134" s="127">
        <f>J134*$G134</f>
        <v>65.01891924368141</v>
      </c>
      <c r="M134" s="127">
        <f>K134+L134</f>
        <v>68.520220443260769</v>
      </c>
      <c r="N134" s="128">
        <f t="shared" si="101"/>
        <v>10.876225467184248</v>
      </c>
      <c r="O134" s="129" t="str">
        <f t="shared" si="55"/>
        <v>OK</v>
      </c>
    </row>
    <row r="135" spans="1:15" ht="14.25" customHeight="1" x14ac:dyDescent="0.25">
      <c r="A135" s="120" t="str">
        <f>IF(N135=MIN(N129:N152),1,"")</f>
        <v/>
      </c>
      <c r="B135" s="121">
        <f t="shared" si="102"/>
        <v>42314.249999999985</v>
      </c>
      <c r="C135" s="122">
        <f>DAY(B135)</f>
        <v>6</v>
      </c>
      <c r="D135" s="123">
        <v>1073.9488236557715</v>
      </c>
      <c r="E135" s="124">
        <v>44.224433898925781</v>
      </c>
      <c r="F135" s="125">
        <v>12.597035079148117</v>
      </c>
      <c r="G135" s="126">
        <v>2.2697715759277344</v>
      </c>
      <c r="H135" s="127">
        <f>HLOOKUP('Operational Worksheet'!E135,$B$773:$U$775,3)</f>
        <v>6.3000000000000007</v>
      </c>
      <c r="I135" s="127">
        <f t="shared" si="53"/>
        <v>1.517763196994252</v>
      </c>
      <c r="J135" s="127">
        <f t="shared" si="54"/>
        <v>28.151140467793748</v>
      </c>
      <c r="K135" s="127">
        <f>I135*$G135</f>
        <v>3.4449757635267595</v>
      </c>
      <c r="L135" s="127">
        <f>J135*$G135</f>
        <v>63.896658463747237</v>
      </c>
      <c r="M135" s="127">
        <f>K135+L135</f>
        <v>67.341634227274</v>
      </c>
      <c r="N135" s="128">
        <f>IF(D135&gt;0,M135/H135,"PO")</f>
        <v>10.689148290043491</v>
      </c>
      <c r="O135" s="129" t="str">
        <f t="shared" si="55"/>
        <v>OK</v>
      </c>
    </row>
    <row r="136" spans="1:15" ht="14.25" customHeight="1" x14ac:dyDescent="0.25">
      <c r="A136" s="120" t="str">
        <f>IF(N136=MIN(N129:N152),1,"")</f>
        <v/>
      </c>
      <c r="B136" s="121">
        <f t="shared" si="102"/>
        <v>42314.29166666665</v>
      </c>
      <c r="C136" s="122">
        <f t="shared" ref="C136:C140" si="105">DAY(B136)</f>
        <v>6</v>
      </c>
      <c r="D136" s="123">
        <v>1074.1085888043506</v>
      </c>
      <c r="E136" s="124">
        <v>44.224433898925781</v>
      </c>
      <c r="F136" s="125">
        <v>12.608249278380923</v>
      </c>
      <c r="G136" s="126">
        <v>2.2697715759277344</v>
      </c>
      <c r="H136" s="127">
        <f>HLOOKUP('Operational Worksheet'!E136,$B$773:$U$775,3)</f>
        <v>6.3000000000000007</v>
      </c>
      <c r="I136" s="127">
        <f t="shared" si="53"/>
        <v>1.5175374417352372</v>
      </c>
      <c r="J136" s="127">
        <f t="shared" si="54"/>
        <v>28.1720103381708</v>
      </c>
      <c r="K136" s="127">
        <f t="shared" ref="K136:L139" si="106">I136*$G136</f>
        <v>3.4444633506567315</v>
      </c>
      <c r="L136" s="127">
        <f t="shared" si="106"/>
        <v>63.944028302322359</v>
      </c>
      <c r="M136" s="127">
        <f t="shared" ref="M136:M139" si="107">K136+L136</f>
        <v>67.388491652979084</v>
      </c>
      <c r="N136" s="128">
        <f t="shared" ref="N136:N140" si="108">IF(D136&gt;0,M136/H136,"PO")</f>
        <v>10.696585976663345</v>
      </c>
      <c r="O136" s="129" t="str">
        <f t="shared" si="55"/>
        <v>OK</v>
      </c>
    </row>
    <row r="137" spans="1:15" ht="14.25" customHeight="1" x14ac:dyDescent="0.25">
      <c r="A137" s="120" t="str">
        <f>IF(N137=MIN(N129:N152),1,"")</f>
        <v/>
      </c>
      <c r="B137" s="121">
        <f t="shared" si="102"/>
        <v>42314.333333333314</v>
      </c>
      <c r="C137" s="122">
        <f t="shared" si="105"/>
        <v>6</v>
      </c>
      <c r="D137" s="123">
        <v>1069.1089043923539</v>
      </c>
      <c r="E137" s="124">
        <v>44.224433898925781</v>
      </c>
      <c r="F137" s="125">
        <v>12.610718836919583</v>
      </c>
      <c r="G137" s="126">
        <v>2.2697715759277344</v>
      </c>
      <c r="H137" s="127">
        <f>HLOOKUP('Operational Worksheet'!E137,$B$773:$U$775,3)</f>
        <v>6.3000000000000007</v>
      </c>
      <c r="I137" s="127">
        <f t="shared" ref="I137:I200" si="109">$G$768/D137*$H$768</f>
        <v>1.5246342007846601</v>
      </c>
      <c r="J137" s="127">
        <f t="shared" ref="J137:J200" si="110">$G$769*F137/D137*$H$769</f>
        <v>28.309300469075257</v>
      </c>
      <c r="K137" s="127">
        <f t="shared" si="106"/>
        <v>3.4605713726283196</v>
      </c>
      <c r="L137" s="127">
        <f t="shared" si="106"/>
        <v>64.255645539104691</v>
      </c>
      <c r="M137" s="127">
        <f t="shared" si="107"/>
        <v>67.716216911733014</v>
      </c>
      <c r="N137" s="128">
        <f t="shared" si="108"/>
        <v>10.74860585900524</v>
      </c>
      <c r="O137" s="129" t="str">
        <f t="shared" ref="O137:O200" si="111">+IF(N137&gt;=1, "OK","Alarm")</f>
        <v>OK</v>
      </c>
    </row>
    <row r="138" spans="1:15" ht="14.25" customHeight="1" x14ac:dyDescent="0.25">
      <c r="A138" s="120" t="str">
        <f>IF(N138=MIN(N129:N152),1,"")</f>
        <v/>
      </c>
      <c r="B138" s="121">
        <f t="shared" si="102"/>
        <v>42314.374999999978</v>
      </c>
      <c r="C138" s="122">
        <f t="shared" si="105"/>
        <v>6</v>
      </c>
      <c r="D138" s="123">
        <v>1062.5029184209955</v>
      </c>
      <c r="E138" s="124">
        <v>44.224433898925781</v>
      </c>
      <c r="F138" s="125">
        <v>12.602402267900093</v>
      </c>
      <c r="G138" s="126">
        <v>2.2697715759277344</v>
      </c>
      <c r="H138" s="127">
        <f>HLOOKUP('Operational Worksheet'!E138,$B$773:$U$775,3)</f>
        <v>6.3000000000000007</v>
      </c>
      <c r="I138" s="127">
        <f t="shared" si="109"/>
        <v>1.5341134332340207</v>
      </c>
      <c r="J138" s="127">
        <f t="shared" si="110"/>
        <v>28.466524579442094</v>
      </c>
      <c r="K138" s="127">
        <f t="shared" si="106"/>
        <v>3.4820870650034905</v>
      </c>
      <c r="L138" s="127">
        <f t="shared" si="106"/>
        <v>64.61250835586587</v>
      </c>
      <c r="M138" s="127">
        <f t="shared" si="107"/>
        <v>68.094595420869354</v>
      </c>
      <c r="N138" s="128">
        <f t="shared" si="108"/>
        <v>10.80866593982053</v>
      </c>
      <c r="O138" s="129" t="str">
        <f t="shared" si="111"/>
        <v>OK</v>
      </c>
    </row>
    <row r="139" spans="1:15" ht="14.25" customHeight="1" x14ac:dyDescent="0.25">
      <c r="A139" s="120" t="str">
        <f>IF(N139=MIN(N129:N152),1,"")</f>
        <v/>
      </c>
      <c r="B139" s="121">
        <f t="shared" si="102"/>
        <v>42314.416666666642</v>
      </c>
      <c r="C139" s="122">
        <f t="shared" si="105"/>
        <v>6</v>
      </c>
      <c r="D139" s="123">
        <v>1072.6107550720292</v>
      </c>
      <c r="E139" s="124">
        <v>44.224433898925781</v>
      </c>
      <c r="F139" s="125">
        <v>12.61457803759812</v>
      </c>
      <c r="G139" s="126">
        <v>2.2697715759277344</v>
      </c>
      <c r="H139" s="127">
        <f>HLOOKUP('Operational Worksheet'!E139,$B$773:$U$775,3)</f>
        <v>6.3000000000000007</v>
      </c>
      <c r="I139" s="127">
        <f t="shared" si="109"/>
        <v>1.5196565877157744</v>
      </c>
      <c r="J139" s="127">
        <f t="shared" si="110"/>
        <v>28.225511581974047</v>
      </c>
      <c r="K139" s="127">
        <f t="shared" si="106"/>
        <v>3.4492733279685965</v>
      </c>
      <c r="L139" s="127">
        <f t="shared" si="106"/>
        <v>64.065463904783755</v>
      </c>
      <c r="M139" s="127">
        <f t="shared" si="107"/>
        <v>67.514737232752353</v>
      </c>
      <c r="N139" s="128">
        <f t="shared" si="108"/>
        <v>10.716624957579738</v>
      </c>
      <c r="O139" s="129" t="str">
        <f t="shared" si="111"/>
        <v>OK</v>
      </c>
    </row>
    <row r="140" spans="1:15" ht="14.25" customHeight="1" x14ac:dyDescent="0.25">
      <c r="A140" s="120" t="str">
        <f>IF(N140=MIN(N129:N152),1,"")</f>
        <v/>
      </c>
      <c r="B140" s="121">
        <f t="shared" si="102"/>
        <v>42314.458333333307</v>
      </c>
      <c r="C140" s="122">
        <f t="shared" si="105"/>
        <v>6</v>
      </c>
      <c r="D140" s="123">
        <v>1061.7424459858626</v>
      </c>
      <c r="E140" s="124">
        <v>44.280603278618926</v>
      </c>
      <c r="F140" s="125">
        <v>12.606572774289043</v>
      </c>
      <c r="G140" s="126">
        <v>2.2697715759277344</v>
      </c>
      <c r="H140" s="127">
        <f>HLOOKUP('Operational Worksheet'!E140,$B$773:$U$775,3)</f>
        <v>6.3000000000000007</v>
      </c>
      <c r="I140" s="128">
        <f t="shared" si="109"/>
        <v>1.5352122411254754</v>
      </c>
      <c r="J140" s="127">
        <f t="shared" si="110"/>
        <v>28.496340871255484</v>
      </c>
      <c r="K140" s="127">
        <f>I140*$G140</f>
        <v>3.4845811079229194</v>
      </c>
      <c r="L140" s="127">
        <f>J140*$G140</f>
        <v>64.680184527523465</v>
      </c>
      <c r="M140" s="127">
        <f>K140+L140</f>
        <v>68.164765635446386</v>
      </c>
      <c r="N140" s="128">
        <f t="shared" si="108"/>
        <v>10.819804069118472</v>
      </c>
      <c r="O140" s="129" t="str">
        <f t="shared" si="111"/>
        <v>OK</v>
      </c>
    </row>
    <row r="141" spans="1:15" ht="14.25" customHeight="1" x14ac:dyDescent="0.25">
      <c r="A141" s="120" t="str">
        <f>IF(N141=MIN(N129:N152),1,"")</f>
        <v/>
      </c>
      <c r="B141" s="121">
        <f t="shared" si="102"/>
        <v>42314.499999999971</v>
      </c>
      <c r="C141" s="122">
        <f>DAY(B141)</f>
        <v>6</v>
      </c>
      <c r="D141" s="123">
        <v>1379.2023760298875</v>
      </c>
      <c r="E141" s="124">
        <v>44.295101165771484</v>
      </c>
      <c r="F141" s="125">
        <v>12.617021019196812</v>
      </c>
      <c r="G141" s="126">
        <v>2.3248836994171143</v>
      </c>
      <c r="H141" s="127">
        <f>HLOOKUP('Operational Worksheet'!E141,$B$773:$U$775,3)</f>
        <v>6.3000000000000007</v>
      </c>
      <c r="I141" s="127">
        <f t="shared" si="109"/>
        <v>1.1818425115334037</v>
      </c>
      <c r="J141" s="127">
        <f t="shared" si="110"/>
        <v>21.955335179480695</v>
      </c>
      <c r="K141" s="127">
        <f>I141*$G141</f>
        <v>2.7476463903421933</v>
      </c>
      <c r="L141" s="127">
        <f>J141*$G141</f>
        <v>51.043600874013791</v>
      </c>
      <c r="M141" s="127">
        <f>K141+L141</f>
        <v>53.791247264355981</v>
      </c>
      <c r="N141" s="128">
        <f>IF(D141&gt;0,M141/H141,"PO")</f>
        <v>8.5382932165644405</v>
      </c>
      <c r="O141" s="129" t="str">
        <f t="shared" si="111"/>
        <v>OK</v>
      </c>
    </row>
    <row r="142" spans="1:15" ht="14.25" customHeight="1" x14ac:dyDescent="0.25">
      <c r="A142" s="120" t="str">
        <f>IF(N142=MIN(N129:N152),1,"")</f>
        <v/>
      </c>
      <c r="B142" s="121">
        <f t="shared" si="102"/>
        <v>42314.541666666635</v>
      </c>
      <c r="C142" s="122">
        <f t="shared" ref="C142:C146" si="112">DAY(B142)</f>
        <v>6</v>
      </c>
      <c r="D142" s="123">
        <v>1443.8406565954456</v>
      </c>
      <c r="E142" s="124">
        <v>45.149205782160749</v>
      </c>
      <c r="F142" s="125">
        <v>12.598543923760131</v>
      </c>
      <c r="G142" s="126">
        <v>2.3248836994171143</v>
      </c>
      <c r="H142" s="127">
        <f>HLOOKUP('Operational Worksheet'!E142,$B$773:$U$775,3)</f>
        <v>6.3000000000000007</v>
      </c>
      <c r="I142" s="127">
        <f t="shared" si="109"/>
        <v>1.1289334405110294</v>
      </c>
      <c r="J142" s="127">
        <f t="shared" si="110"/>
        <v>20.941719073295481</v>
      </c>
      <c r="K142" s="127">
        <f t="shared" ref="K142:L145" si="113">I142*$G142</f>
        <v>2.6246389535709729</v>
      </c>
      <c r="L142" s="127">
        <f t="shared" si="113"/>
        <v>48.687061311277141</v>
      </c>
      <c r="M142" s="127">
        <f t="shared" ref="M142:M145" si="114">K142+L142</f>
        <v>51.311700264848113</v>
      </c>
      <c r="N142" s="128">
        <f t="shared" ref="N142:N146" si="115">IF(D142&gt;0,M142/H142,"PO")</f>
        <v>8.1447143277536682</v>
      </c>
      <c r="O142" s="129" t="str">
        <f t="shared" si="111"/>
        <v>OK</v>
      </c>
    </row>
    <row r="143" spans="1:15" ht="14.25" customHeight="1" x14ac:dyDescent="0.25">
      <c r="A143" s="120">
        <f>IF(N143=MIN(N129:N152),1,"")</f>
        <v>1</v>
      </c>
      <c r="B143" s="121">
        <f t="shared" si="102"/>
        <v>42314.583333333299</v>
      </c>
      <c r="C143" s="122">
        <f t="shared" si="112"/>
        <v>6</v>
      </c>
      <c r="D143" s="123">
        <v>1455.8032247973779</v>
      </c>
      <c r="E143" s="124">
        <v>45.196075439453125</v>
      </c>
      <c r="F143" s="125">
        <v>12.602568662696543</v>
      </c>
      <c r="G143" s="126">
        <v>2.3248836994171143</v>
      </c>
      <c r="H143" s="127">
        <f>HLOOKUP('Operational Worksheet'!E143,$B$773:$U$775,3)</f>
        <v>6.3000000000000007</v>
      </c>
      <c r="I143" s="127">
        <f t="shared" si="109"/>
        <v>1.1196568136650935</v>
      </c>
      <c r="J143" s="127">
        <f t="shared" si="110"/>
        <v>20.776272696250849</v>
      </c>
      <c r="K143" s="127">
        <f t="shared" si="113"/>
        <v>2.6030718750312811</v>
      </c>
      <c r="L143" s="127">
        <f t="shared" si="113"/>
        <v>48.30241772615846</v>
      </c>
      <c r="M143" s="127">
        <f t="shared" si="114"/>
        <v>50.905489601189743</v>
      </c>
      <c r="N143" s="128">
        <f t="shared" si="115"/>
        <v>8.0802364446332913</v>
      </c>
      <c r="O143" s="129" t="str">
        <f t="shared" si="111"/>
        <v>OK</v>
      </c>
    </row>
    <row r="144" spans="1:15" ht="14.25" customHeight="1" x14ac:dyDescent="0.25">
      <c r="A144" s="120" t="str">
        <f>IF(N144=MIN(N129:N152),1,"")</f>
        <v/>
      </c>
      <c r="B144" s="121">
        <f t="shared" si="102"/>
        <v>42314.624999999964</v>
      </c>
      <c r="C144" s="122">
        <f t="shared" si="112"/>
        <v>6</v>
      </c>
      <c r="D144" s="123">
        <v>1235.5420784407875</v>
      </c>
      <c r="E144" s="124">
        <v>45.196075439453125</v>
      </c>
      <c r="F144" s="125">
        <v>12.623289672933989</v>
      </c>
      <c r="G144" s="126">
        <v>2.3248836994171143</v>
      </c>
      <c r="H144" s="127">
        <f>HLOOKUP('Operational Worksheet'!E144,$B$773:$U$775,3)</f>
        <v>6.3000000000000007</v>
      </c>
      <c r="I144" s="127">
        <f t="shared" si="109"/>
        <v>1.3192589944463933</v>
      </c>
      <c r="J144" s="127">
        <f t="shared" si="110"/>
        <v>24.520326538189597</v>
      </c>
      <c r="K144" s="127">
        <f t="shared" si="113"/>
        <v>3.067123731497833</v>
      </c>
      <c r="L144" s="127">
        <f t="shared" si="113"/>
        <v>57.006907473021869</v>
      </c>
      <c r="M144" s="127">
        <f t="shared" si="114"/>
        <v>60.074031204519699</v>
      </c>
      <c r="N144" s="128">
        <f t="shared" si="115"/>
        <v>9.5355605086539192</v>
      </c>
      <c r="O144" s="129" t="str">
        <f t="shared" si="111"/>
        <v>OK</v>
      </c>
    </row>
    <row r="145" spans="1:15" ht="14.25" customHeight="1" x14ac:dyDescent="0.25">
      <c r="A145" s="120" t="str">
        <f>IF(N145=MIN(N129:N152),1,"")</f>
        <v/>
      </c>
      <c r="B145" s="121">
        <f t="shared" si="102"/>
        <v>42314.666666666628</v>
      </c>
      <c r="C145" s="122">
        <f t="shared" si="112"/>
        <v>6</v>
      </c>
      <c r="D145" s="123">
        <v>1073.3611454457641</v>
      </c>
      <c r="E145" s="124">
        <v>45.196075439453125</v>
      </c>
      <c r="F145" s="125">
        <v>12.608807836718519</v>
      </c>
      <c r="G145" s="126">
        <v>2.3248836994171143</v>
      </c>
      <c r="H145" s="127">
        <f>HLOOKUP('Operational Worksheet'!E145,$B$773:$U$775,3)</f>
        <v>6.3000000000000007</v>
      </c>
      <c r="I145" s="127">
        <f t="shared" si="109"/>
        <v>1.5185941907027622</v>
      </c>
      <c r="J145" s="127">
        <f t="shared" si="110"/>
        <v>28.19287705402926</v>
      </c>
      <c r="K145" s="127">
        <f t="shared" si="113"/>
        <v>3.5305548799943764</v>
      </c>
      <c r="L145" s="127">
        <f t="shared" si="113"/>
        <v>65.545160302583426</v>
      </c>
      <c r="M145" s="127">
        <f t="shared" si="114"/>
        <v>69.075715182577795</v>
      </c>
      <c r="N145" s="128">
        <f t="shared" si="115"/>
        <v>10.964399235329807</v>
      </c>
      <c r="O145" s="129" t="str">
        <f t="shared" si="111"/>
        <v>OK</v>
      </c>
    </row>
    <row r="146" spans="1:15" ht="14.25" customHeight="1" x14ac:dyDescent="0.25">
      <c r="A146" s="120" t="str">
        <f>IF(N146=MIN(N129:N152),1,"")</f>
        <v/>
      </c>
      <c r="B146" s="121">
        <f t="shared" si="102"/>
        <v>42314.708333333292</v>
      </c>
      <c r="C146" s="122">
        <f t="shared" si="112"/>
        <v>6</v>
      </c>
      <c r="D146" s="123">
        <v>1070.4777295596868</v>
      </c>
      <c r="E146" s="124">
        <v>43.99232533028637</v>
      </c>
      <c r="F146" s="125">
        <v>12.608655338598986</v>
      </c>
      <c r="G146" s="126">
        <v>2.3248836994171143</v>
      </c>
      <c r="H146" s="127">
        <f>HLOOKUP('Operational Worksheet'!E146,$B$773:$U$775,3)</f>
        <v>6.3000000000000007</v>
      </c>
      <c r="I146" s="128">
        <f t="shared" si="109"/>
        <v>1.5226846434913299</v>
      </c>
      <c r="J146" s="127">
        <f t="shared" si="110"/>
        <v>28.268474884652246</v>
      </c>
      <c r="K146" s="127">
        <f>I146*$G146</f>
        <v>3.5400647070057527</v>
      </c>
      <c r="L146" s="127">
        <f>J146*$G146</f>
        <v>65.720916466710094</v>
      </c>
      <c r="M146" s="127">
        <f>K146+L146</f>
        <v>69.260981173715848</v>
      </c>
      <c r="N146" s="128">
        <f t="shared" si="115"/>
        <v>10.993806535510451</v>
      </c>
      <c r="O146" s="129" t="str">
        <f t="shared" si="111"/>
        <v>OK</v>
      </c>
    </row>
    <row r="147" spans="1:15" ht="14.25" customHeight="1" x14ac:dyDescent="0.25">
      <c r="A147" s="120" t="str">
        <f>IF(N147=MIN(N129:N152),1,"")</f>
        <v/>
      </c>
      <c r="B147" s="121">
        <f>B146+1/24</f>
        <v>42314.749999999956</v>
      </c>
      <c r="C147" s="122">
        <f>DAY(B147)</f>
        <v>6</v>
      </c>
      <c r="D147" s="123">
        <v>1066.0467672483119</v>
      </c>
      <c r="E147" s="124">
        <v>43.528385162353516</v>
      </c>
      <c r="F147" s="125">
        <v>12.602889158449088</v>
      </c>
      <c r="G147" s="126">
        <v>2.3248836994171143</v>
      </c>
      <c r="H147" s="127">
        <f>HLOOKUP('Operational Worksheet'!E147,$B$773:$U$775,3)</f>
        <v>6.6499999999999995</v>
      </c>
      <c r="I147" s="127">
        <f t="shared" si="109"/>
        <v>1.5290135949732941</v>
      </c>
      <c r="J147" s="127">
        <f t="shared" si="110"/>
        <v>28.372989731352437</v>
      </c>
      <c r="K147" s="127">
        <f>I147*$G147</f>
        <v>3.5547787831405731</v>
      </c>
      <c r="L147" s="127">
        <f>J147*$G147</f>
        <v>65.963901330150449</v>
      </c>
      <c r="M147" s="127">
        <f>K147+L147</f>
        <v>69.518680113291026</v>
      </c>
      <c r="N147" s="128">
        <f>IF(D147&gt;0,M147/H147,"PO")</f>
        <v>10.453936859141509</v>
      </c>
      <c r="O147" s="129" t="str">
        <f t="shared" si="111"/>
        <v>OK</v>
      </c>
    </row>
    <row r="148" spans="1:15" ht="14.25" customHeight="1" x14ac:dyDescent="0.25">
      <c r="A148" s="120" t="str">
        <f>IF(N148=MIN(N129:N152),1,"")</f>
        <v/>
      </c>
      <c r="B148" s="121">
        <f t="shared" ref="B148:B152" si="116">B147+1/24</f>
        <v>42314.791666666621</v>
      </c>
      <c r="C148" s="122">
        <f t="shared" ref="C148:C152" si="117">DAY(B148)</f>
        <v>6</v>
      </c>
      <c r="D148" s="123">
        <v>1067.959166567272</v>
      </c>
      <c r="E148" s="124">
        <v>43.528385162353516</v>
      </c>
      <c r="F148" s="125">
        <v>12.604051206328183</v>
      </c>
      <c r="G148" s="126">
        <v>2.3248836994171143</v>
      </c>
      <c r="H148" s="127">
        <f>HLOOKUP('Operational Worksheet'!E148,$B$773:$U$775,3)</f>
        <v>6.6499999999999995</v>
      </c>
      <c r="I148" s="127">
        <f t="shared" si="109"/>
        <v>1.5262755834001491</v>
      </c>
      <c r="J148" s="127">
        <f t="shared" si="110"/>
        <v>28.324793533463414</v>
      </c>
      <c r="K148" s="127">
        <f t="shared" ref="K148:L151" si="118">I148*$G148</f>
        <v>3.548413224665353</v>
      </c>
      <c r="L148" s="127">
        <f t="shared" si="118"/>
        <v>65.851850775304371</v>
      </c>
      <c r="M148" s="127">
        <f t="shared" ref="M148:M151" si="119">K148+L148</f>
        <v>69.400263999969724</v>
      </c>
      <c r="N148" s="128">
        <f t="shared" ref="N148:N152" si="120">IF(D148&gt;0,M148/H148,"PO")</f>
        <v>10.436129924807478</v>
      </c>
      <c r="O148" s="129" t="str">
        <f t="shared" si="111"/>
        <v>OK</v>
      </c>
    </row>
    <row r="149" spans="1:15" ht="14.25" customHeight="1" x14ac:dyDescent="0.25">
      <c r="A149" s="120" t="str">
        <f>IF(N149=MIN(N129:N152),1,"")</f>
        <v/>
      </c>
      <c r="B149" s="121">
        <f t="shared" si="116"/>
        <v>42314.833333333285</v>
      </c>
      <c r="C149" s="122">
        <f t="shared" si="117"/>
        <v>6</v>
      </c>
      <c r="D149" s="123">
        <v>1070.1203647967943</v>
      </c>
      <c r="E149" s="124">
        <v>43.528385162353516</v>
      </c>
      <c r="F149" s="125">
        <v>12.595763755004445</v>
      </c>
      <c r="G149" s="126">
        <v>2.3109719753265381</v>
      </c>
      <c r="H149" s="127">
        <f>HLOOKUP('Operational Worksheet'!E149,$B$773:$U$775,3)</f>
        <v>6.6499999999999995</v>
      </c>
      <c r="I149" s="127">
        <f t="shared" si="109"/>
        <v>1.5231931412776369</v>
      </c>
      <c r="J149" s="127">
        <f t="shared" si="110"/>
        <v>28.249002641633705</v>
      </c>
      <c r="K149" s="127">
        <f t="shared" si="118"/>
        <v>3.5200566625022152</v>
      </c>
      <c r="L149" s="127">
        <f t="shared" si="118"/>
        <v>65.282653435740841</v>
      </c>
      <c r="M149" s="127">
        <f t="shared" si="119"/>
        <v>68.802710098243054</v>
      </c>
      <c r="N149" s="128">
        <f t="shared" si="120"/>
        <v>10.34627219522452</v>
      </c>
      <c r="O149" s="129" t="str">
        <f t="shared" si="111"/>
        <v>OK</v>
      </c>
    </row>
    <row r="150" spans="1:15" ht="14.25" customHeight="1" x14ac:dyDescent="0.25">
      <c r="A150" s="120" t="str">
        <f>IF(N150=MIN(N129:N152),1,"")</f>
        <v/>
      </c>
      <c r="B150" s="121">
        <f t="shared" si="116"/>
        <v>42314.874999999949</v>
      </c>
      <c r="C150" s="122">
        <f t="shared" si="117"/>
        <v>6</v>
      </c>
      <c r="D150" s="123">
        <v>1074.919745381856</v>
      </c>
      <c r="E150" s="124">
        <v>43.528385162353516</v>
      </c>
      <c r="F150" s="125">
        <v>12.606867559352473</v>
      </c>
      <c r="G150" s="126">
        <v>2.3109719753265381</v>
      </c>
      <c r="H150" s="127">
        <f>HLOOKUP('Operational Worksheet'!E150,$B$773:$U$775,3)</f>
        <v>6.6499999999999995</v>
      </c>
      <c r="I150" s="127">
        <f t="shared" si="109"/>
        <v>1.5163922767284885</v>
      </c>
      <c r="J150" s="127">
        <f t="shared" si="110"/>
        <v>28.147666160600274</v>
      </c>
      <c r="K150" s="127">
        <f t="shared" si="118"/>
        <v>3.5043400551211414</v>
      </c>
      <c r="L150" s="127">
        <f t="shared" si="118"/>
        <v>65.048467667994373</v>
      </c>
      <c r="M150" s="127">
        <f t="shared" si="119"/>
        <v>68.552807723115521</v>
      </c>
      <c r="N150" s="128">
        <f t="shared" si="120"/>
        <v>10.308692890694065</v>
      </c>
      <c r="O150" s="129" t="str">
        <f t="shared" si="111"/>
        <v>OK</v>
      </c>
    </row>
    <row r="151" spans="1:15" ht="14.25" customHeight="1" x14ac:dyDescent="0.25">
      <c r="A151" s="120" t="str">
        <f>IF(N151=MIN(N129:N152),1,"")</f>
        <v/>
      </c>
      <c r="B151" s="121">
        <f t="shared" si="116"/>
        <v>42314.916666666613</v>
      </c>
      <c r="C151" s="122">
        <f t="shared" si="117"/>
        <v>6</v>
      </c>
      <c r="D151" s="123">
        <v>1072.753984436715</v>
      </c>
      <c r="E151" s="124">
        <v>43.528385162353516</v>
      </c>
      <c r="F151" s="125">
        <v>12.610003760071558</v>
      </c>
      <c r="G151" s="126">
        <v>2.2562882900238037</v>
      </c>
      <c r="H151" s="127">
        <f>HLOOKUP('Operational Worksheet'!E151,$B$773:$U$775,3)</f>
        <v>6.6499999999999995</v>
      </c>
      <c r="I151" s="127">
        <f t="shared" si="109"/>
        <v>1.519453689893201</v>
      </c>
      <c r="J151" s="127">
        <f t="shared" si="110"/>
        <v>28.211509314563731</v>
      </c>
      <c r="K151" s="127">
        <f t="shared" si="118"/>
        <v>3.4283255677394893</v>
      </c>
      <c r="L151" s="127">
        <f t="shared" si="118"/>
        <v>63.653298110347613</v>
      </c>
      <c r="M151" s="127">
        <f t="shared" si="119"/>
        <v>67.081623678087098</v>
      </c>
      <c r="N151" s="128">
        <f t="shared" si="120"/>
        <v>10.087462207231143</v>
      </c>
      <c r="O151" s="129" t="str">
        <f t="shared" si="111"/>
        <v>OK</v>
      </c>
    </row>
    <row r="152" spans="1:15" ht="14.25" customHeight="1" x14ac:dyDescent="0.25">
      <c r="A152" s="130" t="str">
        <f>IF(N152=MIN(N129:N152),1,"")</f>
        <v/>
      </c>
      <c r="B152" s="131">
        <f t="shared" si="116"/>
        <v>42314.958333333278</v>
      </c>
      <c r="C152" s="132">
        <f t="shared" si="117"/>
        <v>6</v>
      </c>
      <c r="D152" s="123">
        <v>1085.1890927046677</v>
      </c>
      <c r="E152" s="124">
        <v>43.528385162353516</v>
      </c>
      <c r="F152" s="125">
        <v>12.605488675783839</v>
      </c>
      <c r="G152" s="126">
        <v>2.3179278373718262</v>
      </c>
      <c r="H152" s="133">
        <f>HLOOKUP('Operational Worksheet'!E152,$B$773:$U$775,3)</f>
        <v>6.6499999999999995</v>
      </c>
      <c r="I152" s="134">
        <f t="shared" si="109"/>
        <v>1.5020423730370109</v>
      </c>
      <c r="J152" s="133">
        <f t="shared" si="110"/>
        <v>27.878249998329611</v>
      </c>
      <c r="K152" s="133">
        <f>I152*$G152</f>
        <v>3.4816258293745244</v>
      </c>
      <c r="L152" s="133">
        <f>J152*$G152</f>
        <v>64.619771728339273</v>
      </c>
      <c r="M152" s="133">
        <f>K152+L152</f>
        <v>68.101397557713796</v>
      </c>
      <c r="N152" s="134">
        <f t="shared" si="120"/>
        <v>10.240811662814105</v>
      </c>
      <c r="O152" s="135" t="str">
        <f t="shared" si="111"/>
        <v>OK</v>
      </c>
    </row>
    <row r="153" spans="1:15" ht="14.25" customHeight="1" x14ac:dyDescent="0.25">
      <c r="A153" s="110" t="str">
        <f>IF(N153=MIN(N153:N176),1,"")</f>
        <v/>
      </c>
      <c r="B153" s="111">
        <f>'[1]Turbidity Daily Data Sheet'!B22</f>
        <v>42315</v>
      </c>
      <c r="C153" s="112">
        <f>DAY(B153)</f>
        <v>7</v>
      </c>
      <c r="D153" s="123">
        <v>1074.5651746867861</v>
      </c>
      <c r="E153" s="124">
        <v>43.528385162353516</v>
      </c>
      <c r="F153" s="125">
        <v>12.607629215858783</v>
      </c>
      <c r="G153" s="126">
        <v>2.3179278373718262</v>
      </c>
      <c r="H153" s="117">
        <f>HLOOKUP('Operational Worksheet'!E153,$B$773:$U$775,3)</f>
        <v>6.6499999999999995</v>
      </c>
      <c r="I153" s="117">
        <f t="shared" si="109"/>
        <v>1.5168926356422372</v>
      </c>
      <c r="J153" s="117">
        <f t="shared" si="110"/>
        <v>28.158655082862477</v>
      </c>
      <c r="K153" s="117">
        <f>I153*$G153</f>
        <v>3.5160476664594604</v>
      </c>
      <c r="L153" s="117">
        <f>J153*$G153</f>
        <v>65.2697304795186</v>
      </c>
      <c r="M153" s="117">
        <f>K153+L153</f>
        <v>68.785778145978057</v>
      </c>
      <c r="N153" s="118">
        <f>IF(D153&gt;0,M153/H153,"PO")</f>
        <v>10.343726036989182</v>
      </c>
      <c r="O153" s="119" t="str">
        <f t="shared" si="111"/>
        <v>OK</v>
      </c>
    </row>
    <row r="154" spans="1:15" ht="14.25" customHeight="1" x14ac:dyDescent="0.25">
      <c r="A154" s="120" t="str">
        <f>IF(N154=MIN(N153:N176),1,"")</f>
        <v/>
      </c>
      <c r="B154" s="121">
        <f>B153+1/24</f>
        <v>42315.041666666664</v>
      </c>
      <c r="C154" s="122">
        <f>DAY(B154)</f>
        <v>7</v>
      </c>
      <c r="D154" s="123">
        <v>1078.8166418348621</v>
      </c>
      <c r="E154" s="124">
        <v>43.349072155918854</v>
      </c>
      <c r="F154" s="125">
        <v>12.607344161156503</v>
      </c>
      <c r="G154" s="126">
        <v>2.3179278373718262</v>
      </c>
      <c r="H154" s="127">
        <f>HLOOKUP('Operational Worksheet'!E154,$B$773:$U$775,3)</f>
        <v>6.6499999999999995</v>
      </c>
      <c r="I154" s="127">
        <f t="shared" si="109"/>
        <v>1.5109147716035227</v>
      </c>
      <c r="J154" s="127">
        <f t="shared" si="110"/>
        <v>28.047051568756981</v>
      </c>
      <c r="K154" s="127">
        <f t="shared" ref="K154:L157" si="121">I154*$G154</f>
        <v>3.5021914089960999</v>
      </c>
      <c r="L154" s="127">
        <f t="shared" si="121"/>
        <v>65.011041587424955</v>
      </c>
      <c r="M154" s="127">
        <f t="shared" ref="M154:M157" si="122">K154+L154</f>
        <v>68.513232996421053</v>
      </c>
      <c r="N154" s="128">
        <f t="shared" ref="N154:N158" si="123">IF(D154&gt;0,M154/H154,"PO")</f>
        <v>10.302741803973092</v>
      </c>
      <c r="O154" s="129" t="str">
        <f t="shared" si="111"/>
        <v>OK</v>
      </c>
    </row>
    <row r="155" spans="1:15" ht="14.25" customHeight="1" x14ac:dyDescent="0.25">
      <c r="A155" s="120" t="str">
        <f>IF(N155=MIN(N153:N176),1,"")</f>
        <v/>
      </c>
      <c r="B155" s="121">
        <f t="shared" ref="B155:B170" si="124">B154+1/24</f>
        <v>42315.083333333328</v>
      </c>
      <c r="C155" s="122">
        <f t="shared" ref="C155" si="125">DAY(B155)</f>
        <v>7</v>
      </c>
      <c r="D155" s="123">
        <v>1076.3278831622786</v>
      </c>
      <c r="E155" s="124">
        <v>43.288124084472656</v>
      </c>
      <c r="F155" s="125">
        <v>12.59537693707494</v>
      </c>
      <c r="G155" s="126">
        <v>2.3179278373718262</v>
      </c>
      <c r="H155" s="127">
        <f>HLOOKUP('Operational Worksheet'!E155,$B$773:$U$775,3)</f>
        <v>6.6499999999999995</v>
      </c>
      <c r="I155" s="127">
        <f t="shared" si="109"/>
        <v>1.5144084116923726</v>
      </c>
      <c r="J155" s="127">
        <f t="shared" si="110"/>
        <v>28.085219310835438</v>
      </c>
      <c r="K155" s="127">
        <f t="shared" si="121"/>
        <v>3.5102894146118033</v>
      </c>
      <c r="L155" s="127">
        <f t="shared" si="121"/>
        <v>65.099511659278235</v>
      </c>
      <c r="M155" s="127">
        <f t="shared" si="122"/>
        <v>68.60980107389004</v>
      </c>
      <c r="N155" s="128">
        <f t="shared" si="123"/>
        <v>10.317263319381961</v>
      </c>
      <c r="O155" s="129" t="str">
        <f t="shared" si="111"/>
        <v>OK</v>
      </c>
    </row>
    <row r="156" spans="1:15" ht="14.25" customHeight="1" x14ac:dyDescent="0.25">
      <c r="A156" s="120" t="str">
        <f>IF(N156=MIN(N153:N176),1,"")</f>
        <v/>
      </c>
      <c r="B156" s="121">
        <f t="shared" si="124"/>
        <v>42315.124999999993</v>
      </c>
      <c r="C156" s="122">
        <f>DAY(B156)</f>
        <v>7</v>
      </c>
      <c r="D156" s="123">
        <v>1080.6994114583308</v>
      </c>
      <c r="E156" s="124">
        <v>43.288124084472656</v>
      </c>
      <c r="F156" s="125">
        <v>12.599590997307137</v>
      </c>
      <c r="G156" s="126">
        <v>2.3179278373718262</v>
      </c>
      <c r="H156" s="127">
        <f>HLOOKUP('Operational Worksheet'!E156,$B$773:$U$775,3)</f>
        <v>6.6499999999999995</v>
      </c>
      <c r="I156" s="127">
        <f t="shared" si="109"/>
        <v>1.5082824906885304</v>
      </c>
      <c r="J156" s="127">
        <f t="shared" si="110"/>
        <v>27.980970539006417</v>
      </c>
      <c r="K156" s="127">
        <f t="shared" si="121"/>
        <v>3.4960899717874567</v>
      </c>
      <c r="L156" s="127">
        <f t="shared" si="121"/>
        <v>64.857870529043922</v>
      </c>
      <c r="M156" s="127">
        <f t="shared" si="122"/>
        <v>68.353960500831377</v>
      </c>
      <c r="N156" s="128">
        <f t="shared" si="123"/>
        <v>10.278791052756599</v>
      </c>
      <c r="O156" s="129" t="str">
        <f t="shared" si="111"/>
        <v>OK</v>
      </c>
    </row>
    <row r="157" spans="1:15" ht="14.25" customHeight="1" x14ac:dyDescent="0.25">
      <c r="A157" s="120" t="str">
        <f>IF(N157=MIN(N153:N176),1,"")</f>
        <v/>
      </c>
      <c r="B157" s="121">
        <f t="shared" si="124"/>
        <v>42315.166666666657</v>
      </c>
      <c r="C157" s="122">
        <f t="shared" ref="C157:C158" si="126">DAY(B157)</f>
        <v>7</v>
      </c>
      <c r="D157" s="123">
        <v>1074.2735327188248</v>
      </c>
      <c r="E157" s="124">
        <v>43.288124084472656</v>
      </c>
      <c r="F157" s="125">
        <v>12.599053888557988</v>
      </c>
      <c r="G157" s="126">
        <v>2.3179278373718262</v>
      </c>
      <c r="H157" s="127">
        <f>HLOOKUP('Operational Worksheet'!E157,$B$773:$U$775,3)</f>
        <v>6.6499999999999995</v>
      </c>
      <c r="I157" s="127">
        <f t="shared" si="109"/>
        <v>1.5173044390982202</v>
      </c>
      <c r="J157" s="127">
        <f t="shared" si="110"/>
        <v>28.147141683749783</v>
      </c>
      <c r="K157" s="127">
        <f t="shared" si="121"/>
        <v>3.5170021971536092</v>
      </c>
      <c r="L157" s="127">
        <f t="shared" si="121"/>
        <v>65.243043251212512</v>
      </c>
      <c r="M157" s="127">
        <f t="shared" si="122"/>
        <v>68.760045448366128</v>
      </c>
      <c r="N157" s="128">
        <f t="shared" si="123"/>
        <v>10.339856458400922</v>
      </c>
      <c r="O157" s="129" t="str">
        <f t="shared" si="111"/>
        <v>OK</v>
      </c>
    </row>
    <row r="158" spans="1:15" ht="14.25" customHeight="1" x14ac:dyDescent="0.25">
      <c r="A158" s="120" t="str">
        <f>IF(N158=MIN(N153:N176),1,"")</f>
        <v/>
      </c>
      <c r="B158" s="121">
        <f t="shared" si="124"/>
        <v>42315.208333333321</v>
      </c>
      <c r="C158" s="122">
        <f t="shared" si="126"/>
        <v>7</v>
      </c>
      <c r="D158" s="123">
        <v>1074.6058364888877</v>
      </c>
      <c r="E158" s="124">
        <v>43.288124084472656</v>
      </c>
      <c r="F158" s="125">
        <v>12.608962824096389</v>
      </c>
      <c r="G158" s="126">
        <v>2.3179278373718262</v>
      </c>
      <c r="H158" s="127">
        <f>HLOOKUP('Operational Worksheet'!E158,$B$773:$U$775,3)</f>
        <v>6.6499999999999995</v>
      </c>
      <c r="I158" s="128">
        <f t="shared" si="109"/>
        <v>1.5168352382356109</v>
      </c>
      <c r="J158" s="127">
        <f t="shared" si="110"/>
        <v>28.160568042982394</v>
      </c>
      <c r="K158" s="127">
        <f>I158*$G158</f>
        <v>3.5159146234128484</v>
      </c>
      <c r="L158" s="127">
        <f>J158*$G158</f>
        <v>65.274164583032345</v>
      </c>
      <c r="M158" s="127">
        <f>K158+L158</f>
        <v>68.790079206445199</v>
      </c>
      <c r="N158" s="128">
        <f t="shared" si="123"/>
        <v>10.344372812999278</v>
      </c>
      <c r="O158" s="129" t="str">
        <f t="shared" si="111"/>
        <v>OK</v>
      </c>
    </row>
    <row r="159" spans="1:15" ht="14.25" customHeight="1" x14ac:dyDescent="0.25">
      <c r="A159" s="120" t="str">
        <f>IF(N159=MIN(N153:N176),1,"")</f>
        <v/>
      </c>
      <c r="B159" s="121">
        <f t="shared" si="124"/>
        <v>42315.249999999985</v>
      </c>
      <c r="C159" s="122">
        <f>DAY(B159)</f>
        <v>7</v>
      </c>
      <c r="D159" s="123">
        <v>1072.1515300494605</v>
      </c>
      <c r="E159" s="124">
        <v>43.288124084472656</v>
      </c>
      <c r="F159" s="125">
        <v>12.607875629382981</v>
      </c>
      <c r="G159" s="126">
        <v>2.3179278373718262</v>
      </c>
      <c r="H159" s="127">
        <f>HLOOKUP('Operational Worksheet'!E159,$B$773:$U$775,3)</f>
        <v>6.6499999999999995</v>
      </c>
      <c r="I159" s="127">
        <f t="shared" si="109"/>
        <v>1.5203074885550971</v>
      </c>
      <c r="J159" s="127">
        <f t="shared" si="110"/>
        <v>28.222597890732153</v>
      </c>
      <c r="K159" s="127">
        <f>I159*$G159</f>
        <v>3.5239630490867087</v>
      </c>
      <c r="L159" s="127">
        <f>J159*$G159</f>
        <v>65.417945293879441</v>
      </c>
      <c r="M159" s="127">
        <f>K159+L159</f>
        <v>68.941908342966144</v>
      </c>
      <c r="N159" s="128">
        <f>IF(D159&gt;0,M159/H159,"PO")</f>
        <v>10.367204262100174</v>
      </c>
      <c r="O159" s="129" t="str">
        <f t="shared" si="111"/>
        <v>OK</v>
      </c>
    </row>
    <row r="160" spans="1:15" ht="14.25" customHeight="1" x14ac:dyDescent="0.25">
      <c r="A160" s="120" t="str">
        <f>IF(N160=MIN(N153:N176),1,"")</f>
        <v/>
      </c>
      <c r="B160" s="121">
        <f t="shared" si="124"/>
        <v>42315.29166666665</v>
      </c>
      <c r="C160" s="122">
        <f t="shared" ref="C160:C164" si="127">DAY(B160)</f>
        <v>7</v>
      </c>
      <c r="D160" s="123">
        <v>1069.9949299595846</v>
      </c>
      <c r="E160" s="124">
        <v>43.288124084472656</v>
      </c>
      <c r="F160" s="125">
        <v>12.600196265418839</v>
      </c>
      <c r="G160" s="126">
        <v>2.3041229248046875</v>
      </c>
      <c r="H160" s="127">
        <f>HLOOKUP('Operational Worksheet'!E160,$B$773:$U$775,3)</f>
        <v>6.6499999999999995</v>
      </c>
      <c r="I160" s="127">
        <f t="shared" si="109"/>
        <v>1.523371704258045</v>
      </c>
      <c r="J160" s="127">
        <f t="shared" si="110"/>
        <v>28.262256381109619</v>
      </c>
      <c r="K160" s="127">
        <f t="shared" ref="K160:L163" si="128">I160*$G160</f>
        <v>3.5100356667797481</v>
      </c>
      <c r="L160" s="127">
        <f t="shared" si="128"/>
        <v>65.119712834422245</v>
      </c>
      <c r="M160" s="127">
        <f t="shared" ref="M160:M163" si="129">K160+L160</f>
        <v>68.629748501201988</v>
      </c>
      <c r="N160" s="128">
        <f t="shared" ref="N160:N164" si="130">IF(D160&gt;0,M160/H160,"PO")</f>
        <v>10.320262932511579</v>
      </c>
      <c r="O160" s="129" t="str">
        <f t="shared" si="111"/>
        <v>OK</v>
      </c>
    </row>
    <row r="161" spans="1:15" ht="14.25" customHeight="1" x14ac:dyDescent="0.25">
      <c r="A161" s="120" t="str">
        <f>IF(N161=MIN(N153:N176),1,"")</f>
        <v/>
      </c>
      <c r="B161" s="121">
        <f t="shared" si="124"/>
        <v>42315.333333333314</v>
      </c>
      <c r="C161" s="122">
        <f t="shared" si="127"/>
        <v>7</v>
      </c>
      <c r="D161" s="123">
        <v>1069.8926400586579</v>
      </c>
      <c r="E161" s="124">
        <v>43.288124084472656</v>
      </c>
      <c r="F161" s="125">
        <v>12.600222949012837</v>
      </c>
      <c r="G161" s="126">
        <v>2.3041229248046875</v>
      </c>
      <c r="H161" s="127">
        <f>HLOOKUP('Operational Worksheet'!E161,$B$773:$U$775,3)</f>
        <v>6.6499999999999995</v>
      </c>
      <c r="I161" s="127">
        <f t="shared" si="109"/>
        <v>1.523517350218087</v>
      </c>
      <c r="J161" s="127">
        <f t="shared" si="110"/>
        <v>28.265018325551658</v>
      </c>
      <c r="K161" s="127">
        <f t="shared" si="128"/>
        <v>3.5103712529751858</v>
      </c>
      <c r="L161" s="127">
        <f t="shared" si="128"/>
        <v>65.126076693928184</v>
      </c>
      <c r="M161" s="127">
        <f t="shared" si="129"/>
        <v>68.636447946903374</v>
      </c>
      <c r="N161" s="128">
        <f t="shared" si="130"/>
        <v>10.321270367955396</v>
      </c>
      <c r="O161" s="129" t="str">
        <f t="shared" si="111"/>
        <v>OK</v>
      </c>
    </row>
    <row r="162" spans="1:15" ht="14.25" customHeight="1" x14ac:dyDescent="0.25">
      <c r="A162" s="120" t="str">
        <f>IF(N162=MIN(N153:N176),1,"")</f>
        <v/>
      </c>
      <c r="B162" s="121">
        <f t="shared" si="124"/>
        <v>42315.374999999978</v>
      </c>
      <c r="C162" s="122">
        <f t="shared" si="127"/>
        <v>7</v>
      </c>
      <c r="D162" s="123">
        <v>1080.1199261266529</v>
      </c>
      <c r="E162" s="124">
        <v>42.827906653159737</v>
      </c>
      <c r="F162" s="125">
        <v>12.604564821515641</v>
      </c>
      <c r="G162" s="126">
        <v>2.3041229248046875</v>
      </c>
      <c r="H162" s="127">
        <f>HLOOKUP('Operational Worksheet'!E162,$B$773:$U$775,3)</f>
        <v>6.6499999999999995</v>
      </c>
      <c r="I162" s="127">
        <f t="shared" si="109"/>
        <v>1.5090916856290542</v>
      </c>
      <c r="J162" s="127">
        <f t="shared" si="110"/>
        <v>28.007034070854058</v>
      </c>
      <c r="K162" s="127">
        <f t="shared" si="128"/>
        <v>3.4771327484900523</v>
      </c>
      <c r="L162" s="127">
        <f t="shared" si="128"/>
        <v>64.53164925844078</v>
      </c>
      <c r="M162" s="127">
        <f t="shared" si="129"/>
        <v>68.008782006930829</v>
      </c>
      <c r="N162" s="128">
        <f t="shared" si="130"/>
        <v>10.226884512320426</v>
      </c>
      <c r="O162" s="129" t="str">
        <f t="shared" si="111"/>
        <v>OK</v>
      </c>
    </row>
    <row r="163" spans="1:15" ht="14.25" customHeight="1" x14ac:dyDescent="0.25">
      <c r="A163" s="120" t="str">
        <f>IF(N163=MIN(N153:N176),1,"")</f>
        <v/>
      </c>
      <c r="B163" s="121">
        <f t="shared" si="124"/>
        <v>42315.416666666642</v>
      </c>
      <c r="C163" s="122">
        <f t="shared" si="127"/>
        <v>7</v>
      </c>
      <c r="D163" s="123">
        <v>1074.9702572746471</v>
      </c>
      <c r="E163" s="124">
        <v>42.701606750488281</v>
      </c>
      <c r="F163" s="125">
        <v>12.598124997469451</v>
      </c>
      <c r="G163" s="126">
        <v>2.3041229248046875</v>
      </c>
      <c r="H163" s="127">
        <f>HLOOKUP('Operational Worksheet'!E163,$B$773:$U$775,3)</f>
        <v>7</v>
      </c>
      <c r="I163" s="127">
        <f t="shared" si="109"/>
        <v>1.5163210228090496</v>
      </c>
      <c r="J163" s="127">
        <f t="shared" si="110"/>
        <v>28.126824709161912</v>
      </c>
      <c r="K163" s="127">
        <f t="shared" si="128"/>
        <v>3.4937900300176223</v>
      </c>
      <c r="L163" s="127">
        <f t="shared" si="128"/>
        <v>64.807661614342905</v>
      </c>
      <c r="M163" s="127">
        <f t="shared" si="129"/>
        <v>68.301451644360526</v>
      </c>
      <c r="N163" s="128">
        <f t="shared" si="130"/>
        <v>9.7573502349086461</v>
      </c>
      <c r="O163" s="129" t="str">
        <f t="shared" si="111"/>
        <v>OK</v>
      </c>
    </row>
    <row r="164" spans="1:15" ht="14.25" customHeight="1" x14ac:dyDescent="0.25">
      <c r="A164" s="120" t="str">
        <f>IF(N164=MIN(N153:N176),1,"")</f>
        <v/>
      </c>
      <c r="B164" s="121">
        <f t="shared" si="124"/>
        <v>42315.458333333307</v>
      </c>
      <c r="C164" s="122">
        <f t="shared" si="127"/>
        <v>7</v>
      </c>
      <c r="D164" s="123">
        <v>1072.7810780279715</v>
      </c>
      <c r="E164" s="124">
        <v>43.012165604868208</v>
      </c>
      <c r="F164" s="125">
        <v>12.606658779380211</v>
      </c>
      <c r="G164" s="126">
        <v>2.3041229248046875</v>
      </c>
      <c r="H164" s="127">
        <f>HLOOKUP('Operational Worksheet'!E164,$B$773:$U$775,3)</f>
        <v>6.6499999999999995</v>
      </c>
      <c r="I164" s="128">
        <f t="shared" si="109"/>
        <v>1.5194153153748109</v>
      </c>
      <c r="J164" s="127">
        <f t="shared" si="110"/>
        <v>28.203313509341761</v>
      </c>
      <c r="K164" s="127">
        <f>I164*$G164</f>
        <v>3.5009196604544459</v>
      </c>
      <c r="L164" s="127">
        <f>J164*$G164</f>
        <v>64.983901212328092</v>
      </c>
      <c r="M164" s="127">
        <f>K164+L164</f>
        <v>68.484820872782535</v>
      </c>
      <c r="N164" s="128">
        <f t="shared" si="130"/>
        <v>10.298469304177825</v>
      </c>
      <c r="O164" s="129" t="str">
        <f t="shared" si="111"/>
        <v>OK</v>
      </c>
    </row>
    <row r="165" spans="1:15" ht="14.25" customHeight="1" x14ac:dyDescent="0.25">
      <c r="A165" s="120" t="str">
        <f>IF(N165=MIN(N153:N176),1,"")</f>
        <v/>
      </c>
      <c r="B165" s="121">
        <f t="shared" si="124"/>
        <v>42315.499999999971</v>
      </c>
      <c r="C165" s="122">
        <f>DAY(B165)</f>
        <v>7</v>
      </c>
      <c r="D165" s="123">
        <v>1071.9887185205398</v>
      </c>
      <c r="E165" s="124">
        <v>43.051399230957031</v>
      </c>
      <c r="F165" s="125">
        <v>12.604745573431389</v>
      </c>
      <c r="G165" s="126">
        <v>2.3041229248046875</v>
      </c>
      <c r="H165" s="127">
        <f>HLOOKUP('Operational Worksheet'!E165,$B$773:$U$775,3)</f>
        <v>6.6499999999999995</v>
      </c>
      <c r="I165" s="127">
        <f t="shared" si="109"/>
        <v>1.5205383898531843</v>
      </c>
      <c r="J165" s="127">
        <f t="shared" si="110"/>
        <v>28.219876621449444</v>
      </c>
      <c r="K165" s="127">
        <f>I165*$G165</f>
        <v>3.5035073621063293</v>
      </c>
      <c r="L165" s="127">
        <f>J165*$G165</f>
        <v>65.022064658641511</v>
      </c>
      <c r="M165" s="127">
        <f>K165+L165</f>
        <v>68.525572020747845</v>
      </c>
      <c r="N165" s="128">
        <f>IF(D165&gt;0,M165/H165,"PO")</f>
        <v>10.304597296353061</v>
      </c>
      <c r="O165" s="129" t="str">
        <f t="shared" si="111"/>
        <v>OK</v>
      </c>
    </row>
    <row r="166" spans="1:15" ht="14.25" customHeight="1" x14ac:dyDescent="0.25">
      <c r="A166" s="120" t="str">
        <f>IF(N166=MIN(N153:N176),1,"")</f>
        <v/>
      </c>
      <c r="B166" s="121">
        <f t="shared" si="124"/>
        <v>42315.541666666635</v>
      </c>
      <c r="C166" s="122">
        <f t="shared" ref="C166:C170" si="131">DAY(B166)</f>
        <v>7</v>
      </c>
      <c r="D166" s="123">
        <v>1073.5295977159685</v>
      </c>
      <c r="E166" s="124">
        <v>43.664691459963223</v>
      </c>
      <c r="F166" s="125">
        <v>12.60488817196104</v>
      </c>
      <c r="G166" s="126">
        <v>2.3041229248046875</v>
      </c>
      <c r="H166" s="127">
        <f>HLOOKUP('Operational Worksheet'!E166,$B$773:$U$775,3)</f>
        <v>6.6499999999999995</v>
      </c>
      <c r="I166" s="127">
        <f t="shared" si="109"/>
        <v>1.5183559013817343</v>
      </c>
      <c r="J166" s="127">
        <f t="shared" si="110"/>
        <v>28.179690319735755</v>
      </c>
      <c r="K166" s="127">
        <f t="shared" ref="K166:L169" si="132">I166*$G166</f>
        <v>3.4984786403861392</v>
      </c>
      <c r="L166" s="127">
        <f t="shared" si="132"/>
        <v>64.929470479599885</v>
      </c>
      <c r="M166" s="127">
        <f t="shared" ref="M166:M169" si="133">K166+L166</f>
        <v>68.427949119986025</v>
      </c>
      <c r="N166" s="128">
        <f t="shared" ref="N166:N170" si="134">IF(D166&gt;0,M166/H166,"PO")</f>
        <v>10.289917160900155</v>
      </c>
      <c r="O166" s="129" t="str">
        <f t="shared" si="111"/>
        <v>OK</v>
      </c>
    </row>
    <row r="167" spans="1:15" ht="14.25" customHeight="1" x14ac:dyDescent="0.25">
      <c r="A167" s="120" t="str">
        <f>IF(N167=MIN(N153:N176),1,"")</f>
        <v/>
      </c>
      <c r="B167" s="121">
        <f t="shared" si="124"/>
        <v>42315.583333333299</v>
      </c>
      <c r="C167" s="122">
        <f t="shared" si="131"/>
        <v>7</v>
      </c>
      <c r="D167" s="123">
        <v>1046.6436171259409</v>
      </c>
      <c r="E167" s="124">
        <v>44.263301849365234</v>
      </c>
      <c r="F167" s="125">
        <v>12.595097504406588</v>
      </c>
      <c r="G167" s="126">
        <v>2.3042299747467041</v>
      </c>
      <c r="H167" s="127">
        <f>HLOOKUP('Operational Worksheet'!E167,$B$773:$U$775,3)</f>
        <v>6.3000000000000007</v>
      </c>
      <c r="I167" s="127">
        <f t="shared" si="109"/>
        <v>1.5573591367001713</v>
      </c>
      <c r="J167" s="127">
        <f t="shared" si="110"/>
        <v>28.88111436974301</v>
      </c>
      <c r="K167" s="127">
        <f t="shared" si="132"/>
        <v>3.5885136042301848</v>
      </c>
      <c r="L167" s="127">
        <f t="shared" si="132"/>
        <v>66.548729434849605</v>
      </c>
      <c r="M167" s="127">
        <f t="shared" si="133"/>
        <v>70.137243039079792</v>
      </c>
      <c r="N167" s="128">
        <f t="shared" si="134"/>
        <v>11.132895720488854</v>
      </c>
      <c r="O167" s="129" t="str">
        <f t="shared" si="111"/>
        <v>OK</v>
      </c>
    </row>
    <row r="168" spans="1:15" ht="14.25" customHeight="1" x14ac:dyDescent="0.25">
      <c r="A168" s="120" t="str">
        <f>IF(N168=MIN(N153:N176),1,"")</f>
        <v/>
      </c>
      <c r="B168" s="121">
        <f t="shared" si="124"/>
        <v>42315.624999999964</v>
      </c>
      <c r="C168" s="122">
        <f t="shared" si="131"/>
        <v>7</v>
      </c>
      <c r="D168" s="123">
        <v>1115.5242876504633</v>
      </c>
      <c r="E168" s="124">
        <v>44.263301849365234</v>
      </c>
      <c r="F168" s="125">
        <v>12.596657157992539</v>
      </c>
      <c r="G168" s="126">
        <v>2.3042299747467041</v>
      </c>
      <c r="H168" s="127">
        <f>HLOOKUP('Operational Worksheet'!E168,$B$773:$U$775,3)</f>
        <v>6.3000000000000007</v>
      </c>
      <c r="I168" s="127">
        <f t="shared" si="109"/>
        <v>1.4611963343560492</v>
      </c>
      <c r="J168" s="127">
        <f t="shared" si="110"/>
        <v>27.101137567212643</v>
      </c>
      <c r="K168" s="127">
        <f t="shared" si="132"/>
        <v>3.366932392613216</v>
      </c>
      <c r="L168" s="127">
        <f t="shared" si="132"/>
        <v>62.447253532105343</v>
      </c>
      <c r="M168" s="127">
        <f t="shared" si="133"/>
        <v>65.814185924718558</v>
      </c>
      <c r="N168" s="128">
        <f t="shared" si="134"/>
        <v>10.446696178526754</v>
      </c>
      <c r="O168" s="129" t="str">
        <f t="shared" si="111"/>
        <v>OK</v>
      </c>
    </row>
    <row r="169" spans="1:15" ht="14.25" customHeight="1" x14ac:dyDescent="0.25">
      <c r="A169" s="120" t="str">
        <f>IF(N169=MIN(N153:N176),1,"")</f>
        <v/>
      </c>
      <c r="B169" s="121">
        <f t="shared" si="124"/>
        <v>42315.666666666628</v>
      </c>
      <c r="C169" s="122">
        <f t="shared" si="131"/>
        <v>7</v>
      </c>
      <c r="D169" s="123">
        <v>1161.186201997712</v>
      </c>
      <c r="E169" s="124">
        <v>44.263301849365234</v>
      </c>
      <c r="F169" s="125">
        <v>12.601148053054686</v>
      </c>
      <c r="G169" s="126">
        <v>2.3042299747467041</v>
      </c>
      <c r="H169" s="127">
        <f>HLOOKUP('Operational Worksheet'!E169,$B$773:$U$775,3)</f>
        <v>6.3000000000000007</v>
      </c>
      <c r="I169" s="127">
        <f t="shared" si="109"/>
        <v>1.403736969312706</v>
      </c>
      <c r="J169" s="127">
        <f t="shared" si="110"/>
        <v>26.044707795615743</v>
      </c>
      <c r="K169" s="127">
        <f t="shared" si="132"/>
        <v>3.2345328013504315</v>
      </c>
      <c r="L169" s="127">
        <f t="shared" si="132"/>
        <v>60.012996386176951</v>
      </c>
      <c r="M169" s="127">
        <f t="shared" si="133"/>
        <v>63.247529187527384</v>
      </c>
      <c r="N169" s="128">
        <f t="shared" si="134"/>
        <v>10.039290347226567</v>
      </c>
      <c r="O169" s="129" t="str">
        <f t="shared" si="111"/>
        <v>OK</v>
      </c>
    </row>
    <row r="170" spans="1:15" ht="14.25" customHeight="1" x14ac:dyDescent="0.25">
      <c r="A170" s="120" t="str">
        <f>IF(N170=MIN(N153:N176),1,"")</f>
        <v/>
      </c>
      <c r="B170" s="121">
        <f t="shared" si="124"/>
        <v>42315.708333333292</v>
      </c>
      <c r="C170" s="122">
        <f t="shared" si="131"/>
        <v>7</v>
      </c>
      <c r="D170" s="123">
        <v>1160.5692765421554</v>
      </c>
      <c r="E170" s="124">
        <v>44.263301849365234</v>
      </c>
      <c r="F170" s="125">
        <v>12.594238769738249</v>
      </c>
      <c r="G170" s="126">
        <v>2.3455371856689453</v>
      </c>
      <c r="H170" s="127">
        <f>HLOOKUP('Operational Worksheet'!E170,$B$773:$U$775,3)</f>
        <v>6.3000000000000007</v>
      </c>
      <c r="I170" s="128">
        <f t="shared" si="109"/>
        <v>1.4044831557634236</v>
      </c>
      <c r="J170" s="127">
        <f t="shared" si="110"/>
        <v>26.044264360873672</v>
      </c>
      <c r="K170" s="127">
        <f>I170*$G170</f>
        <v>3.2942674684887798</v>
      </c>
      <c r="L170" s="127">
        <f>J170*$G170</f>
        <v>61.087790531821646</v>
      </c>
      <c r="M170" s="127">
        <f>K170+L170</f>
        <v>64.382058000310423</v>
      </c>
      <c r="N170" s="128">
        <f t="shared" si="134"/>
        <v>10.219374285763559</v>
      </c>
      <c r="O170" s="129" t="str">
        <f t="shared" si="111"/>
        <v>OK</v>
      </c>
    </row>
    <row r="171" spans="1:15" ht="14.25" customHeight="1" x14ac:dyDescent="0.25">
      <c r="A171" s="120" t="str">
        <f>IF(N171=MIN(N153:N176),1,"")</f>
        <v/>
      </c>
      <c r="B171" s="121">
        <f>B170+1/24</f>
        <v>42315.749999999956</v>
      </c>
      <c r="C171" s="122">
        <f>DAY(B171)</f>
        <v>7</v>
      </c>
      <c r="D171" s="123">
        <v>1156.6280446242708</v>
      </c>
      <c r="E171" s="124">
        <v>44.263301849365234</v>
      </c>
      <c r="F171" s="125">
        <v>12.593093493472601</v>
      </c>
      <c r="G171" s="126">
        <v>2.3455371856689453</v>
      </c>
      <c r="H171" s="127">
        <f>HLOOKUP('Operational Worksheet'!E171,$B$773:$U$775,3)</f>
        <v>6.3000000000000007</v>
      </c>
      <c r="I171" s="127">
        <f t="shared" si="109"/>
        <v>1.4092689586560245</v>
      </c>
      <c r="J171" s="127">
        <f t="shared" si="110"/>
        <v>26.13063423872995</v>
      </c>
      <c r="K171" s="127">
        <f>I171*$G171</f>
        <v>3.3054927471366571</v>
      </c>
      <c r="L171" s="127">
        <f>J171*$G171</f>
        <v>61.290374292055233</v>
      </c>
      <c r="M171" s="127">
        <f>K171+L171</f>
        <v>64.595867039191887</v>
      </c>
      <c r="N171" s="128">
        <f>IF(D171&gt;0,M171/H171,"PO")</f>
        <v>10.253312228443155</v>
      </c>
      <c r="O171" s="129" t="str">
        <f t="shared" si="111"/>
        <v>OK</v>
      </c>
    </row>
    <row r="172" spans="1:15" ht="14.25" customHeight="1" x14ac:dyDescent="0.25">
      <c r="A172" s="120" t="str">
        <f>IF(N172=MIN(N153:N176),1,"")</f>
        <v/>
      </c>
      <c r="B172" s="121">
        <f t="shared" ref="B172:B176" si="135">B171+1/24</f>
        <v>42315.791666666621</v>
      </c>
      <c r="C172" s="122">
        <f t="shared" ref="C172:C176" si="136">DAY(B172)</f>
        <v>7</v>
      </c>
      <c r="D172" s="123">
        <v>1162.3213722857029</v>
      </c>
      <c r="E172" s="124">
        <v>41.083908886267714</v>
      </c>
      <c r="F172" s="125">
        <v>12.609201644558299</v>
      </c>
      <c r="G172" s="126">
        <v>2.3455371856689453</v>
      </c>
      <c r="H172" s="127">
        <f>HLOOKUP('Operational Worksheet'!E172,$B$773:$U$775,3)</f>
        <v>7</v>
      </c>
      <c r="I172" s="127">
        <f t="shared" si="109"/>
        <v>1.4023660227417207</v>
      </c>
      <c r="J172" s="127">
        <f t="shared" si="110"/>
        <v>26.035900800335096</v>
      </c>
      <c r="K172" s="127">
        <f t="shared" ref="K172:L175" si="137">I172*$G172</f>
        <v>3.2893016542593676</v>
      </c>
      <c r="L172" s="127">
        <f t="shared" si="137"/>
        <v>61.068173489573823</v>
      </c>
      <c r="M172" s="127">
        <f t="shared" ref="M172:M175" si="138">K172+L172</f>
        <v>64.357475143833184</v>
      </c>
      <c r="N172" s="128">
        <f t="shared" ref="N172:N176" si="139">IF(D172&gt;0,M172/H172,"PO")</f>
        <v>9.1939250205475975</v>
      </c>
      <c r="O172" s="129" t="str">
        <f t="shared" si="111"/>
        <v>OK</v>
      </c>
    </row>
    <row r="173" spans="1:15" ht="14.25" customHeight="1" x14ac:dyDescent="0.25">
      <c r="A173" s="120" t="str">
        <f>IF(N173=MIN(N153:N176),1,"")</f>
        <v/>
      </c>
      <c r="B173" s="121">
        <f t="shared" si="135"/>
        <v>42315.833333333285</v>
      </c>
      <c r="C173" s="122">
        <f t="shared" si="136"/>
        <v>7</v>
      </c>
      <c r="D173" s="123">
        <v>1161.887500671744</v>
      </c>
      <c r="E173" s="124">
        <v>41.079845428466797</v>
      </c>
      <c r="F173" s="125">
        <v>12.61087325031375</v>
      </c>
      <c r="G173" s="126">
        <v>2.1323668956756592</v>
      </c>
      <c r="H173" s="127">
        <f>HLOOKUP('Operational Worksheet'!E173,$B$773:$U$775,3)</f>
        <v>7</v>
      </c>
      <c r="I173" s="127">
        <f t="shared" si="109"/>
        <v>1.4028896937591784</v>
      </c>
      <c r="J173" s="127">
        <f t="shared" si="110"/>
        <v>26.049075993376889</v>
      </c>
      <c r="K173" s="127">
        <f t="shared" si="137"/>
        <v>2.9914755412566354</v>
      </c>
      <c r="L173" s="127">
        <f t="shared" si="137"/>
        <v>55.546187311216414</v>
      </c>
      <c r="M173" s="127">
        <f t="shared" si="138"/>
        <v>58.537662852473048</v>
      </c>
      <c r="N173" s="128">
        <f t="shared" si="139"/>
        <v>8.3625232646390071</v>
      </c>
      <c r="O173" s="129" t="str">
        <f t="shared" si="111"/>
        <v>OK</v>
      </c>
    </row>
    <row r="174" spans="1:15" ht="14.25" customHeight="1" x14ac:dyDescent="0.25">
      <c r="A174" s="120" t="str">
        <f>IF(N174=MIN(N153:N176),1,"")</f>
        <v/>
      </c>
      <c r="B174" s="121">
        <f t="shared" si="135"/>
        <v>42315.874999999949</v>
      </c>
      <c r="C174" s="122">
        <f t="shared" si="136"/>
        <v>7</v>
      </c>
      <c r="D174" s="123">
        <v>1227.4097602802685</v>
      </c>
      <c r="E174" s="124">
        <v>41.079845428466797</v>
      </c>
      <c r="F174" s="125">
        <v>12.599276404304764</v>
      </c>
      <c r="G174" s="126">
        <v>2.1323668956756592</v>
      </c>
      <c r="H174" s="127">
        <f>HLOOKUP('Operational Worksheet'!E174,$B$773:$U$775,3)</f>
        <v>7</v>
      </c>
      <c r="I174" s="127">
        <f t="shared" si="109"/>
        <v>1.3279998682981007</v>
      </c>
      <c r="J174" s="127">
        <f t="shared" si="110"/>
        <v>24.635834216787377</v>
      </c>
      <c r="K174" s="127">
        <f t="shared" si="137"/>
        <v>2.8317829566205051</v>
      </c>
      <c r="L174" s="127">
        <f t="shared" si="137"/>
        <v>52.532637331231079</v>
      </c>
      <c r="M174" s="127">
        <f t="shared" si="138"/>
        <v>55.364420287851587</v>
      </c>
      <c r="N174" s="128">
        <f t="shared" si="139"/>
        <v>7.9092028982645122</v>
      </c>
      <c r="O174" s="129" t="str">
        <f t="shared" si="111"/>
        <v>OK</v>
      </c>
    </row>
    <row r="175" spans="1:15" ht="14.25" customHeight="1" x14ac:dyDescent="0.25">
      <c r="A175" s="120" t="str">
        <f>IF(N175=MIN(N153:N176),1,"")</f>
        <v/>
      </c>
      <c r="B175" s="121">
        <f t="shared" si="135"/>
        <v>42315.916666666613</v>
      </c>
      <c r="C175" s="122">
        <f t="shared" si="136"/>
        <v>7</v>
      </c>
      <c r="D175" s="123">
        <v>1258.2208187322487</v>
      </c>
      <c r="E175" s="124">
        <v>41.079845428466797</v>
      </c>
      <c r="F175" s="125">
        <v>12.624597767647005</v>
      </c>
      <c r="G175" s="126">
        <v>2.1323668956756592</v>
      </c>
      <c r="H175" s="127">
        <f>HLOOKUP('Operational Worksheet'!E175,$B$773:$U$775,3)</f>
        <v>7</v>
      </c>
      <c r="I175" s="127">
        <f t="shared" si="109"/>
        <v>1.2954800745089772</v>
      </c>
      <c r="J175" s="127">
        <f t="shared" si="110"/>
        <v>24.080856230690372</v>
      </c>
      <c r="K175" s="127">
        <f t="shared" si="137"/>
        <v>2.7624388248903795</v>
      </c>
      <c r="L175" s="127">
        <f t="shared" si="137"/>
        <v>51.349220645849087</v>
      </c>
      <c r="M175" s="127">
        <f t="shared" si="138"/>
        <v>54.111659470739468</v>
      </c>
      <c r="N175" s="128">
        <f t="shared" si="139"/>
        <v>7.7302370672484955</v>
      </c>
      <c r="O175" s="129" t="str">
        <f t="shared" si="111"/>
        <v>OK</v>
      </c>
    </row>
    <row r="176" spans="1:15" ht="14.25" customHeight="1" x14ac:dyDescent="0.25">
      <c r="A176" s="130">
        <f>IF(N176=MIN(N153:N176),1,"")</f>
        <v>1</v>
      </c>
      <c r="B176" s="131">
        <f t="shared" si="135"/>
        <v>42315.958333333278</v>
      </c>
      <c r="C176" s="132">
        <f t="shared" si="136"/>
        <v>7</v>
      </c>
      <c r="D176" s="123">
        <v>1265.264772112381</v>
      </c>
      <c r="E176" s="124">
        <v>41.079845428466797</v>
      </c>
      <c r="F176" s="125">
        <v>12.604754573555818</v>
      </c>
      <c r="G176" s="126">
        <v>2.1323668956756592</v>
      </c>
      <c r="H176" s="133">
        <f>HLOOKUP('Operational Worksheet'!E176,$B$773:$U$775,3)</f>
        <v>7</v>
      </c>
      <c r="I176" s="134">
        <f t="shared" si="109"/>
        <v>1.2882679071817413</v>
      </c>
      <c r="J176" s="133">
        <f t="shared" si="110"/>
        <v>23.909154544806235</v>
      </c>
      <c r="K176" s="133">
        <f>I176*$G176</f>
        <v>2.7470598380357081</v>
      </c>
      <c r="L176" s="133">
        <f>J176*$G176</f>
        <v>50.983089654938048</v>
      </c>
      <c r="M176" s="133">
        <f>K176+L176</f>
        <v>53.730149492973759</v>
      </c>
      <c r="N176" s="134">
        <f t="shared" si="139"/>
        <v>7.675735641853394</v>
      </c>
      <c r="O176" s="135" t="str">
        <f t="shared" si="111"/>
        <v>OK</v>
      </c>
    </row>
    <row r="177" spans="1:15" ht="14.25" customHeight="1" x14ac:dyDescent="0.25">
      <c r="A177" s="110" t="str">
        <f>IF(N177=MIN(N177:N200),1,"")</f>
        <v/>
      </c>
      <c r="B177" s="111">
        <f>'[1]Turbidity Daily Data Sheet'!B23</f>
        <v>42316</v>
      </c>
      <c r="C177" s="112">
        <f>DAY(B177)</f>
        <v>8</v>
      </c>
      <c r="D177" s="123">
        <v>1266.8241073620497</v>
      </c>
      <c r="E177" s="124">
        <v>41.079845428466797</v>
      </c>
      <c r="F177" s="125">
        <v>12.615789496576184</v>
      </c>
      <c r="G177" s="126">
        <v>2.1323668956756592</v>
      </c>
      <c r="H177" s="117">
        <f>HLOOKUP('Operational Worksheet'!E177,$B$773:$U$775,3)</f>
        <v>7</v>
      </c>
      <c r="I177" s="117">
        <f t="shared" si="109"/>
        <v>1.28668217673423</v>
      </c>
      <c r="J177" s="117">
        <f t="shared" si="110"/>
        <v>23.900630415718499</v>
      </c>
      <c r="K177" s="117">
        <f>I177*$G177</f>
        <v>2.7436784789239699</v>
      </c>
      <c r="L177" s="117">
        <f>J177*$G177</f>
        <v>50.964913084256892</v>
      </c>
      <c r="M177" s="117">
        <f>K177+L177</f>
        <v>53.70859156318086</v>
      </c>
      <c r="N177" s="118">
        <f>IF(D177&gt;0,M177/H177,"PO")</f>
        <v>7.6726559375972654</v>
      </c>
      <c r="O177" s="119" t="str">
        <f t="shared" si="111"/>
        <v>OK</v>
      </c>
    </row>
    <row r="178" spans="1:15" ht="14.25" customHeight="1" x14ac:dyDescent="0.25">
      <c r="A178" s="120" t="str">
        <f>IF(N178=MIN(N177:N200),1,"")</f>
        <v/>
      </c>
      <c r="B178" s="121">
        <f>B177+1/24</f>
        <v>42316.041666666664</v>
      </c>
      <c r="C178" s="122">
        <f>DAY(B178)</f>
        <v>8</v>
      </c>
      <c r="D178" s="123">
        <v>1263.1622739042548</v>
      </c>
      <c r="E178" s="124">
        <v>41.079845428466797</v>
      </c>
      <c r="F178" s="125">
        <v>12.613678740166502</v>
      </c>
      <c r="G178" s="126">
        <v>2.1323668956756592</v>
      </c>
      <c r="H178" s="127">
        <f>HLOOKUP('Operational Worksheet'!E178,$B$773:$U$775,3)</f>
        <v>7</v>
      </c>
      <c r="I178" s="127">
        <f t="shared" si="109"/>
        <v>1.2904121930129389</v>
      </c>
      <c r="J178" s="127">
        <f t="shared" si="110"/>
        <v>23.965906520332179</v>
      </c>
      <c r="K178" s="127">
        <f t="shared" ref="K178:L181" si="140">I178*$G178</f>
        <v>2.7516322421570201</v>
      </c>
      <c r="L178" s="127">
        <f t="shared" si="140"/>
        <v>51.104105688813767</v>
      </c>
      <c r="M178" s="127">
        <f t="shared" ref="M178:M181" si="141">K178+L178</f>
        <v>53.85573793097079</v>
      </c>
      <c r="N178" s="128">
        <f t="shared" ref="N178:N182" si="142">IF(D178&gt;0,M178/H178,"PO")</f>
        <v>7.6936768472815418</v>
      </c>
      <c r="O178" s="129" t="str">
        <f t="shared" si="111"/>
        <v>OK</v>
      </c>
    </row>
    <row r="179" spans="1:15" ht="14.25" customHeight="1" x14ac:dyDescent="0.25">
      <c r="A179" s="120" t="str">
        <f>IF(N179=MIN(N177:N200),1,"")</f>
        <v/>
      </c>
      <c r="B179" s="121">
        <f t="shared" ref="B179:B194" si="143">B178+1/24</f>
        <v>42316.083333333328</v>
      </c>
      <c r="C179" s="122">
        <f t="shared" ref="C179" si="144">DAY(B179)</f>
        <v>8</v>
      </c>
      <c r="D179" s="123">
        <v>1256.5980999265259</v>
      </c>
      <c r="E179" s="124">
        <v>41.00221453929111</v>
      </c>
      <c r="F179" s="125">
        <v>12.613779811508481</v>
      </c>
      <c r="G179" s="126">
        <v>2.1323668956756592</v>
      </c>
      <c r="H179" s="127">
        <f>HLOOKUP('Operational Worksheet'!E179,$B$773:$U$775,3)</f>
        <v>7</v>
      </c>
      <c r="I179" s="127">
        <f t="shared" si="109"/>
        <v>1.2971530038882815</v>
      </c>
      <c r="J179" s="127">
        <f t="shared" si="110"/>
        <v>24.091291837374602</v>
      </c>
      <c r="K179" s="127">
        <f t="shared" si="140"/>
        <v>2.7660061241176108</v>
      </c>
      <c r="L179" s="127">
        <f t="shared" si="140"/>
        <v>51.371473188078824</v>
      </c>
      <c r="M179" s="127">
        <f t="shared" si="141"/>
        <v>54.137479312196433</v>
      </c>
      <c r="N179" s="128">
        <f t="shared" si="142"/>
        <v>7.7339256160280616</v>
      </c>
      <c r="O179" s="129" t="str">
        <f t="shared" si="111"/>
        <v>OK</v>
      </c>
    </row>
    <row r="180" spans="1:15" ht="14.25" customHeight="1" x14ac:dyDescent="0.25">
      <c r="A180" s="120">
        <f>IF(N180=MIN(N177:N200),1,"")</f>
        <v>1</v>
      </c>
      <c r="B180" s="121">
        <f t="shared" si="143"/>
        <v>42316.124999999993</v>
      </c>
      <c r="C180" s="122">
        <f>DAY(B180)</f>
        <v>8</v>
      </c>
      <c r="D180" s="123">
        <v>1255.2329505983764</v>
      </c>
      <c r="E180" s="124">
        <v>40.581657409667969</v>
      </c>
      <c r="F180" s="125">
        <v>12.612300607372868</v>
      </c>
      <c r="G180" s="126">
        <v>2.1323668956756592</v>
      </c>
      <c r="H180" s="127">
        <f>HLOOKUP('Operational Worksheet'!E180,$B$773:$U$775,3)</f>
        <v>7.7875000000000005</v>
      </c>
      <c r="I180" s="127">
        <f t="shared" si="109"/>
        <v>1.2985637440627813</v>
      </c>
      <c r="J180" s="127">
        <f t="shared" si="110"/>
        <v>24.114664487787095</v>
      </c>
      <c r="K180" s="127">
        <f t="shared" si="140"/>
        <v>2.769014339764114</v>
      </c>
      <c r="L180" s="127">
        <f t="shared" si="140"/>
        <v>51.421312254082629</v>
      </c>
      <c r="M180" s="127">
        <f t="shared" si="141"/>
        <v>54.190326593846741</v>
      </c>
      <c r="N180" s="128">
        <f t="shared" si="142"/>
        <v>6.9586294181504638</v>
      </c>
      <c r="O180" s="129" t="str">
        <f t="shared" si="111"/>
        <v>OK</v>
      </c>
    </row>
    <row r="181" spans="1:15" ht="14.25" customHeight="1" x14ac:dyDescent="0.25">
      <c r="A181" s="120" t="str">
        <f>IF(N181=MIN(N177:N200),1,"")</f>
        <v/>
      </c>
      <c r="B181" s="121">
        <f t="shared" si="143"/>
        <v>42316.166666666657</v>
      </c>
      <c r="C181" s="122">
        <f t="shared" ref="C181:C182" si="145">DAY(B181)</f>
        <v>8</v>
      </c>
      <c r="D181" s="123">
        <v>1254.1775602398525</v>
      </c>
      <c r="E181" s="124">
        <v>40.581657409667969</v>
      </c>
      <c r="F181" s="125">
        <v>12.611840838688273</v>
      </c>
      <c r="G181" s="126">
        <v>2.1323668956756592</v>
      </c>
      <c r="H181" s="127">
        <f>HLOOKUP('Operational Worksheet'!E181,$B$773:$U$775,3)</f>
        <v>7.7875000000000005</v>
      </c>
      <c r="I181" s="127">
        <f t="shared" si="109"/>
        <v>1.2996564853929249</v>
      </c>
      <c r="J181" s="127">
        <f t="shared" si="110"/>
        <v>24.134077161341679</v>
      </c>
      <c r="K181" s="127">
        <f t="shared" si="140"/>
        <v>2.7713444652020489</v>
      </c>
      <c r="L181" s="127">
        <f t="shared" si="140"/>
        <v>51.462707196526978</v>
      </c>
      <c r="M181" s="127">
        <f t="shared" si="141"/>
        <v>54.234051661729026</v>
      </c>
      <c r="N181" s="128">
        <f t="shared" si="142"/>
        <v>6.9642441941225073</v>
      </c>
      <c r="O181" s="129" t="str">
        <f t="shared" si="111"/>
        <v>OK</v>
      </c>
    </row>
    <row r="182" spans="1:15" ht="14.25" customHeight="1" x14ac:dyDescent="0.25">
      <c r="A182" s="120" t="str">
        <f>IF(N182=MIN(N177:N200),1,"")</f>
        <v/>
      </c>
      <c r="B182" s="121">
        <f t="shared" si="143"/>
        <v>42316.208333333321</v>
      </c>
      <c r="C182" s="122">
        <f t="shared" si="145"/>
        <v>8</v>
      </c>
      <c r="D182" s="123">
        <v>1256.2188199447105</v>
      </c>
      <c r="E182" s="124">
        <v>40.581657409667969</v>
      </c>
      <c r="F182" s="125">
        <v>12.614125666541444</v>
      </c>
      <c r="G182" s="126">
        <v>2.3452162742614746</v>
      </c>
      <c r="H182" s="127">
        <f>HLOOKUP('Operational Worksheet'!E182,$B$773:$U$775,3)</f>
        <v>7.7875000000000005</v>
      </c>
      <c r="I182" s="128">
        <f t="shared" si="109"/>
        <v>1.2975446427969775</v>
      </c>
      <c r="J182" s="127">
        <f t="shared" si="110"/>
        <v>24.099226280523244</v>
      </c>
      <c r="K182" s="127">
        <f>I182*$G182</f>
        <v>3.0430228128682635</v>
      </c>
      <c r="L182" s="127">
        <f>J182*$G182</f>
        <v>56.517897670192937</v>
      </c>
      <c r="M182" s="127">
        <f>K182+L182</f>
        <v>59.560920483061203</v>
      </c>
      <c r="N182" s="128">
        <f t="shared" si="142"/>
        <v>7.6482722931699776</v>
      </c>
      <c r="O182" s="129" t="str">
        <f t="shared" si="111"/>
        <v>OK</v>
      </c>
    </row>
    <row r="183" spans="1:15" ht="14.25" customHeight="1" x14ac:dyDescent="0.25">
      <c r="A183" s="120" t="str">
        <f>IF(N183=MIN(N177:N200),1,"")</f>
        <v/>
      </c>
      <c r="B183" s="121">
        <f t="shared" si="143"/>
        <v>42316.249999999985</v>
      </c>
      <c r="C183" s="122">
        <f>DAY(B183)</f>
        <v>8</v>
      </c>
      <c r="D183" s="123">
        <v>1253.1721921666845</v>
      </c>
      <c r="E183" s="124">
        <v>40.581657409667969</v>
      </c>
      <c r="F183" s="125">
        <v>12.60284887069375</v>
      </c>
      <c r="G183" s="126">
        <v>2.3452162742614746</v>
      </c>
      <c r="H183" s="127">
        <f>HLOOKUP('Operational Worksheet'!E183,$B$773:$U$775,3)</f>
        <v>7.7875000000000005</v>
      </c>
      <c r="I183" s="127">
        <f t="shared" si="109"/>
        <v>1.3006991458865644</v>
      </c>
      <c r="J183" s="127">
        <f t="shared" si="110"/>
        <v>24.136218054255917</v>
      </c>
      <c r="K183" s="127">
        <f>I183*$G183</f>
        <v>3.050420804851171</v>
      </c>
      <c r="L183" s="127">
        <f>J183*$G183</f>
        <v>56.604651379964601</v>
      </c>
      <c r="M183" s="127">
        <f>K183+L183</f>
        <v>59.655072184815772</v>
      </c>
      <c r="N183" s="128">
        <f>IF(D183&gt;0,M183/H183,"PO")</f>
        <v>7.6603623993342884</v>
      </c>
      <c r="O183" s="129" t="str">
        <f t="shared" si="111"/>
        <v>OK</v>
      </c>
    </row>
    <row r="184" spans="1:15" ht="14.25" customHeight="1" x14ac:dyDescent="0.25">
      <c r="A184" s="120" t="str">
        <f>IF(N184=MIN(N177:N200),1,"")</f>
        <v/>
      </c>
      <c r="B184" s="121">
        <f t="shared" si="143"/>
        <v>42316.29166666665</v>
      </c>
      <c r="C184" s="122">
        <f t="shared" ref="C184:C188" si="146">DAY(B184)</f>
        <v>8</v>
      </c>
      <c r="D184" s="123">
        <v>1252.9404143149891</v>
      </c>
      <c r="E184" s="124">
        <v>40.581657409667969</v>
      </c>
      <c r="F184" s="125">
        <v>12.613626296460879</v>
      </c>
      <c r="G184" s="126">
        <v>2.3452162742614746</v>
      </c>
      <c r="H184" s="127">
        <f>HLOOKUP('Operational Worksheet'!E184,$B$773:$U$775,3)</f>
        <v>7.7875000000000005</v>
      </c>
      <c r="I184" s="127">
        <f t="shared" si="109"/>
        <v>1.3009397584889606</v>
      </c>
      <c r="J184" s="127">
        <f t="shared" si="110"/>
        <v>24.161327039687581</v>
      </c>
      <c r="K184" s="127">
        <f t="shared" ref="K184:L187" si="147">I184*$G184</f>
        <v>3.0509850934421028</v>
      </c>
      <c r="L184" s="127">
        <f t="shared" si="147"/>
        <v>56.663537381229133</v>
      </c>
      <c r="M184" s="127">
        <f t="shared" ref="M184:M187" si="148">K184+L184</f>
        <v>59.714522474671234</v>
      </c>
      <c r="N184" s="128">
        <f t="shared" ref="N184:N188" si="149">IF(D184&gt;0,M184/H184,"PO")</f>
        <v>7.6679964654473487</v>
      </c>
      <c r="O184" s="129" t="str">
        <f t="shared" si="111"/>
        <v>OK</v>
      </c>
    </row>
    <row r="185" spans="1:15" ht="14.25" customHeight="1" x14ac:dyDescent="0.25">
      <c r="A185" s="120" t="str">
        <f>IF(N185=MIN(N177:N200),1,"")</f>
        <v/>
      </c>
      <c r="B185" s="121">
        <f t="shared" si="143"/>
        <v>42316.333333333314</v>
      </c>
      <c r="C185" s="122">
        <f t="shared" si="146"/>
        <v>8</v>
      </c>
      <c r="D185" s="123">
        <v>1276.6243585613943</v>
      </c>
      <c r="E185" s="124">
        <v>42.89061950203039</v>
      </c>
      <c r="F185" s="125">
        <v>12.615973641621705</v>
      </c>
      <c r="G185" s="126">
        <v>2.3452162742614746</v>
      </c>
      <c r="H185" s="127">
        <f>HLOOKUP('Operational Worksheet'!E185,$B$773:$U$775,3)</f>
        <v>6.6499999999999995</v>
      </c>
      <c r="I185" s="127">
        <f t="shared" si="109"/>
        <v>1.2768047147688915</v>
      </c>
      <c r="J185" s="127">
        <f t="shared" si="110"/>
        <v>23.71749883733397</v>
      </c>
      <c r="K185" s="127">
        <f t="shared" si="147"/>
        <v>2.9943831961297844</v>
      </c>
      <c r="L185" s="127">
        <f t="shared" si="147"/>
        <v>55.622664258093231</v>
      </c>
      <c r="M185" s="127">
        <f t="shared" si="148"/>
        <v>58.617047454223012</v>
      </c>
      <c r="N185" s="128">
        <f t="shared" si="149"/>
        <v>8.8145936021387996</v>
      </c>
      <c r="O185" s="129" t="str">
        <f t="shared" si="111"/>
        <v>OK</v>
      </c>
    </row>
    <row r="186" spans="1:15" ht="14.25" customHeight="1" x14ac:dyDescent="0.25">
      <c r="A186" s="120" t="str">
        <f>IF(N186=MIN(N177:N200),1,"")</f>
        <v/>
      </c>
      <c r="B186" s="121">
        <f t="shared" si="143"/>
        <v>42316.374999999978</v>
      </c>
      <c r="C186" s="122">
        <f t="shared" si="146"/>
        <v>8</v>
      </c>
      <c r="D186" s="123">
        <v>1129.2231174019671</v>
      </c>
      <c r="E186" s="124">
        <v>43.358791351318359</v>
      </c>
      <c r="F186" s="125">
        <v>12.59521832995196</v>
      </c>
      <c r="G186" s="126">
        <v>2.3452162742614746</v>
      </c>
      <c r="H186" s="127">
        <f>HLOOKUP('Operational Worksheet'!E186,$B$773:$U$775,3)</f>
        <v>6.6499999999999995</v>
      </c>
      <c r="I186" s="127">
        <f t="shared" si="109"/>
        <v>1.4434702716237189</v>
      </c>
      <c r="J186" s="127">
        <f t="shared" si="110"/>
        <v>26.769310268312832</v>
      </c>
      <c r="K186" s="127">
        <f t="shared" si="147"/>
        <v>3.3852499724245768</v>
      </c>
      <c r="L186" s="127">
        <f t="shared" si="147"/>
        <v>62.779822092002057</v>
      </c>
      <c r="M186" s="127">
        <f t="shared" si="148"/>
        <v>66.165072064426639</v>
      </c>
      <c r="N186" s="128">
        <f t="shared" si="149"/>
        <v>9.9496348969062627</v>
      </c>
      <c r="O186" s="129" t="str">
        <f t="shared" si="111"/>
        <v>OK</v>
      </c>
    </row>
    <row r="187" spans="1:15" ht="14.25" customHeight="1" x14ac:dyDescent="0.25">
      <c r="A187" s="120" t="str">
        <f>IF(N187=MIN(N177:N200),1,"")</f>
        <v/>
      </c>
      <c r="B187" s="121">
        <f t="shared" si="143"/>
        <v>42316.416666666642</v>
      </c>
      <c r="C187" s="122">
        <f t="shared" si="146"/>
        <v>8</v>
      </c>
      <c r="D187" s="123">
        <v>1071.3005533414855</v>
      </c>
      <c r="E187" s="124">
        <v>43.358791351318359</v>
      </c>
      <c r="F187" s="125">
        <v>12.605242279698292</v>
      </c>
      <c r="G187" s="126">
        <v>2.3452162742614746</v>
      </c>
      <c r="H187" s="127">
        <f>HLOOKUP('Operational Worksheet'!E187,$B$773:$U$775,3)</f>
        <v>6.6499999999999995</v>
      </c>
      <c r="I187" s="127">
        <f t="shared" si="109"/>
        <v>1.5215151293592439</v>
      </c>
      <c r="J187" s="127">
        <f t="shared" si="110"/>
        <v>28.239116816392283</v>
      </c>
      <c r="K187" s="127">
        <f t="shared" si="147"/>
        <v>3.5682820429083515</v>
      </c>
      <c r="L187" s="127">
        <f t="shared" si="147"/>
        <v>66.226836328574066</v>
      </c>
      <c r="M187" s="127">
        <f t="shared" si="148"/>
        <v>69.795118371482417</v>
      </c>
      <c r="N187" s="128">
        <f t="shared" si="149"/>
        <v>10.495506522027432</v>
      </c>
      <c r="O187" s="129" t="str">
        <f t="shared" si="111"/>
        <v>OK</v>
      </c>
    </row>
    <row r="188" spans="1:15" ht="14.25" customHeight="1" x14ac:dyDescent="0.25">
      <c r="A188" s="120" t="str">
        <f>IF(N188=MIN(N177:N200),1,"")</f>
        <v/>
      </c>
      <c r="B188" s="121">
        <f t="shared" si="143"/>
        <v>42316.458333333307</v>
      </c>
      <c r="C188" s="122">
        <f t="shared" si="146"/>
        <v>8</v>
      </c>
      <c r="D188" s="123">
        <v>1062.0786191011905</v>
      </c>
      <c r="E188" s="124">
        <v>43.358791351318359</v>
      </c>
      <c r="F188" s="125">
        <v>12.600636625428514</v>
      </c>
      <c r="G188" s="126">
        <v>2.3452162742614746</v>
      </c>
      <c r="H188" s="127">
        <f>HLOOKUP('Operational Worksheet'!E188,$B$773:$U$775,3)</f>
        <v>6.6499999999999995</v>
      </c>
      <c r="I188" s="128">
        <f t="shared" si="109"/>
        <v>1.5347263099782826</v>
      </c>
      <c r="J188" s="127">
        <f t="shared" si="110"/>
        <v>28.473907069724323</v>
      </c>
      <c r="K188" s="127">
        <f>I188*$G188</f>
        <v>3.5992651186983289</v>
      </c>
      <c r="L188" s="127">
        <f>J188*$G188</f>
        <v>66.777470251726342</v>
      </c>
      <c r="M188" s="127">
        <f>K188+L188</f>
        <v>70.376735370424669</v>
      </c>
      <c r="N188" s="128">
        <f t="shared" si="149"/>
        <v>10.582967724875891</v>
      </c>
      <c r="O188" s="129" t="str">
        <f t="shared" si="111"/>
        <v>OK</v>
      </c>
    </row>
    <row r="189" spans="1:15" ht="14.25" customHeight="1" x14ac:dyDescent="0.25">
      <c r="A189" s="120" t="str">
        <f>IF(N189=MIN(N177:N200),1,"")</f>
        <v/>
      </c>
      <c r="B189" s="121">
        <f t="shared" si="143"/>
        <v>42316.499999999971</v>
      </c>
      <c r="C189" s="122">
        <f>DAY(B189)</f>
        <v>8</v>
      </c>
      <c r="D189" s="123">
        <v>1070.9145769366323</v>
      </c>
      <c r="E189" s="124">
        <v>43.460151796831987</v>
      </c>
      <c r="F189" s="125">
        <v>12.603685871810272</v>
      </c>
      <c r="G189" s="126">
        <v>2.3180346488952637</v>
      </c>
      <c r="H189" s="127">
        <f>HLOOKUP('Operational Worksheet'!E189,$B$773:$U$775,3)</f>
        <v>6.6499999999999995</v>
      </c>
      <c r="I189" s="127">
        <f t="shared" si="109"/>
        <v>1.5220635101098727</v>
      </c>
      <c r="J189" s="127">
        <f t="shared" si="110"/>
        <v>28.245806662630311</v>
      </c>
      <c r="K189" s="127">
        <f>I189*$G189</f>
        <v>3.5281959542538313</v>
      </c>
      <c r="L189" s="127">
        <f>J189*$G189</f>
        <v>65.474758529973755</v>
      </c>
      <c r="M189" s="127">
        <f>K189+L189</f>
        <v>69.002954484227587</v>
      </c>
      <c r="N189" s="128">
        <f>IF(D189&gt;0,M189/H189,"PO")</f>
        <v>10.376384132966555</v>
      </c>
      <c r="O189" s="129" t="str">
        <f t="shared" si="111"/>
        <v>OK</v>
      </c>
    </row>
    <row r="190" spans="1:15" ht="14.25" customHeight="1" x14ac:dyDescent="0.25">
      <c r="A190" s="120" t="str">
        <f>IF(N190=MIN(N177:N200),1,"")</f>
        <v/>
      </c>
      <c r="B190" s="121">
        <f t="shared" si="143"/>
        <v>42316.541666666635</v>
      </c>
      <c r="C190" s="122">
        <f t="shared" ref="C190:C194" si="150">DAY(B190)</f>
        <v>8</v>
      </c>
      <c r="D190" s="123">
        <v>1073.0240205218918</v>
      </c>
      <c r="E190" s="124">
        <v>44.086639404296875</v>
      </c>
      <c r="F190" s="125">
        <v>12.6025637683779</v>
      </c>
      <c r="G190" s="126">
        <v>2.0638785362243652</v>
      </c>
      <c r="H190" s="127">
        <f>HLOOKUP('Operational Worksheet'!E190,$B$773:$U$775,3)</f>
        <v>6.3000000000000007</v>
      </c>
      <c r="I190" s="127">
        <f t="shared" si="109"/>
        <v>1.5190713057916534</v>
      </c>
      <c r="J190" s="127">
        <f t="shared" si="110"/>
        <v>28.187768834285738</v>
      </c>
      <c r="K190" s="127">
        <f t="shared" ref="K190:L193" si="151">I190*$G190</f>
        <v>3.1351786630177125</v>
      </c>
      <c r="L190" s="127">
        <f t="shared" si="151"/>
        <v>58.176131081136432</v>
      </c>
      <c r="M190" s="127">
        <f t="shared" ref="M190:M193" si="152">K190+L190</f>
        <v>61.311309744154144</v>
      </c>
      <c r="N190" s="128">
        <f t="shared" ref="N190:N194" si="153">IF(D190&gt;0,M190/H190,"PO")</f>
        <v>9.731953927643513</v>
      </c>
      <c r="O190" s="129" t="str">
        <f t="shared" si="111"/>
        <v>OK</v>
      </c>
    </row>
    <row r="191" spans="1:15" ht="14.25" customHeight="1" x14ac:dyDescent="0.25">
      <c r="A191" s="120" t="str">
        <f>IF(N191=MIN(N177:N200),1,"")</f>
        <v/>
      </c>
      <c r="B191" s="121">
        <f t="shared" si="143"/>
        <v>42316.583333333299</v>
      </c>
      <c r="C191" s="122">
        <f t="shared" si="150"/>
        <v>8</v>
      </c>
      <c r="D191" s="123">
        <v>1236.7102873915928</v>
      </c>
      <c r="E191" s="124">
        <v>44.086639404296875</v>
      </c>
      <c r="F191" s="125">
        <v>12.602713251634281</v>
      </c>
      <c r="G191" s="126">
        <v>2.0638785362243652</v>
      </c>
      <c r="H191" s="127">
        <f>HLOOKUP('Operational Worksheet'!E191,$B$773:$U$775,3)</f>
        <v>6.3000000000000007</v>
      </c>
      <c r="I191" s="127">
        <f t="shared" si="109"/>
        <v>1.318012809158331</v>
      </c>
      <c r="J191" s="127">
        <f t="shared" si="110"/>
        <v>24.457233122655342</v>
      </c>
      <c r="K191" s="127">
        <f t="shared" si="151"/>
        <v>2.7202183472906598</v>
      </c>
      <c r="L191" s="127">
        <f t="shared" si="151"/>
        <v>50.476758497283967</v>
      </c>
      <c r="M191" s="127">
        <f t="shared" si="152"/>
        <v>53.196976844574628</v>
      </c>
      <c r="N191" s="128">
        <f t="shared" si="153"/>
        <v>8.443964578503909</v>
      </c>
      <c r="O191" s="129" t="str">
        <f t="shared" si="111"/>
        <v>OK</v>
      </c>
    </row>
    <row r="192" spans="1:15" ht="14.25" customHeight="1" x14ac:dyDescent="0.25">
      <c r="A192" s="120" t="str">
        <f>IF(N192=MIN(N177:N200),1,"")</f>
        <v/>
      </c>
      <c r="B192" s="121">
        <f t="shared" si="143"/>
        <v>42316.624999999964</v>
      </c>
      <c r="C192" s="122">
        <f t="shared" si="150"/>
        <v>8</v>
      </c>
      <c r="D192" s="123">
        <v>1248.5072532596555</v>
      </c>
      <c r="E192" s="124">
        <v>44.086639404296875</v>
      </c>
      <c r="F192" s="125">
        <v>12.607690465012919</v>
      </c>
      <c r="G192" s="126">
        <v>2.0638785362243652</v>
      </c>
      <c r="H192" s="127">
        <f>HLOOKUP('Operational Worksheet'!E192,$B$773:$U$775,3)</f>
        <v>6.3000000000000007</v>
      </c>
      <c r="I192" s="127">
        <f t="shared" si="109"/>
        <v>1.3055590952670295</v>
      </c>
      <c r="J192" s="127">
        <f t="shared" si="110"/>
        <v>24.235707912013282</v>
      </c>
      <c r="K192" s="127">
        <f t="shared" si="151"/>
        <v>2.6945153944941236</v>
      </c>
      <c r="L192" s="127">
        <f t="shared" si="151"/>
        <v>50.019557369807238</v>
      </c>
      <c r="M192" s="127">
        <f t="shared" si="152"/>
        <v>52.714072764301363</v>
      </c>
      <c r="N192" s="128">
        <f t="shared" si="153"/>
        <v>8.3673131371906919</v>
      </c>
      <c r="O192" s="129" t="str">
        <f t="shared" si="111"/>
        <v>OK</v>
      </c>
    </row>
    <row r="193" spans="1:15" ht="14.25" customHeight="1" x14ac:dyDescent="0.25">
      <c r="A193" s="120" t="str">
        <f>IF(N193=MIN(N177:N200),1,"")</f>
        <v/>
      </c>
      <c r="B193" s="121">
        <f t="shared" si="143"/>
        <v>42316.666666666628</v>
      </c>
      <c r="C193" s="122">
        <f t="shared" si="150"/>
        <v>8</v>
      </c>
      <c r="D193" s="123">
        <v>1252.702484628184</v>
      </c>
      <c r="E193" s="124">
        <v>44.086639404296875</v>
      </c>
      <c r="F193" s="125">
        <v>12.604598211932576</v>
      </c>
      <c r="G193" s="126">
        <v>2.0638785362243652</v>
      </c>
      <c r="H193" s="127">
        <f>HLOOKUP('Operational Worksheet'!E193,$B$773:$U$775,3)</f>
        <v>6.3000000000000007</v>
      </c>
      <c r="I193" s="127">
        <f t="shared" si="109"/>
        <v>1.3011868500315158</v>
      </c>
      <c r="J193" s="127">
        <f t="shared" si="110"/>
        <v>24.148619548413382</v>
      </c>
      <c r="K193" s="127">
        <f t="shared" si="151"/>
        <v>2.6854916113974374</v>
      </c>
      <c r="L193" s="127">
        <f t="shared" si="151"/>
        <v>49.839817565418507</v>
      </c>
      <c r="M193" s="127">
        <f t="shared" si="152"/>
        <v>52.525309176815945</v>
      </c>
      <c r="N193" s="128">
        <f t="shared" si="153"/>
        <v>8.3373506629866565</v>
      </c>
      <c r="O193" s="129" t="str">
        <f t="shared" si="111"/>
        <v>OK</v>
      </c>
    </row>
    <row r="194" spans="1:15" ht="14.25" customHeight="1" x14ac:dyDescent="0.25">
      <c r="A194" s="120" t="str">
        <f>IF(N194=MIN(N177:N200),1,"")</f>
        <v/>
      </c>
      <c r="B194" s="121">
        <f t="shared" si="143"/>
        <v>42316.708333333292</v>
      </c>
      <c r="C194" s="122">
        <f t="shared" si="150"/>
        <v>8</v>
      </c>
      <c r="D194" s="123">
        <v>1253.7719676299046</v>
      </c>
      <c r="E194" s="124">
        <v>44.086639404296875</v>
      </c>
      <c r="F194" s="125">
        <v>12.613843994651091</v>
      </c>
      <c r="G194" s="126">
        <v>2.0638785362243652</v>
      </c>
      <c r="H194" s="127">
        <f>HLOOKUP('Operational Worksheet'!E194,$B$773:$U$775,3)</f>
        <v>6.3000000000000007</v>
      </c>
      <c r="I194" s="128">
        <f t="shared" si="109"/>
        <v>1.3000769215484267</v>
      </c>
      <c r="J194" s="127">
        <f t="shared" si="110"/>
        <v>24.14571897343524</v>
      </c>
      <c r="K194" s="127">
        <f>I194*$G194</f>
        <v>2.6832008538244456</v>
      </c>
      <c r="L194" s="127">
        <f>J194*$G194</f>
        <v>49.83383113097841</v>
      </c>
      <c r="M194" s="127">
        <f>K194+L194</f>
        <v>52.517031984802856</v>
      </c>
      <c r="N194" s="128">
        <f t="shared" si="153"/>
        <v>8.33603682298458</v>
      </c>
      <c r="O194" s="129" t="str">
        <f t="shared" si="111"/>
        <v>OK</v>
      </c>
    </row>
    <row r="195" spans="1:15" ht="14.25" customHeight="1" x14ac:dyDescent="0.25">
      <c r="A195" s="120" t="str">
        <f>IF(N195=MIN(N177:N200),1,"")</f>
        <v/>
      </c>
      <c r="B195" s="121">
        <f>B194+1/24</f>
        <v>42316.749999999956</v>
      </c>
      <c r="C195" s="122">
        <f>DAY(B195)</f>
        <v>8</v>
      </c>
      <c r="D195" s="123">
        <v>1253.9841889405448</v>
      </c>
      <c r="E195" s="124">
        <v>44.086639404296875</v>
      </c>
      <c r="F195" s="125">
        <v>12.604085660779042</v>
      </c>
      <c r="G195" s="126">
        <v>2.0638785362243652</v>
      </c>
      <c r="H195" s="127">
        <f>HLOOKUP('Operational Worksheet'!E195,$B$773:$U$775,3)</f>
        <v>6.3000000000000007</v>
      </c>
      <c r="I195" s="127">
        <f t="shared" si="109"/>
        <v>1.2998568996130169</v>
      </c>
      <c r="J195" s="127">
        <f t="shared" si="110"/>
        <v>24.122956136653439</v>
      </c>
      <c r="K195" s="127">
        <f>I195*$G195</f>
        <v>2.6827467552744548</v>
      </c>
      <c r="L195" s="127">
        <f>J195*$G195</f>
        <v>49.78685140072087</v>
      </c>
      <c r="M195" s="127">
        <f>K195+L195</f>
        <v>52.469598155995328</v>
      </c>
      <c r="N195" s="128">
        <f>IF(D195&gt;0,M195/H195,"PO")</f>
        <v>8.3285076438087806</v>
      </c>
      <c r="O195" s="129" t="str">
        <f t="shared" si="111"/>
        <v>OK</v>
      </c>
    </row>
    <row r="196" spans="1:15" ht="14.25" customHeight="1" x14ac:dyDescent="0.25">
      <c r="A196" s="120" t="str">
        <f>IF(N196=MIN(N177:N200),1,"")</f>
        <v/>
      </c>
      <c r="B196" s="121">
        <f t="shared" ref="B196:B200" si="154">B195+1/24</f>
        <v>42316.791666666621</v>
      </c>
      <c r="C196" s="122">
        <f t="shared" ref="C196:C200" si="155">DAY(B196)</f>
        <v>8</v>
      </c>
      <c r="D196" s="123">
        <v>1258.5135757607163</v>
      </c>
      <c r="E196" s="124">
        <v>44.086639404296875</v>
      </c>
      <c r="F196" s="125">
        <v>12.599170490577633</v>
      </c>
      <c r="G196" s="126">
        <v>2.0638785362243652</v>
      </c>
      <c r="H196" s="127">
        <f>HLOOKUP('Operational Worksheet'!E196,$B$773:$U$775,3)</f>
        <v>6.3000000000000007</v>
      </c>
      <c r="I196" s="127">
        <f t="shared" si="109"/>
        <v>1.2951787182865599</v>
      </c>
      <c r="J196" s="127">
        <f t="shared" si="110"/>
        <v>24.026764398714388</v>
      </c>
      <c r="K196" s="127">
        <f t="shared" ref="K196:L199" si="156">I196*$G196</f>
        <v>2.6730915572462148</v>
      </c>
      <c r="L196" s="127">
        <f t="shared" si="156"/>
        <v>49.588323337426338</v>
      </c>
      <c r="M196" s="127">
        <f t="shared" ref="M196:M199" si="157">K196+L196</f>
        <v>52.261414894672555</v>
      </c>
      <c r="N196" s="128">
        <f t="shared" ref="N196:N200" si="158">IF(D196&gt;0,M196/H196,"PO")</f>
        <v>8.2954626816940547</v>
      </c>
      <c r="O196" s="129" t="str">
        <f t="shared" si="111"/>
        <v>OK</v>
      </c>
    </row>
    <row r="197" spans="1:15" ht="14.25" customHeight="1" x14ac:dyDescent="0.25">
      <c r="A197" s="120" t="str">
        <f>IF(N197=MIN(N177:N200),1,"")</f>
        <v/>
      </c>
      <c r="B197" s="121">
        <f t="shared" si="154"/>
        <v>42316.833333333285</v>
      </c>
      <c r="C197" s="122">
        <f t="shared" si="155"/>
        <v>8</v>
      </c>
      <c r="D197" s="123">
        <v>1258.7024789697139</v>
      </c>
      <c r="E197" s="124">
        <v>43.595688388395025</v>
      </c>
      <c r="F197" s="125">
        <v>12.607203308922253</v>
      </c>
      <c r="G197" s="126">
        <v>2.0638785362243652</v>
      </c>
      <c r="H197" s="127">
        <f>HLOOKUP('Operational Worksheet'!E197,$B$773:$U$775,3)</f>
        <v>6.6499999999999995</v>
      </c>
      <c r="I197" s="127">
        <f t="shared" si="109"/>
        <v>1.2949843408064188</v>
      </c>
      <c r="J197" s="127">
        <f t="shared" si="110"/>
        <v>24.038474895338187</v>
      </c>
      <c r="K197" s="127">
        <f t="shared" si="156"/>
        <v>2.6726903857370261</v>
      </c>
      <c r="L197" s="127">
        <f t="shared" si="156"/>
        <v>49.612492380056729</v>
      </c>
      <c r="M197" s="127">
        <f t="shared" si="157"/>
        <v>52.285182765793756</v>
      </c>
      <c r="N197" s="128">
        <f t="shared" si="158"/>
        <v>7.8624334986156033</v>
      </c>
      <c r="O197" s="129" t="str">
        <f t="shared" si="111"/>
        <v>OK</v>
      </c>
    </row>
    <row r="198" spans="1:15" ht="14.25" customHeight="1" x14ac:dyDescent="0.25">
      <c r="A198" s="120" t="str">
        <f>IF(N198=MIN(N177:N200),1,"")</f>
        <v/>
      </c>
      <c r="B198" s="121">
        <f t="shared" si="154"/>
        <v>42316.874999999949</v>
      </c>
      <c r="C198" s="122">
        <f t="shared" si="155"/>
        <v>8</v>
      </c>
      <c r="D198" s="123">
        <v>1253.970023114482</v>
      </c>
      <c r="E198" s="124">
        <v>41.535633087158203</v>
      </c>
      <c r="F198" s="125">
        <v>12.604191934854908</v>
      </c>
      <c r="G198" s="126">
        <v>2.3590207099914551</v>
      </c>
      <c r="H198" s="127">
        <f>HLOOKUP('Operational Worksheet'!E198,$B$773:$U$775,3)</f>
        <v>7</v>
      </c>
      <c r="I198" s="127">
        <f t="shared" si="109"/>
        <v>1.2998715838131227</v>
      </c>
      <c r="J198" s="127">
        <f t="shared" si="110"/>
        <v>24.123432048654387</v>
      </c>
      <c r="K198" s="127">
        <f t="shared" si="156"/>
        <v>3.06642398654455</v>
      </c>
      <c r="L198" s="127">
        <f t="shared" si="156"/>
        <v>56.907675798847293</v>
      </c>
      <c r="M198" s="127">
        <f t="shared" si="157"/>
        <v>59.974099785391843</v>
      </c>
      <c r="N198" s="128">
        <f t="shared" si="158"/>
        <v>8.567728540770263</v>
      </c>
      <c r="O198" s="129" t="str">
        <f t="shared" si="111"/>
        <v>OK</v>
      </c>
    </row>
    <row r="199" spans="1:15" ht="14.25" customHeight="1" x14ac:dyDescent="0.25">
      <c r="A199" s="120" t="str">
        <f>IF(N199=MIN(N177:N200),1,"")</f>
        <v/>
      </c>
      <c r="B199" s="121">
        <f t="shared" si="154"/>
        <v>42316.916666666613</v>
      </c>
      <c r="C199" s="122">
        <f t="shared" si="155"/>
        <v>8</v>
      </c>
      <c r="D199" s="123">
        <v>1251.7796805651039</v>
      </c>
      <c r="E199" s="124">
        <v>41.535633087158203</v>
      </c>
      <c r="F199" s="125">
        <v>12.595220781472529</v>
      </c>
      <c r="G199" s="126">
        <v>2.3590207099914551</v>
      </c>
      <c r="H199" s="127">
        <f>HLOOKUP('Operational Worksheet'!E199,$B$773:$U$775,3)</f>
        <v>7</v>
      </c>
      <c r="I199" s="127">
        <f t="shared" si="109"/>
        <v>1.3021460767474291</v>
      </c>
      <c r="J199" s="127">
        <f t="shared" si="110"/>
        <v>24.148442689122167</v>
      </c>
      <c r="K199" s="127">
        <f t="shared" si="156"/>
        <v>3.0717895624813081</v>
      </c>
      <c r="L199" s="127">
        <f t="shared" si="156"/>
        <v>56.966676417680937</v>
      </c>
      <c r="M199" s="127">
        <f t="shared" si="157"/>
        <v>60.038465980162243</v>
      </c>
      <c r="N199" s="128">
        <f t="shared" si="158"/>
        <v>8.5769237114517498</v>
      </c>
      <c r="O199" s="129" t="str">
        <f t="shared" si="111"/>
        <v>OK</v>
      </c>
    </row>
    <row r="200" spans="1:15" ht="14.25" customHeight="1" x14ac:dyDescent="0.25">
      <c r="A200" s="130" t="str">
        <f>IF(N200=MIN(N177:N200),1,"")</f>
        <v/>
      </c>
      <c r="B200" s="131">
        <f t="shared" si="154"/>
        <v>42316.958333333278</v>
      </c>
      <c r="C200" s="132">
        <f t="shared" si="155"/>
        <v>8</v>
      </c>
      <c r="D200" s="123">
        <v>1262.0627405572043</v>
      </c>
      <c r="E200" s="124">
        <v>41.535633087158203</v>
      </c>
      <c r="F200" s="125">
        <v>12.614180087751595</v>
      </c>
      <c r="G200" s="126">
        <v>2.3590207099914551</v>
      </c>
      <c r="H200" s="133">
        <f>HLOOKUP('Operational Worksheet'!E200,$B$773:$U$775,3)</f>
        <v>7</v>
      </c>
      <c r="I200" s="134">
        <f t="shared" si="109"/>
        <v>1.2915364249485333</v>
      </c>
      <c r="J200" s="133">
        <f t="shared" si="110"/>
        <v>23.987739466294489</v>
      </c>
      <c r="K200" s="133">
        <f>I200*$G200</f>
        <v>3.0467611741619147</v>
      </c>
      <c r="L200" s="133">
        <f>J200*$G200</f>
        <v>56.587574186868075</v>
      </c>
      <c r="M200" s="133">
        <f>K200+L200</f>
        <v>59.63433536102999</v>
      </c>
      <c r="N200" s="134">
        <f t="shared" si="158"/>
        <v>8.5191907658614276</v>
      </c>
      <c r="O200" s="135" t="str">
        <f t="shared" si="111"/>
        <v>OK</v>
      </c>
    </row>
    <row r="201" spans="1:15" ht="14.25" customHeight="1" x14ac:dyDescent="0.25">
      <c r="A201" s="110" t="str">
        <f>IF(N201=MIN(N201:N224),1,"")</f>
        <v/>
      </c>
      <c r="B201" s="111">
        <f>'[1]Turbidity Daily Data Sheet'!B24</f>
        <v>42317</v>
      </c>
      <c r="C201" s="112">
        <f>DAY(B201)</f>
        <v>9</v>
      </c>
      <c r="D201" s="123">
        <v>1256.6352899258418</v>
      </c>
      <c r="E201" s="124">
        <v>41.74643993429742</v>
      </c>
      <c r="F201" s="125">
        <v>12.601106671839609</v>
      </c>
      <c r="G201" s="126">
        <v>2.3590207099914551</v>
      </c>
      <c r="H201" s="117">
        <f>HLOOKUP('Operational Worksheet'!E201,$B$773:$U$775,3)</f>
        <v>7</v>
      </c>
      <c r="I201" s="117">
        <f t="shared" ref="I201:I264" si="159">$G$768/D201*$H$768</f>
        <v>1.2971146147711574</v>
      </c>
      <c r="J201" s="117">
        <f t="shared" ref="J201:J264" si="160">$G$769*F201/D201*$H$769</f>
        <v>24.06637490993889</v>
      </c>
      <c r="K201" s="117">
        <f>I201*$G201</f>
        <v>3.0599202394777487</v>
      </c>
      <c r="L201" s="117">
        <f>J201*$G201</f>
        <v>56.773076826964584</v>
      </c>
      <c r="M201" s="117">
        <f>K201+L201</f>
        <v>59.832997066442331</v>
      </c>
      <c r="N201" s="118">
        <f>IF(D201&gt;0,M201/H201,"PO")</f>
        <v>8.5475710094917616</v>
      </c>
      <c r="O201" s="119" t="str">
        <f t="shared" ref="O201:O264" si="161">+IF(N201&gt;=1, "OK","Alarm")</f>
        <v>OK</v>
      </c>
    </row>
    <row r="202" spans="1:15" ht="14.25" customHeight="1" x14ac:dyDescent="0.25">
      <c r="A202" s="120" t="str">
        <f>IF(N202=MIN(N201:N224),1,"")</f>
        <v/>
      </c>
      <c r="B202" s="121">
        <f>B201+1/24</f>
        <v>42317.041666666664</v>
      </c>
      <c r="C202" s="122">
        <f>DAY(B202)</f>
        <v>9</v>
      </c>
      <c r="D202" s="123">
        <v>1254.6570281989914</v>
      </c>
      <c r="E202" s="124">
        <v>42.203418731689453</v>
      </c>
      <c r="F202" s="125">
        <v>12.601282132226638</v>
      </c>
      <c r="G202" s="126">
        <v>2.3590207099914551</v>
      </c>
      <c r="H202" s="127">
        <f>HLOOKUP('Operational Worksheet'!E202,$B$773:$U$775,3)</f>
        <v>7</v>
      </c>
      <c r="I202" s="127">
        <f t="shared" si="159"/>
        <v>1.2991598208633941</v>
      </c>
      <c r="J202" s="127">
        <f t="shared" si="160"/>
        <v>24.10465684056831</v>
      </c>
      <c r="K202" s="127">
        <f t="shared" ref="K202:L205" si="162">I202*$G202</f>
        <v>3.0647449230055357</v>
      </c>
      <c r="L202" s="127">
        <f t="shared" si="162"/>
        <v>56.863384694137842</v>
      </c>
      <c r="M202" s="127">
        <f t="shared" ref="M202:M205" si="163">K202+L202</f>
        <v>59.928129617143377</v>
      </c>
      <c r="N202" s="128">
        <f t="shared" ref="N202:N206" si="164">IF(D202&gt;0,M202/H202,"PO")</f>
        <v>8.561161373877626</v>
      </c>
      <c r="O202" s="129" t="str">
        <f t="shared" si="161"/>
        <v>OK</v>
      </c>
    </row>
    <row r="203" spans="1:15" ht="14.25" customHeight="1" x14ac:dyDescent="0.25">
      <c r="A203" s="120" t="str">
        <f>IF(N203=MIN(N201:N224),1,"")</f>
        <v/>
      </c>
      <c r="B203" s="121">
        <f t="shared" ref="B203:B218" si="165">B202+1/24</f>
        <v>42317.083333333328</v>
      </c>
      <c r="C203" s="122">
        <f t="shared" ref="C203" si="166">DAY(B203)</f>
        <v>9</v>
      </c>
      <c r="D203" s="123">
        <v>1253.0491616432782</v>
      </c>
      <c r="E203" s="124">
        <v>42.203418731689453</v>
      </c>
      <c r="F203" s="125">
        <v>12.600189278747283</v>
      </c>
      <c r="G203" s="126">
        <v>2.3590207099914551</v>
      </c>
      <c r="H203" s="127">
        <f>HLOOKUP('Operational Worksheet'!E203,$B$773:$U$775,3)</f>
        <v>7</v>
      </c>
      <c r="I203" s="127">
        <f t="shared" si="159"/>
        <v>1.3008268549195465</v>
      </c>
      <c r="J203" s="127">
        <f t="shared" si="160"/>
        <v>24.1334938761185</v>
      </c>
      <c r="K203" s="127">
        <f t="shared" si="162"/>
        <v>3.0686774908682604</v>
      </c>
      <c r="L203" s="127">
        <f t="shared" si="162"/>
        <v>56.931411858215498</v>
      </c>
      <c r="M203" s="127">
        <f t="shared" si="163"/>
        <v>60.000089349083758</v>
      </c>
      <c r="N203" s="128">
        <f t="shared" si="164"/>
        <v>8.571441335583394</v>
      </c>
      <c r="O203" s="129" t="str">
        <f t="shared" si="161"/>
        <v>OK</v>
      </c>
    </row>
    <row r="204" spans="1:15" ht="14.25" customHeight="1" x14ac:dyDescent="0.25">
      <c r="A204" s="120" t="str">
        <f>IF(N204=MIN(N201:N224),1,"")</f>
        <v/>
      </c>
      <c r="B204" s="121">
        <f t="shared" si="165"/>
        <v>42317.124999999993</v>
      </c>
      <c r="C204" s="122">
        <f>DAY(B204)</f>
        <v>9</v>
      </c>
      <c r="D204" s="123">
        <v>1252.9745595149054</v>
      </c>
      <c r="E204" s="124">
        <v>42.203418731689453</v>
      </c>
      <c r="F204" s="125">
        <v>12.593930428738785</v>
      </c>
      <c r="G204" s="126">
        <v>2.3590207099914551</v>
      </c>
      <c r="H204" s="127">
        <f>HLOOKUP('Operational Worksheet'!E204,$B$773:$U$775,3)</f>
        <v>7</v>
      </c>
      <c r="I204" s="127">
        <f t="shared" si="159"/>
        <v>1.3009043061744698</v>
      </c>
      <c r="J204" s="127">
        <f t="shared" si="160"/>
        <v>24.122942321091493</v>
      </c>
      <c r="K204" s="127">
        <f t="shared" si="162"/>
        <v>3.0688601999826393</v>
      </c>
      <c r="L204" s="127">
        <f t="shared" si="162"/>
        <v>56.906520521384174</v>
      </c>
      <c r="M204" s="127">
        <f t="shared" si="163"/>
        <v>59.975380721366811</v>
      </c>
      <c r="N204" s="128">
        <f t="shared" si="164"/>
        <v>8.5679115316238299</v>
      </c>
      <c r="O204" s="129" t="str">
        <f t="shared" si="161"/>
        <v>OK</v>
      </c>
    </row>
    <row r="205" spans="1:15" ht="14.25" customHeight="1" x14ac:dyDescent="0.25">
      <c r="A205" s="120" t="str">
        <f>IF(N205=MIN(N201:N224),1,"")</f>
        <v/>
      </c>
      <c r="B205" s="121">
        <f t="shared" si="165"/>
        <v>42317.166666666657</v>
      </c>
      <c r="C205" s="122">
        <f t="shared" ref="C205:C206" si="167">DAY(B205)</f>
        <v>9</v>
      </c>
      <c r="D205" s="123">
        <v>1253.3098842337515</v>
      </c>
      <c r="E205" s="124">
        <v>42.203418731689453</v>
      </c>
      <c r="F205" s="125">
        <v>12.605816865559095</v>
      </c>
      <c r="G205" s="126">
        <v>2.3590207099914551</v>
      </c>
      <c r="H205" s="127">
        <f>HLOOKUP('Operational Worksheet'!E205,$B$773:$U$775,3)</f>
        <v>7</v>
      </c>
      <c r="I205" s="127">
        <f t="shared" si="159"/>
        <v>1.300556247505021</v>
      </c>
      <c r="J205" s="127">
        <f t="shared" si="160"/>
        <v>24.13924988378951</v>
      </c>
      <c r="K205" s="127">
        <f t="shared" si="162"/>
        <v>3.0680391223731172</v>
      </c>
      <c r="L205" s="127">
        <f t="shared" si="162"/>
        <v>56.944990399518282</v>
      </c>
      <c r="M205" s="127">
        <f t="shared" si="163"/>
        <v>60.013029521891397</v>
      </c>
      <c r="N205" s="128">
        <f t="shared" si="164"/>
        <v>8.5732899316987705</v>
      </c>
      <c r="O205" s="129" t="str">
        <f t="shared" si="161"/>
        <v>OK</v>
      </c>
    </row>
    <row r="206" spans="1:15" ht="14.25" customHeight="1" x14ac:dyDescent="0.25">
      <c r="A206" s="120" t="str">
        <f>IF(N206=MIN(N201:N224),1,"")</f>
        <v/>
      </c>
      <c r="B206" s="121">
        <f t="shared" si="165"/>
        <v>42317.208333333321</v>
      </c>
      <c r="C206" s="122">
        <f t="shared" si="167"/>
        <v>9</v>
      </c>
      <c r="D206" s="123">
        <v>1254.9651637894344</v>
      </c>
      <c r="E206" s="124">
        <v>42.203418731689453</v>
      </c>
      <c r="F206" s="125">
        <v>12.606548287355052</v>
      </c>
      <c r="G206" s="126">
        <v>2.3659765720367432</v>
      </c>
      <c r="H206" s="127">
        <f>HLOOKUP('Operational Worksheet'!E206,$B$773:$U$775,3)</f>
        <v>7</v>
      </c>
      <c r="I206" s="128">
        <f t="shared" si="159"/>
        <v>1.2988408340181554</v>
      </c>
      <c r="J206" s="127">
        <f t="shared" si="160"/>
        <v>24.108809361921548</v>
      </c>
      <c r="K206" s="127">
        <f>I206*$G206</f>
        <v>3.0730269840916198</v>
      </c>
      <c r="L206" s="127">
        <f>J206*$G206</f>
        <v>57.040878130006483</v>
      </c>
      <c r="M206" s="127">
        <f>K206+L206</f>
        <v>60.113905114098102</v>
      </c>
      <c r="N206" s="128">
        <f t="shared" si="164"/>
        <v>8.5877007305854427</v>
      </c>
      <c r="O206" s="129" t="str">
        <f t="shared" si="161"/>
        <v>OK</v>
      </c>
    </row>
    <row r="207" spans="1:15" ht="14.25" customHeight="1" x14ac:dyDescent="0.25">
      <c r="A207" s="120" t="str">
        <f>IF(N207=MIN(N201:N224),1,"")</f>
        <v/>
      </c>
      <c r="B207" s="121">
        <f t="shared" si="165"/>
        <v>42317.249999999985</v>
      </c>
      <c r="C207" s="122">
        <f>DAY(B207)</f>
        <v>9</v>
      </c>
      <c r="D207" s="123">
        <v>1263.6238064664692</v>
      </c>
      <c r="E207" s="124">
        <v>42.481519667982525</v>
      </c>
      <c r="F207" s="125">
        <v>12.606177398447775</v>
      </c>
      <c r="G207" s="126">
        <v>2.3659765720367432</v>
      </c>
      <c r="H207" s="127">
        <f>HLOOKUP('Operational Worksheet'!E207,$B$773:$U$775,3)</f>
        <v>7</v>
      </c>
      <c r="I207" s="127">
        <f t="shared" si="159"/>
        <v>1.2899408761204378</v>
      </c>
      <c r="J207" s="127">
        <f t="shared" si="160"/>
        <v>23.942905793202531</v>
      </c>
      <c r="K207" s="127">
        <f>I207*$G207</f>
        <v>3.0519698922135068</v>
      </c>
      <c r="L207" s="127">
        <f>J207*$G207</f>
        <v>56.648354173200005</v>
      </c>
      <c r="M207" s="127">
        <f>K207+L207</f>
        <v>59.700324065413511</v>
      </c>
      <c r="N207" s="128">
        <f>IF(D207&gt;0,M207/H207,"PO")</f>
        <v>8.5286177236305019</v>
      </c>
      <c r="O207" s="129" t="str">
        <f t="shared" si="161"/>
        <v>OK</v>
      </c>
    </row>
    <row r="208" spans="1:15" ht="14.25" customHeight="1" x14ac:dyDescent="0.25">
      <c r="A208" s="120" t="str">
        <f>IF(N208=MIN(N201:N224),1,"")</f>
        <v/>
      </c>
      <c r="B208" s="121">
        <f t="shared" si="165"/>
        <v>42317.29166666665</v>
      </c>
      <c r="C208" s="122">
        <f t="shared" ref="C208:C212" si="168">DAY(B208)</f>
        <v>9</v>
      </c>
      <c r="D208" s="123">
        <v>1254.136973956292</v>
      </c>
      <c r="E208" s="124">
        <v>43.471855163574219</v>
      </c>
      <c r="F208" s="125">
        <v>12.604219967085886</v>
      </c>
      <c r="G208" s="126">
        <v>2.3659765720367432</v>
      </c>
      <c r="H208" s="127">
        <f>HLOOKUP('Operational Worksheet'!E208,$B$773:$U$775,3)</f>
        <v>6.6499999999999995</v>
      </c>
      <c r="I208" s="127">
        <f t="shared" si="159"/>
        <v>1.2996985447753868</v>
      </c>
      <c r="J208" s="127">
        <f t="shared" si="160"/>
        <v>24.120274379264394</v>
      </c>
      <c r="K208" s="127">
        <f t="shared" ref="K208:L211" si="169">I208*$G208</f>
        <v>3.0750563076488131</v>
      </c>
      <c r="L208" s="127">
        <f t="shared" si="169"/>
        <v>57.068004092437654</v>
      </c>
      <c r="M208" s="127">
        <f t="shared" ref="M208:M211" si="170">K208+L208</f>
        <v>60.143060400086469</v>
      </c>
      <c r="N208" s="128">
        <f t="shared" ref="N208:N212" si="171">IF(D208&gt;0,M208/H208,"PO")</f>
        <v>9.0440692330957102</v>
      </c>
      <c r="O208" s="129" t="str">
        <f t="shared" si="161"/>
        <v>OK</v>
      </c>
    </row>
    <row r="209" spans="1:15" ht="14.25" customHeight="1" x14ac:dyDescent="0.25">
      <c r="A209" s="120" t="str">
        <f>IF(N209=MIN(N201:N224),1,"")</f>
        <v/>
      </c>
      <c r="B209" s="121">
        <f t="shared" si="165"/>
        <v>42317.333333333314</v>
      </c>
      <c r="C209" s="122">
        <f t="shared" si="168"/>
        <v>9</v>
      </c>
      <c r="D209" s="123">
        <v>1263.9892195052987</v>
      </c>
      <c r="E209" s="124">
        <v>43.471855163574219</v>
      </c>
      <c r="F209" s="125">
        <v>12.603059403139586</v>
      </c>
      <c r="G209" s="126">
        <v>2.3659765720367432</v>
      </c>
      <c r="H209" s="127">
        <f>HLOOKUP('Operational Worksheet'!E209,$B$773:$U$775,3)</f>
        <v>6.6499999999999995</v>
      </c>
      <c r="I209" s="127">
        <f t="shared" si="159"/>
        <v>1.289567960585891</v>
      </c>
      <c r="J209" s="127">
        <f t="shared" si="160"/>
        <v>23.930063722674181</v>
      </c>
      <c r="K209" s="127">
        <f t="shared" si="169"/>
        <v>3.0510875827954202</v>
      </c>
      <c r="L209" s="127">
        <f t="shared" si="169"/>
        <v>56.617970135193481</v>
      </c>
      <c r="M209" s="127">
        <f t="shared" si="170"/>
        <v>59.669057717988899</v>
      </c>
      <c r="N209" s="128">
        <f t="shared" si="171"/>
        <v>8.9727906342840456</v>
      </c>
      <c r="O209" s="129" t="str">
        <f t="shared" si="161"/>
        <v>OK</v>
      </c>
    </row>
    <row r="210" spans="1:15" ht="14.25" customHeight="1" x14ac:dyDescent="0.25">
      <c r="A210" s="120" t="str">
        <f>IF(N210=MIN(N201:N224),1,"")</f>
        <v/>
      </c>
      <c r="B210" s="121">
        <f t="shared" si="165"/>
        <v>42317.374999999978</v>
      </c>
      <c r="C210" s="122">
        <f t="shared" si="168"/>
        <v>9</v>
      </c>
      <c r="D210" s="123">
        <v>1249.1837293262074</v>
      </c>
      <c r="E210" s="124">
        <v>43.471855163574219</v>
      </c>
      <c r="F210" s="125">
        <v>12.592434305844208</v>
      </c>
      <c r="G210" s="126">
        <v>2.3659765720367432</v>
      </c>
      <c r="H210" s="127">
        <f>HLOOKUP('Operational Worksheet'!E210,$B$773:$U$775,3)</f>
        <v>6.6499999999999995</v>
      </c>
      <c r="I210" s="127">
        <f t="shared" si="159"/>
        <v>1.3048520899957603</v>
      </c>
      <c r="J210" s="127">
        <f t="shared" si="160"/>
        <v>24.19327247427994</v>
      </c>
      <c r="K210" s="127">
        <f t="shared" si="169"/>
        <v>3.0872494749031487</v>
      </c>
      <c r="L210" s="127">
        <f t="shared" si="169"/>
        <v>57.240715875047748</v>
      </c>
      <c r="M210" s="127">
        <f t="shared" si="170"/>
        <v>60.327965349950894</v>
      </c>
      <c r="N210" s="128">
        <f t="shared" si="171"/>
        <v>9.0718744887144211</v>
      </c>
      <c r="O210" s="129" t="str">
        <f t="shared" si="161"/>
        <v>OK</v>
      </c>
    </row>
    <row r="211" spans="1:15" ht="14.25" customHeight="1" x14ac:dyDescent="0.25">
      <c r="A211" s="120" t="str">
        <f>IF(N211=MIN(N201:N224),1,"")</f>
        <v/>
      </c>
      <c r="B211" s="121">
        <f t="shared" si="165"/>
        <v>42317.416666666642</v>
      </c>
      <c r="C211" s="122">
        <f t="shared" si="168"/>
        <v>9</v>
      </c>
      <c r="D211" s="123">
        <v>1264.6455937803837</v>
      </c>
      <c r="E211" s="124">
        <v>44.197793759983298</v>
      </c>
      <c r="F211" s="125">
        <v>12.605601425911608</v>
      </c>
      <c r="G211" s="126">
        <v>2.3659765720367432</v>
      </c>
      <c r="H211" s="127">
        <f>HLOOKUP('Operational Worksheet'!E211,$B$773:$U$775,3)</f>
        <v>6.3000000000000007</v>
      </c>
      <c r="I211" s="127">
        <f t="shared" si="159"/>
        <v>1.2888986511449967</v>
      </c>
      <c r="J211" s="127">
        <f t="shared" si="160"/>
        <v>23.922467741932152</v>
      </c>
      <c r="K211" s="127">
        <f t="shared" si="169"/>
        <v>3.0495040123388213</v>
      </c>
      <c r="L211" s="127">
        <f t="shared" si="169"/>
        <v>56.599998222716202</v>
      </c>
      <c r="M211" s="127">
        <f t="shared" si="170"/>
        <v>59.649502235055024</v>
      </c>
      <c r="N211" s="128">
        <f t="shared" si="171"/>
        <v>9.4681749579452408</v>
      </c>
      <c r="O211" s="129" t="str">
        <f t="shared" si="161"/>
        <v>OK</v>
      </c>
    </row>
    <row r="212" spans="1:15" ht="14.25" customHeight="1" x14ac:dyDescent="0.25">
      <c r="A212" s="120" t="str">
        <f>IF(N212=MIN(N201:N224),1,"")</f>
        <v/>
      </c>
      <c r="B212" s="121">
        <f t="shared" si="165"/>
        <v>42317.458333333307</v>
      </c>
      <c r="C212" s="122">
        <f t="shared" si="168"/>
        <v>9</v>
      </c>
      <c r="D212" s="123">
        <v>1252.3230267953272</v>
      </c>
      <c r="E212" s="124">
        <v>44.4505615234375</v>
      </c>
      <c r="F212" s="125">
        <v>12.59130130521717</v>
      </c>
      <c r="G212" s="126">
        <v>2.3659765720367432</v>
      </c>
      <c r="H212" s="127">
        <f>HLOOKUP('Operational Worksheet'!E212,$B$773:$U$775,3)</f>
        <v>6.3000000000000007</v>
      </c>
      <c r="I212" s="128">
        <f t="shared" si="159"/>
        <v>1.3015811137571602</v>
      </c>
      <c r="J212" s="127">
        <f t="shared" si="160"/>
        <v>24.130453953123752</v>
      </c>
      <c r="K212" s="127">
        <f>I212*$G212</f>
        <v>3.0795104217549323</v>
      </c>
      <c r="L212" s="127">
        <f>J212*$G212</f>
        <v>57.092088725702212</v>
      </c>
      <c r="M212" s="127">
        <f>K212+L212</f>
        <v>60.171599147457144</v>
      </c>
      <c r="N212" s="128">
        <f t="shared" si="171"/>
        <v>9.5510474837233552</v>
      </c>
      <c r="O212" s="129" t="str">
        <f t="shared" si="161"/>
        <v>OK</v>
      </c>
    </row>
    <row r="213" spans="1:15" ht="14.25" customHeight="1" x14ac:dyDescent="0.25">
      <c r="A213" s="120" t="str">
        <f>IF(N213=MIN(N201:N224),1,"")</f>
        <v/>
      </c>
      <c r="B213" s="121">
        <f t="shared" si="165"/>
        <v>42317.499999999971</v>
      </c>
      <c r="C213" s="122">
        <f>DAY(B213)</f>
        <v>9</v>
      </c>
      <c r="D213" s="123">
        <v>1259.010731248733</v>
      </c>
      <c r="E213" s="124">
        <v>44.4505615234375</v>
      </c>
      <c r="F213" s="125">
        <v>12.596120513189456</v>
      </c>
      <c r="G213" s="126">
        <v>2.3659765720367432</v>
      </c>
      <c r="H213" s="127">
        <f>HLOOKUP('Operational Worksheet'!E213,$B$773:$U$775,3)</f>
        <v>6.3000000000000007</v>
      </c>
      <c r="I213" s="127">
        <f t="shared" si="159"/>
        <v>1.2946672808605104</v>
      </c>
      <c r="J213" s="127">
        <f t="shared" si="160"/>
        <v>24.011462715389875</v>
      </c>
      <c r="K213" s="127">
        <f>I213*$G213</f>
        <v>3.0631524550984817</v>
      </c>
      <c r="L213" s="127">
        <f>J213*$G213</f>
        <v>56.810558244946208</v>
      </c>
      <c r="M213" s="127">
        <f>K213+L213</f>
        <v>59.87371070004469</v>
      </c>
      <c r="N213" s="128">
        <f>IF(D213&gt;0,M213/H213,"PO")</f>
        <v>9.5037636031816959</v>
      </c>
      <c r="O213" s="129" t="str">
        <f t="shared" si="161"/>
        <v>OK</v>
      </c>
    </row>
    <row r="214" spans="1:15" ht="14.25" customHeight="1" x14ac:dyDescent="0.25">
      <c r="A214" s="120" t="str">
        <f>IF(N214=MIN(N201:N224),1,"")</f>
        <v/>
      </c>
      <c r="B214" s="121">
        <f t="shared" si="165"/>
        <v>42317.541666666635</v>
      </c>
      <c r="C214" s="122">
        <f t="shared" ref="C214:C218" si="172">DAY(B214)</f>
        <v>9</v>
      </c>
      <c r="D214" s="123">
        <v>1246.6763724011523</v>
      </c>
      <c r="E214" s="124">
        <v>44.4505615234375</v>
      </c>
      <c r="F214" s="125">
        <v>12.605374640232659</v>
      </c>
      <c r="G214" s="126">
        <v>2.366297721862793</v>
      </c>
      <c r="H214" s="127">
        <f>HLOOKUP('Operational Worksheet'!E214,$B$773:$U$775,3)</f>
        <v>6.3000000000000007</v>
      </c>
      <c r="I214" s="127">
        <f t="shared" si="159"/>
        <v>1.3074764518561861</v>
      </c>
      <c r="J214" s="127">
        <f t="shared" si="160"/>
        <v>24.266842467135234</v>
      </c>
      <c r="K214" s="127">
        <f t="shared" ref="K214:L217" si="173">I214*$G214</f>
        <v>3.0938785494165408</v>
      </c>
      <c r="L214" s="127">
        <f t="shared" si="173"/>
        <v>57.422574046785385</v>
      </c>
      <c r="M214" s="127">
        <f t="shared" ref="M214:M217" si="174">K214+L214</f>
        <v>60.51645259620193</v>
      </c>
      <c r="N214" s="128">
        <f t="shared" ref="N214:N218" si="175">IF(D214&gt;0,M214/H214,"PO")</f>
        <v>9.6057861263812576</v>
      </c>
      <c r="O214" s="129" t="str">
        <f t="shared" si="161"/>
        <v>OK</v>
      </c>
    </row>
    <row r="215" spans="1:15" ht="14.25" customHeight="1" x14ac:dyDescent="0.25">
      <c r="A215" s="120" t="str">
        <f>IF(N215=MIN(N201:N224),1,"")</f>
        <v/>
      </c>
      <c r="B215" s="121">
        <f t="shared" si="165"/>
        <v>42317.583333333299</v>
      </c>
      <c r="C215" s="122">
        <f t="shared" si="172"/>
        <v>9</v>
      </c>
      <c r="D215" s="123">
        <v>1260.9880364457172</v>
      </c>
      <c r="E215" s="124">
        <v>44.308571894438927</v>
      </c>
      <c r="F215" s="125">
        <v>12.60322865886855</v>
      </c>
      <c r="G215" s="126">
        <v>2.2565021514892578</v>
      </c>
      <c r="H215" s="127">
        <f>HLOOKUP('Operational Worksheet'!E215,$B$773:$U$775,3)</f>
        <v>6.3000000000000007</v>
      </c>
      <c r="I215" s="127">
        <f t="shared" si="159"/>
        <v>1.2926371645796086</v>
      </c>
      <c r="J215" s="127">
        <f t="shared" si="160"/>
        <v>23.987340011997507</v>
      </c>
      <c r="K215" s="127">
        <f t="shared" si="173"/>
        <v>2.9168385429688608</v>
      </c>
      <c r="L215" s="127">
        <f t="shared" si="173"/>
        <v>54.127484345576732</v>
      </c>
      <c r="M215" s="127">
        <f t="shared" si="174"/>
        <v>57.044322888545594</v>
      </c>
      <c r="N215" s="128">
        <f t="shared" si="175"/>
        <v>9.0546544267532685</v>
      </c>
      <c r="O215" s="129" t="str">
        <f t="shared" si="161"/>
        <v>OK</v>
      </c>
    </row>
    <row r="216" spans="1:15" ht="14.25" customHeight="1" x14ac:dyDescent="0.25">
      <c r="A216" s="120" t="str">
        <f>IF(N216=MIN(N201:N224),1,"")</f>
        <v/>
      </c>
      <c r="B216" s="121">
        <f t="shared" si="165"/>
        <v>42317.624999999964</v>
      </c>
      <c r="C216" s="122">
        <f t="shared" si="172"/>
        <v>9</v>
      </c>
      <c r="D216" s="123">
        <v>1250.6278360663541</v>
      </c>
      <c r="E216" s="124">
        <v>43.595516204833984</v>
      </c>
      <c r="F216" s="125">
        <v>12.606868232726466</v>
      </c>
      <c r="G216" s="126">
        <v>2.2565021514892578</v>
      </c>
      <c r="H216" s="127">
        <f>HLOOKUP('Operational Worksheet'!E216,$B$773:$U$775,3)</f>
        <v>6.6499999999999995</v>
      </c>
      <c r="I216" s="127">
        <f t="shared" si="159"/>
        <v>1.3033453702157303</v>
      </c>
      <c r="J216" s="127">
        <f t="shared" si="160"/>
        <v>24.193035598592108</v>
      </c>
      <c r="K216" s="127">
        <f t="shared" si="173"/>
        <v>2.9410016320253587</v>
      </c>
      <c r="L216" s="127">
        <f t="shared" si="173"/>
        <v>54.591636879279292</v>
      </c>
      <c r="M216" s="127">
        <f t="shared" si="174"/>
        <v>57.532638511304654</v>
      </c>
      <c r="N216" s="128">
        <f t="shared" si="175"/>
        <v>8.6515245881661134</v>
      </c>
      <c r="O216" s="129" t="str">
        <f t="shared" si="161"/>
        <v>OK</v>
      </c>
    </row>
    <row r="217" spans="1:15" ht="14.25" customHeight="1" x14ac:dyDescent="0.25">
      <c r="A217" s="120" t="str">
        <f>IF(N217=MIN(N201:N224),1,"")</f>
        <v/>
      </c>
      <c r="B217" s="121">
        <f t="shared" si="165"/>
        <v>42317.666666666628</v>
      </c>
      <c r="C217" s="122">
        <f t="shared" si="172"/>
        <v>9</v>
      </c>
      <c r="D217" s="123">
        <v>1259.6049348615581</v>
      </c>
      <c r="E217" s="124">
        <v>43.301250253012235</v>
      </c>
      <c r="F217" s="125">
        <v>12.596760298683543</v>
      </c>
      <c r="G217" s="126">
        <v>2.3523859977722168</v>
      </c>
      <c r="H217" s="127">
        <f>HLOOKUP('Operational Worksheet'!E217,$B$773:$U$775,3)</f>
        <v>6.6499999999999995</v>
      </c>
      <c r="I217" s="127">
        <f t="shared" si="159"/>
        <v>1.294056537003923</v>
      </c>
      <c r="J217" s="127">
        <f t="shared" si="160"/>
        <v>24.001354615336826</v>
      </c>
      <c r="K217" s="127">
        <f t="shared" si="173"/>
        <v>3.0441204779736331</v>
      </c>
      <c r="L217" s="127">
        <f t="shared" si="173"/>
        <v>56.460450524683921</v>
      </c>
      <c r="M217" s="127">
        <f t="shared" si="174"/>
        <v>59.504571002657556</v>
      </c>
      <c r="N217" s="128">
        <f t="shared" si="175"/>
        <v>8.9480557898733171</v>
      </c>
      <c r="O217" s="129" t="str">
        <f t="shared" si="161"/>
        <v>OK</v>
      </c>
    </row>
    <row r="218" spans="1:15" ht="14.25" customHeight="1" x14ac:dyDescent="0.25">
      <c r="A218" s="120" t="str">
        <f>IF(N218=MIN(N201:N224),1,"")</f>
        <v/>
      </c>
      <c r="B218" s="121">
        <f t="shared" si="165"/>
        <v>42317.708333333292</v>
      </c>
      <c r="C218" s="122">
        <f t="shared" si="172"/>
        <v>9</v>
      </c>
      <c r="D218" s="123">
        <v>1254.4362103635954</v>
      </c>
      <c r="E218" s="124">
        <v>42.8641357421875</v>
      </c>
      <c r="F218" s="125">
        <v>12.59848197782201</v>
      </c>
      <c r="G218" s="126">
        <v>2.2356345653533936</v>
      </c>
      <c r="H218" s="127">
        <f>HLOOKUP('Operational Worksheet'!E218,$B$773:$U$775,3)</f>
        <v>6.6499999999999995</v>
      </c>
      <c r="I218" s="128">
        <f t="shared" si="159"/>
        <v>1.299388511375599</v>
      </c>
      <c r="J218" s="127">
        <f t="shared" si="160"/>
        <v>24.103542688718214</v>
      </c>
      <c r="K218" s="127">
        <f>I218*$G218</f>
        <v>2.9049578698543801</v>
      </c>
      <c r="L218" s="127">
        <f>J218*$G218</f>
        <v>53.886713182369512</v>
      </c>
      <c r="M218" s="127">
        <f>K218+L218</f>
        <v>56.79167105222389</v>
      </c>
      <c r="N218" s="128">
        <f t="shared" si="175"/>
        <v>8.5401009101088565</v>
      </c>
      <c r="O218" s="129" t="str">
        <f t="shared" si="161"/>
        <v>OK</v>
      </c>
    </row>
    <row r="219" spans="1:15" ht="14.25" customHeight="1" x14ac:dyDescent="0.25">
      <c r="A219" s="120" t="str">
        <f>IF(N219=MIN(N201:N224),1,"")</f>
        <v/>
      </c>
      <c r="B219" s="121">
        <f>B218+1/24</f>
        <v>42317.749999999956</v>
      </c>
      <c r="C219" s="122">
        <f>DAY(B219)</f>
        <v>9</v>
      </c>
      <c r="D219" s="123">
        <v>1251.0005282622444</v>
      </c>
      <c r="E219" s="124">
        <v>42.8641357421875</v>
      </c>
      <c r="F219" s="125">
        <v>12.61117398161792</v>
      </c>
      <c r="G219" s="126">
        <v>2.2356345653533936</v>
      </c>
      <c r="H219" s="127">
        <f>HLOOKUP('Operational Worksheet'!E219,$B$773:$U$775,3)</f>
        <v>6.6499999999999995</v>
      </c>
      <c r="I219" s="127">
        <f t="shared" si="159"/>
        <v>1.3029570836906208</v>
      </c>
      <c r="J219" s="127">
        <f t="shared" si="160"/>
        <v>24.194088549208224</v>
      </c>
      <c r="K219" s="127">
        <f>I219*$G219</f>
        <v>2.9129358934708063</v>
      </c>
      <c r="L219" s="127">
        <f>J219*$G219</f>
        <v>54.089140637830646</v>
      </c>
      <c r="M219" s="127">
        <f>K219+L219</f>
        <v>57.002076531301455</v>
      </c>
      <c r="N219" s="128">
        <f>IF(D219&gt;0,M219/H219,"PO")</f>
        <v>8.5717408317746564</v>
      </c>
      <c r="O219" s="129" t="str">
        <f t="shared" si="161"/>
        <v>OK</v>
      </c>
    </row>
    <row r="220" spans="1:15" ht="14.25" customHeight="1" x14ac:dyDescent="0.25">
      <c r="A220" s="120" t="str">
        <f>IF(N220=MIN(N201:N224),1,"")</f>
        <v/>
      </c>
      <c r="B220" s="121">
        <f t="shared" ref="B220:B224" si="176">B219+1/24</f>
        <v>42317.791666666621</v>
      </c>
      <c r="C220" s="122">
        <f t="shared" ref="C220:C224" si="177">DAY(B220)</f>
        <v>9</v>
      </c>
      <c r="D220" s="123">
        <v>1259.9250569537792</v>
      </c>
      <c r="E220" s="124">
        <v>42.026977533371785</v>
      </c>
      <c r="F220" s="125">
        <v>12.608716378962422</v>
      </c>
      <c r="G220" s="126">
        <v>2.2973811626434326</v>
      </c>
      <c r="H220" s="127">
        <f>HLOOKUP('Operational Worksheet'!E220,$B$773:$U$775,3)</f>
        <v>7</v>
      </c>
      <c r="I220" s="127">
        <f t="shared" si="159"/>
        <v>1.2937277427762095</v>
      </c>
      <c r="J220" s="127">
        <f t="shared" si="160"/>
        <v>24.018031185659591</v>
      </c>
      <c r="K220" s="127">
        <f t="shared" ref="K220:L223" si="178">I220*$G220</f>
        <v>2.9721857458432721</v>
      </c>
      <c r="L220" s="127">
        <f t="shared" si="178"/>
        <v>55.178572409716857</v>
      </c>
      <c r="M220" s="127">
        <f t="shared" ref="M220:M223" si="179">K220+L220</f>
        <v>58.150758155560126</v>
      </c>
      <c r="N220" s="128">
        <f t="shared" ref="N220:N224" si="180">IF(D220&gt;0,M220/H220,"PO")</f>
        <v>8.307251165080018</v>
      </c>
      <c r="O220" s="129" t="str">
        <f t="shared" si="161"/>
        <v>OK</v>
      </c>
    </row>
    <row r="221" spans="1:15" ht="14.25" customHeight="1" x14ac:dyDescent="0.25">
      <c r="A221" s="120" t="str">
        <f>IF(N221=MIN(N201:N224),1,"")</f>
        <v/>
      </c>
      <c r="B221" s="121">
        <f t="shared" si="176"/>
        <v>42317.833333333285</v>
      </c>
      <c r="C221" s="122">
        <f t="shared" si="177"/>
        <v>9</v>
      </c>
      <c r="D221" s="123">
        <v>1281.4404972938958</v>
      </c>
      <c r="E221" s="124">
        <v>41.157577514648438</v>
      </c>
      <c r="F221" s="125">
        <v>12.60540182156635</v>
      </c>
      <c r="G221" s="126">
        <v>2.2973811626434326</v>
      </c>
      <c r="H221" s="127">
        <f>HLOOKUP('Operational Worksheet'!E221,$B$773:$U$775,3)</f>
        <v>7</v>
      </c>
      <c r="I221" s="127">
        <f t="shared" si="159"/>
        <v>1.2720059990629147</v>
      </c>
      <c r="J221" s="127">
        <f t="shared" si="160"/>
        <v>23.608559613689799</v>
      </c>
      <c r="K221" s="127">
        <f t="shared" si="178"/>
        <v>2.92228262101658</v>
      </c>
      <c r="L221" s="127">
        <f t="shared" si="178"/>
        <v>54.237860133635458</v>
      </c>
      <c r="M221" s="127">
        <f t="shared" si="179"/>
        <v>57.160142754652036</v>
      </c>
      <c r="N221" s="128">
        <f t="shared" si="180"/>
        <v>8.1657346792360048</v>
      </c>
      <c r="O221" s="129" t="str">
        <f t="shared" si="161"/>
        <v>OK</v>
      </c>
    </row>
    <row r="222" spans="1:15" ht="14.25" customHeight="1" x14ac:dyDescent="0.25">
      <c r="A222" s="120" t="str">
        <f>IF(N222=MIN(N201:N224),1,"")</f>
        <v/>
      </c>
      <c r="B222" s="121">
        <f t="shared" si="176"/>
        <v>42317.874999999949</v>
      </c>
      <c r="C222" s="122">
        <f t="shared" si="177"/>
        <v>9</v>
      </c>
      <c r="D222" s="123">
        <v>1353.6906046433107</v>
      </c>
      <c r="E222" s="124">
        <v>41.157577514648438</v>
      </c>
      <c r="F222" s="125">
        <v>12.605935658783832</v>
      </c>
      <c r="G222" s="126">
        <v>2.2973811626434326</v>
      </c>
      <c r="H222" s="127">
        <f>HLOOKUP('Operational Worksheet'!E222,$B$773:$U$775,3)</f>
        <v>7</v>
      </c>
      <c r="I222" s="127">
        <f t="shared" si="159"/>
        <v>1.2041156187454629</v>
      </c>
      <c r="J222" s="127">
        <f t="shared" si="160"/>
        <v>22.349453765362437</v>
      </c>
      <c r="K222" s="127">
        <f t="shared" si="178"/>
        <v>2.7663125401505679</v>
      </c>
      <c r="L222" s="127">
        <f t="shared" si="178"/>
        <v>51.345214075914001</v>
      </c>
      <c r="M222" s="127">
        <f t="shared" si="179"/>
        <v>54.111526616064566</v>
      </c>
      <c r="N222" s="128">
        <f t="shared" si="180"/>
        <v>7.7302180880092237</v>
      </c>
      <c r="O222" s="129" t="str">
        <f t="shared" si="161"/>
        <v>OK</v>
      </c>
    </row>
    <row r="223" spans="1:15" ht="14.25" customHeight="1" x14ac:dyDescent="0.25">
      <c r="A223" s="120" t="str">
        <f>IF(N223=MIN(N201:N224),1,"")</f>
        <v/>
      </c>
      <c r="B223" s="121">
        <f t="shared" si="176"/>
        <v>42317.916666666613</v>
      </c>
      <c r="C223" s="122">
        <f t="shared" si="177"/>
        <v>9</v>
      </c>
      <c r="D223" s="123">
        <v>1347.66749651245</v>
      </c>
      <c r="E223" s="124">
        <v>41.157577514648438</v>
      </c>
      <c r="F223" s="125">
        <v>12.595994525369365</v>
      </c>
      <c r="G223" s="126">
        <v>2.2973811626434326</v>
      </c>
      <c r="H223" s="127">
        <f>HLOOKUP('Operational Worksheet'!E223,$B$773:$U$775,3)</f>
        <v>7</v>
      </c>
      <c r="I223" s="127">
        <f t="shared" si="159"/>
        <v>1.2094971528349401</v>
      </c>
      <c r="J223" s="127">
        <f t="shared" si="160"/>
        <v>22.431636096528209</v>
      </c>
      <c r="K223" s="127">
        <f t="shared" si="178"/>
        <v>2.7786759751938561</v>
      </c>
      <c r="L223" s="127">
        <f t="shared" si="178"/>
        <v>51.534018215436369</v>
      </c>
      <c r="M223" s="127">
        <f t="shared" si="179"/>
        <v>54.312694190630225</v>
      </c>
      <c r="N223" s="128">
        <f t="shared" si="180"/>
        <v>7.7589563129471752</v>
      </c>
      <c r="O223" s="129" t="str">
        <f t="shared" si="161"/>
        <v>OK</v>
      </c>
    </row>
    <row r="224" spans="1:15" ht="14.25" customHeight="1" x14ac:dyDescent="0.25">
      <c r="A224" s="130">
        <f>IF(N224=MIN(N201:N224),1,"")</f>
        <v>1</v>
      </c>
      <c r="B224" s="131">
        <f t="shared" si="176"/>
        <v>42317.958333333278</v>
      </c>
      <c r="C224" s="132">
        <f t="shared" si="177"/>
        <v>9</v>
      </c>
      <c r="D224" s="123">
        <v>1354.3598112013799</v>
      </c>
      <c r="E224" s="124">
        <v>41.157577514648438</v>
      </c>
      <c r="F224" s="125">
        <v>12.606293275706481</v>
      </c>
      <c r="G224" s="126">
        <v>2.2973811626434326</v>
      </c>
      <c r="H224" s="133">
        <f>HLOOKUP('Operational Worksheet'!E224,$B$773:$U$775,3)</f>
        <v>7</v>
      </c>
      <c r="I224" s="134">
        <f t="shared" si="159"/>
        <v>1.2035206497703992</v>
      </c>
      <c r="J224" s="133">
        <f t="shared" si="160"/>
        <v>22.339044330367329</v>
      </c>
      <c r="K224" s="133">
        <f>I224*$G224</f>
        <v>2.7649456696348991</v>
      </c>
      <c r="L224" s="133">
        <f>J224*$G224</f>
        <v>51.321299636042475</v>
      </c>
      <c r="M224" s="133">
        <f>K224+L224</f>
        <v>54.086245305677373</v>
      </c>
      <c r="N224" s="134">
        <f t="shared" si="180"/>
        <v>7.7266064722396246</v>
      </c>
      <c r="O224" s="135" t="str">
        <f t="shared" si="161"/>
        <v>OK</v>
      </c>
    </row>
    <row r="225" spans="1:15" ht="14.25" customHeight="1" x14ac:dyDescent="0.25">
      <c r="A225" s="110" t="str">
        <f>IF(N225=MIN(N225:N248),1,"")</f>
        <v/>
      </c>
      <c r="B225" s="111">
        <f>'[1]Turbidity Daily Data Sheet'!B25</f>
        <v>42318</v>
      </c>
      <c r="C225" s="112">
        <f>DAY(B225)</f>
        <v>10</v>
      </c>
      <c r="D225" s="123">
        <v>1343.5654812696619</v>
      </c>
      <c r="E225" s="124">
        <v>41.157577514648438</v>
      </c>
      <c r="F225" s="125">
        <v>12.603999476590609</v>
      </c>
      <c r="G225" s="126">
        <v>2.2973811626434326</v>
      </c>
      <c r="H225" s="117">
        <f>HLOOKUP('Operational Worksheet'!E225,$B$773:$U$775,3)</f>
        <v>7</v>
      </c>
      <c r="I225" s="117">
        <f t="shared" si="159"/>
        <v>1.2131898465117301</v>
      </c>
      <c r="J225" s="117">
        <f t="shared" si="160"/>
        <v>22.514420893897746</v>
      </c>
      <c r="K225" s="117">
        <f>I225*$G225</f>
        <v>2.7871595000863261</v>
      </c>
      <c r="L225" s="117">
        <f>J225*$G225</f>
        <v>51.724206449466394</v>
      </c>
      <c r="M225" s="117">
        <f>K225+L225</f>
        <v>54.511365949552719</v>
      </c>
      <c r="N225" s="118">
        <f>IF(D225&gt;0,M225/H225,"PO")</f>
        <v>7.7873379927932458</v>
      </c>
      <c r="O225" s="119" t="str">
        <f t="shared" si="161"/>
        <v>OK</v>
      </c>
    </row>
    <row r="226" spans="1:15" ht="14.25" customHeight="1" x14ac:dyDescent="0.25">
      <c r="A226" s="120" t="str">
        <f>IF(N226=MIN(N225:N248),1,"")</f>
        <v/>
      </c>
      <c r="B226" s="121">
        <f>B225+1/24</f>
        <v>42318.041666666664</v>
      </c>
      <c r="C226" s="122">
        <f>DAY(B226)</f>
        <v>10</v>
      </c>
      <c r="D226" s="123">
        <v>1351.1639306742827</v>
      </c>
      <c r="E226" s="124">
        <v>41.157577514648438</v>
      </c>
      <c r="F226" s="125">
        <v>12.615598035049992</v>
      </c>
      <c r="G226" s="126">
        <v>2.2973811626434326</v>
      </c>
      <c r="H226" s="127">
        <f>HLOOKUP('Operational Worksheet'!E226,$B$773:$U$775,3)</f>
        <v>7</v>
      </c>
      <c r="I226" s="127">
        <f t="shared" si="159"/>
        <v>1.2063673126521128</v>
      </c>
      <c r="J226" s="127">
        <f t="shared" si="160"/>
        <v>22.408409961780418</v>
      </c>
      <c r="K226" s="127">
        <f t="shared" ref="K226:L229" si="181">I226*$G226</f>
        <v>2.7714855393157443</v>
      </c>
      <c r="L226" s="127">
        <f t="shared" si="181"/>
        <v>51.480658930985776</v>
      </c>
      <c r="M226" s="127">
        <f t="shared" ref="M226:M229" si="182">K226+L226</f>
        <v>54.252144470301516</v>
      </c>
      <c r="N226" s="128">
        <f t="shared" ref="N226:N230" si="183">IF(D226&gt;0,M226/H226,"PO")</f>
        <v>7.7503063529002167</v>
      </c>
      <c r="O226" s="129" t="str">
        <f t="shared" si="161"/>
        <v>OK</v>
      </c>
    </row>
    <row r="227" spans="1:15" ht="14.25" customHeight="1" x14ac:dyDescent="0.25">
      <c r="A227" s="120" t="str">
        <f>IF(N227=MIN(N225:N248),1,"")</f>
        <v/>
      </c>
      <c r="B227" s="121">
        <f t="shared" ref="B227:B242" si="184">B226+1/24</f>
        <v>42318.083333333328</v>
      </c>
      <c r="C227" s="122">
        <f t="shared" ref="C227" si="185">DAY(B227)</f>
        <v>10</v>
      </c>
      <c r="D227" s="123">
        <v>1352.8904179690246</v>
      </c>
      <c r="E227" s="124">
        <v>41.157577514648438</v>
      </c>
      <c r="F227" s="125">
        <v>12.607799855100938</v>
      </c>
      <c r="G227" s="126">
        <v>2.2973811626434326</v>
      </c>
      <c r="H227" s="127">
        <f>HLOOKUP('Operational Worksheet'!E227,$B$773:$U$775,3)</f>
        <v>7</v>
      </c>
      <c r="I227" s="127">
        <f t="shared" si="159"/>
        <v>1.2048278104053509</v>
      </c>
      <c r="J227" s="127">
        <f t="shared" si="160"/>
        <v>22.365979720417418</v>
      </c>
      <c r="K227" s="127">
        <f t="shared" si="181"/>
        <v>2.7679487158541862</v>
      </c>
      <c r="L227" s="127">
        <f t="shared" si="181"/>
        <v>51.383180493752</v>
      </c>
      <c r="M227" s="127">
        <f t="shared" si="182"/>
        <v>54.151129209606189</v>
      </c>
      <c r="N227" s="128">
        <f t="shared" si="183"/>
        <v>7.7358756013723129</v>
      </c>
      <c r="O227" s="129" t="str">
        <f t="shared" si="161"/>
        <v>OK</v>
      </c>
    </row>
    <row r="228" spans="1:15" ht="14.25" customHeight="1" x14ac:dyDescent="0.25">
      <c r="A228" s="120" t="str">
        <f>IF(N228=MIN(N225:N248),1,"")</f>
        <v/>
      </c>
      <c r="B228" s="121">
        <f t="shared" si="184"/>
        <v>42318.124999999993</v>
      </c>
      <c r="C228" s="122">
        <f>DAY(B228)</f>
        <v>10</v>
      </c>
      <c r="D228" s="123">
        <v>1352.1281537558209</v>
      </c>
      <c r="E228" s="124">
        <v>41.300050186761936</v>
      </c>
      <c r="F228" s="125">
        <v>12.605814520429933</v>
      </c>
      <c r="G228" s="126">
        <v>2.3591279983520508</v>
      </c>
      <c r="H228" s="127">
        <f>HLOOKUP('Operational Worksheet'!E228,$B$773:$U$775,3)</f>
        <v>7</v>
      </c>
      <c r="I228" s="127">
        <f t="shared" si="159"/>
        <v>1.2055070338357585</v>
      </c>
      <c r="J228" s="127">
        <f t="shared" si="160"/>
        <v>22.375064645311245</v>
      </c>
      <c r="K228" s="127">
        <f t="shared" si="181"/>
        <v>2.8439453957322711</v>
      </c>
      <c r="L228" s="127">
        <f t="shared" si="181"/>
        <v>52.785641469690859</v>
      </c>
      <c r="M228" s="127">
        <f t="shared" si="182"/>
        <v>55.629586865423128</v>
      </c>
      <c r="N228" s="128">
        <f t="shared" si="183"/>
        <v>7.9470838379175897</v>
      </c>
      <c r="O228" s="129" t="str">
        <f t="shared" si="161"/>
        <v>OK</v>
      </c>
    </row>
    <row r="229" spans="1:15" ht="14.25" customHeight="1" x14ac:dyDescent="0.25">
      <c r="A229" s="120" t="str">
        <f>IF(N229=MIN(N225:N248),1,"")</f>
        <v/>
      </c>
      <c r="B229" s="121">
        <f t="shared" si="184"/>
        <v>42318.166666666657</v>
      </c>
      <c r="C229" s="122">
        <f t="shared" ref="C229:C230" si="186">DAY(B229)</f>
        <v>10</v>
      </c>
      <c r="D229" s="123">
        <v>1345.4199778338773</v>
      </c>
      <c r="E229" s="124">
        <v>41.390773773193359</v>
      </c>
      <c r="F229" s="125">
        <v>12.591519420784488</v>
      </c>
      <c r="G229" s="126">
        <v>2.3591279983520508</v>
      </c>
      <c r="H229" s="127">
        <f>HLOOKUP('Operational Worksheet'!E229,$B$773:$U$775,3)</f>
        <v>7</v>
      </c>
      <c r="I229" s="127">
        <f t="shared" si="159"/>
        <v>1.2115176129793284</v>
      </c>
      <c r="J229" s="127">
        <f t="shared" si="160"/>
        <v>22.461125230603702</v>
      </c>
      <c r="K229" s="127">
        <f t="shared" si="181"/>
        <v>2.8581251212761773</v>
      </c>
      <c r="L229" s="127">
        <f t="shared" si="181"/>
        <v>52.98866940600886</v>
      </c>
      <c r="M229" s="127">
        <f t="shared" si="182"/>
        <v>55.846794527285034</v>
      </c>
      <c r="N229" s="128">
        <f t="shared" si="183"/>
        <v>7.9781135038978617</v>
      </c>
      <c r="O229" s="129" t="str">
        <f t="shared" si="161"/>
        <v>OK</v>
      </c>
    </row>
    <row r="230" spans="1:15" ht="14.25" customHeight="1" x14ac:dyDescent="0.25">
      <c r="A230" s="120" t="str">
        <f>IF(N230=MIN(N225:N248),1,"")</f>
        <v/>
      </c>
      <c r="B230" s="121">
        <f t="shared" si="184"/>
        <v>42318.208333333321</v>
      </c>
      <c r="C230" s="122">
        <f t="shared" si="186"/>
        <v>10</v>
      </c>
      <c r="D230" s="123">
        <v>1343.4633453036213</v>
      </c>
      <c r="E230" s="124">
        <v>41.390773773193359</v>
      </c>
      <c r="F230" s="125">
        <v>12.603830877179062</v>
      </c>
      <c r="G230" s="126">
        <v>2.3591279983520508</v>
      </c>
      <c r="H230" s="127">
        <f>HLOOKUP('Operational Worksheet'!E230,$B$773:$U$775,3)</f>
        <v>7</v>
      </c>
      <c r="I230" s="128">
        <f t="shared" si="159"/>
        <v>1.213282078515973</v>
      </c>
      <c r="J230" s="127">
        <f t="shared" si="160"/>
        <v>22.515831348114272</v>
      </c>
      <c r="K230" s="127">
        <f>I230*$G230</f>
        <v>2.8622877213258033</v>
      </c>
      <c r="L230" s="127">
        <f>J230*$G230</f>
        <v>53.117728139509182</v>
      </c>
      <c r="M230" s="127">
        <f>K230+L230</f>
        <v>55.980015860834989</v>
      </c>
      <c r="N230" s="128">
        <f t="shared" si="183"/>
        <v>7.997145122976427</v>
      </c>
      <c r="O230" s="129" t="str">
        <f t="shared" si="161"/>
        <v>OK</v>
      </c>
    </row>
    <row r="231" spans="1:15" ht="14.25" customHeight="1" x14ac:dyDescent="0.25">
      <c r="A231" s="120" t="str">
        <f>IF(N231=MIN(N225:N248),1,"")</f>
        <v/>
      </c>
      <c r="B231" s="121">
        <f t="shared" si="184"/>
        <v>42318.249999999985</v>
      </c>
      <c r="C231" s="122">
        <f>DAY(B231)</f>
        <v>10</v>
      </c>
      <c r="D231" s="123">
        <v>1349.849223344846</v>
      </c>
      <c r="E231" s="124">
        <v>41.390773773193359</v>
      </c>
      <c r="F231" s="125">
        <v>12.600005776655093</v>
      </c>
      <c r="G231" s="126">
        <v>2.3591279983520508</v>
      </c>
      <c r="H231" s="127">
        <f>HLOOKUP('Operational Worksheet'!E231,$B$773:$U$775,3)</f>
        <v>7</v>
      </c>
      <c r="I231" s="127">
        <f t="shared" si="159"/>
        <v>1.207542273470334</v>
      </c>
      <c r="J231" s="127">
        <f t="shared" si="160"/>
        <v>22.402512325813149</v>
      </c>
      <c r="K231" s="127">
        <f>I231*$G231</f>
        <v>2.848746786537554</v>
      </c>
      <c r="L231" s="127">
        <f>J231*$G231</f>
        <v>52.850394061252722</v>
      </c>
      <c r="M231" s="127">
        <f>K231+L231</f>
        <v>55.699140847790275</v>
      </c>
      <c r="N231" s="128">
        <f>IF(D231&gt;0,M231/H231,"PO")</f>
        <v>7.9570201211128966</v>
      </c>
      <c r="O231" s="129" t="str">
        <f t="shared" si="161"/>
        <v>OK</v>
      </c>
    </row>
    <row r="232" spans="1:15" ht="14.25" customHeight="1" x14ac:dyDescent="0.25">
      <c r="A232" s="120" t="str">
        <f>IF(N232=MIN(N225:N248),1,"")</f>
        <v/>
      </c>
      <c r="B232" s="121">
        <f t="shared" si="184"/>
        <v>42318.29166666665</v>
      </c>
      <c r="C232" s="122">
        <f t="shared" ref="C232:C236" si="187">DAY(B232)</f>
        <v>10</v>
      </c>
      <c r="D232" s="123">
        <v>1336.0409812532946</v>
      </c>
      <c r="E232" s="124">
        <v>41.076235999984561</v>
      </c>
      <c r="F232" s="125">
        <v>12.596758667287792</v>
      </c>
      <c r="G232" s="126">
        <v>2.3591279983520508</v>
      </c>
      <c r="H232" s="127">
        <f>HLOOKUP('Operational Worksheet'!E232,$B$773:$U$775,3)</f>
        <v>7</v>
      </c>
      <c r="I232" s="127">
        <f t="shared" si="159"/>
        <v>1.2200224565499125</v>
      </c>
      <c r="J232" s="127">
        <f t="shared" si="160"/>
        <v>22.628213674352178</v>
      </c>
      <c r="K232" s="127">
        <f t="shared" ref="K232:L235" si="188">I232*$G232</f>
        <v>2.878189135865147</v>
      </c>
      <c r="L232" s="127">
        <f t="shared" si="188"/>
        <v>53.382852431856961</v>
      </c>
      <c r="M232" s="127">
        <f t="shared" ref="M232:M235" si="189">K232+L232</f>
        <v>56.26104156772211</v>
      </c>
      <c r="N232" s="128">
        <f t="shared" ref="N232:N236" si="190">IF(D232&gt;0,M232/H232,"PO")</f>
        <v>8.0372916525317297</v>
      </c>
      <c r="O232" s="129" t="str">
        <f t="shared" si="161"/>
        <v>OK</v>
      </c>
    </row>
    <row r="233" spans="1:15" ht="14.25" customHeight="1" x14ac:dyDescent="0.25">
      <c r="A233" s="120" t="str">
        <f>IF(N233=MIN(N225:N248),1,"")</f>
        <v/>
      </c>
      <c r="B233" s="121">
        <f t="shared" si="184"/>
        <v>42318.333333333314</v>
      </c>
      <c r="C233" s="122">
        <f t="shared" si="187"/>
        <v>10</v>
      </c>
      <c r="D233" s="123">
        <v>1351.6436372970309</v>
      </c>
      <c r="E233" s="124">
        <v>41.173589764459713</v>
      </c>
      <c r="F233" s="125">
        <v>12.60624638220502</v>
      </c>
      <c r="G233" s="126">
        <v>2.3591279983520508</v>
      </c>
      <c r="H233" s="127">
        <f>HLOOKUP('Operational Worksheet'!E233,$B$773:$U$775,3)</f>
        <v>7</v>
      </c>
      <c r="I233" s="127">
        <f t="shared" si="159"/>
        <v>1.2059391654886316</v>
      </c>
      <c r="J233" s="127">
        <f t="shared" si="160"/>
        <v>22.383852135607956</v>
      </c>
      <c r="K233" s="127">
        <f t="shared" si="188"/>
        <v>2.8449648496135378</v>
      </c>
      <c r="L233" s="127">
        <f t="shared" si="188"/>
        <v>52.806372284085072</v>
      </c>
      <c r="M233" s="127">
        <f t="shared" si="189"/>
        <v>55.651337133698611</v>
      </c>
      <c r="N233" s="128">
        <f t="shared" si="190"/>
        <v>7.950191019099802</v>
      </c>
      <c r="O233" s="129" t="str">
        <f t="shared" si="161"/>
        <v>OK</v>
      </c>
    </row>
    <row r="234" spans="1:15" ht="14.25" customHeight="1" x14ac:dyDescent="0.25">
      <c r="A234" s="120" t="str">
        <f>IF(N234=MIN(N225:N248),1,"")</f>
        <v/>
      </c>
      <c r="B234" s="121">
        <f t="shared" si="184"/>
        <v>42318.374999999978</v>
      </c>
      <c r="C234" s="122">
        <f t="shared" si="187"/>
        <v>10</v>
      </c>
      <c r="D234" s="123">
        <v>1350.0525508536734</v>
      </c>
      <c r="E234" s="124">
        <v>41.610214110785442</v>
      </c>
      <c r="F234" s="125">
        <v>12.600221354257656</v>
      </c>
      <c r="G234" s="126">
        <v>2.3591279983520508</v>
      </c>
      <c r="H234" s="127">
        <f>HLOOKUP('Operational Worksheet'!E234,$B$773:$U$775,3)</f>
        <v>7</v>
      </c>
      <c r="I234" s="127">
        <f t="shared" si="159"/>
        <v>1.2073604090220846</v>
      </c>
      <c r="J234" s="127">
        <f t="shared" si="160"/>
        <v>22.39952158239803</v>
      </c>
      <c r="K234" s="127">
        <f t="shared" si="188"/>
        <v>2.8483177450257839</v>
      </c>
      <c r="L234" s="127">
        <f t="shared" si="188"/>
        <v>52.843338514726227</v>
      </c>
      <c r="M234" s="127">
        <f t="shared" si="189"/>
        <v>55.691656259752008</v>
      </c>
      <c r="N234" s="128">
        <f t="shared" si="190"/>
        <v>7.9559508942502868</v>
      </c>
      <c r="O234" s="129" t="str">
        <f t="shared" si="161"/>
        <v>OK</v>
      </c>
    </row>
    <row r="235" spans="1:15" ht="14.25" customHeight="1" x14ac:dyDescent="0.25">
      <c r="A235" s="120" t="str">
        <f>IF(N235=MIN(N225:N248),1,"")</f>
        <v/>
      </c>
      <c r="B235" s="121">
        <f t="shared" si="184"/>
        <v>42318.416666666642</v>
      </c>
      <c r="C235" s="122">
        <f t="shared" si="187"/>
        <v>10</v>
      </c>
      <c r="D235" s="123">
        <v>1349.0312272673341</v>
      </c>
      <c r="E235" s="124">
        <v>42.941867828369141</v>
      </c>
      <c r="F235" s="125">
        <v>12.603780339907745</v>
      </c>
      <c r="G235" s="126">
        <v>2.373039722442627</v>
      </c>
      <c r="H235" s="127">
        <f>HLOOKUP('Operational Worksheet'!E235,$B$773:$U$775,3)</f>
        <v>6.6499999999999995</v>
      </c>
      <c r="I235" s="127">
        <f t="shared" si="159"/>
        <v>1.2082744765677593</v>
      </c>
      <c r="J235" s="127">
        <f t="shared" si="160"/>
        <v>22.422811425242276</v>
      </c>
      <c r="K235" s="127">
        <f t="shared" si="188"/>
        <v>2.8672833285088659</v>
      </c>
      <c r="L235" s="127">
        <f t="shared" si="188"/>
        <v>53.210222200940294</v>
      </c>
      <c r="M235" s="127">
        <f t="shared" si="189"/>
        <v>56.077505529449162</v>
      </c>
      <c r="N235" s="128">
        <f t="shared" si="190"/>
        <v>8.4327075984134083</v>
      </c>
      <c r="O235" s="129" t="str">
        <f t="shared" si="161"/>
        <v>OK</v>
      </c>
    </row>
    <row r="236" spans="1:15" ht="14.25" customHeight="1" x14ac:dyDescent="0.25">
      <c r="A236" s="120" t="str">
        <f>IF(N236=MIN(N225:N248),1,"")</f>
        <v/>
      </c>
      <c r="B236" s="121">
        <f t="shared" si="184"/>
        <v>42318.458333333307</v>
      </c>
      <c r="C236" s="122">
        <f t="shared" si="187"/>
        <v>10</v>
      </c>
      <c r="D236" s="123">
        <v>1347.5439791077504</v>
      </c>
      <c r="E236" s="124">
        <v>42.941867828369141</v>
      </c>
      <c r="F236" s="125">
        <v>12.605418924271154</v>
      </c>
      <c r="G236" s="126">
        <v>2.201390266418457</v>
      </c>
      <c r="H236" s="127">
        <f>HLOOKUP('Operational Worksheet'!E236,$B$773:$U$775,3)</f>
        <v>6.6499999999999995</v>
      </c>
      <c r="I236" s="128">
        <f t="shared" si="159"/>
        <v>1.2096080167114638</v>
      </c>
      <c r="J236" s="127">
        <f t="shared" si="160"/>
        <v>22.450477229160416</v>
      </c>
      <c r="K236" s="127">
        <f>I236*$G236</f>
        <v>2.6628193141703509</v>
      </c>
      <c r="L236" s="127">
        <f>J236*$G236</f>
        <v>49.422262048722949</v>
      </c>
      <c r="M236" s="127">
        <f>K236+L236</f>
        <v>52.085081362893298</v>
      </c>
      <c r="N236" s="128">
        <f t="shared" si="190"/>
        <v>7.832343062089218</v>
      </c>
      <c r="O236" s="129" t="str">
        <f t="shared" si="161"/>
        <v>OK</v>
      </c>
    </row>
    <row r="237" spans="1:15" ht="14.25" customHeight="1" x14ac:dyDescent="0.25">
      <c r="A237" s="120" t="str">
        <f>IF(N237=MIN(N225:N248),1,"")</f>
        <v/>
      </c>
      <c r="B237" s="121">
        <f t="shared" si="184"/>
        <v>42318.499999999971</v>
      </c>
      <c r="C237" s="122">
        <f>DAY(B237)</f>
        <v>10</v>
      </c>
      <c r="D237" s="123">
        <v>1351.1530789576962</v>
      </c>
      <c r="E237" s="124">
        <v>42.941867828369141</v>
      </c>
      <c r="F237" s="125">
        <v>12.603320769171754</v>
      </c>
      <c r="G237" s="126">
        <v>2.4967467784881592</v>
      </c>
      <c r="H237" s="127">
        <f>HLOOKUP('Operational Worksheet'!E237,$B$773:$U$775,3)</f>
        <v>6.6499999999999995</v>
      </c>
      <c r="I237" s="127">
        <f t="shared" si="159"/>
        <v>1.2063770015292503</v>
      </c>
      <c r="J237" s="127">
        <f t="shared" si="160"/>
        <v>22.386782309926009</v>
      </c>
      <c r="K237" s="127">
        <f>I237*$G237</f>
        <v>3.0120178922103609</v>
      </c>
      <c r="L237" s="127">
        <f>J237*$G237</f>
        <v>55.894126613023474</v>
      </c>
      <c r="M237" s="127">
        <f>K237+L237</f>
        <v>58.906144505233833</v>
      </c>
      <c r="N237" s="128">
        <f>IF(D237&gt;0,M237/H237,"PO")</f>
        <v>8.8580668428923062</v>
      </c>
      <c r="O237" s="129" t="str">
        <f t="shared" si="161"/>
        <v>OK</v>
      </c>
    </row>
    <row r="238" spans="1:15" ht="14.25" customHeight="1" x14ac:dyDescent="0.25">
      <c r="A238" s="120" t="str">
        <f>IF(N238=MIN(N225:N248),1,"")</f>
        <v/>
      </c>
      <c r="B238" s="121">
        <f t="shared" si="184"/>
        <v>42318.541666666635</v>
      </c>
      <c r="C238" s="122">
        <f t="shared" ref="C238:C242" si="191">DAY(B238)</f>
        <v>10</v>
      </c>
      <c r="D238" s="123">
        <v>1350.4801254996232</v>
      </c>
      <c r="E238" s="124">
        <v>42.941867828369141</v>
      </c>
      <c r="F238" s="125">
        <v>12.600372785964872</v>
      </c>
      <c r="G238" s="126">
        <v>2.1326878070831299</v>
      </c>
      <c r="H238" s="127">
        <f>HLOOKUP('Operational Worksheet'!E238,$B$773:$U$775,3)</f>
        <v>6.6499999999999995</v>
      </c>
      <c r="I238" s="127">
        <f t="shared" si="159"/>
        <v>1.206978147417731</v>
      </c>
      <c r="J238" s="127">
        <f t="shared" si="160"/>
        <v>22.392698800456451</v>
      </c>
      <c r="K238" s="127">
        <f t="shared" ref="K238:L241" si="192">I238*$G238</f>
        <v>2.5741075784135794</v>
      </c>
      <c r="L238" s="127">
        <f t="shared" si="192"/>
        <v>47.756635699418503</v>
      </c>
      <c r="M238" s="127">
        <f t="shared" ref="M238:M241" si="193">K238+L238</f>
        <v>50.330743277832084</v>
      </c>
      <c r="N238" s="128">
        <f t="shared" ref="N238:N242" si="194">IF(D238&gt;0,M238/H238,"PO")</f>
        <v>7.5685328237341487</v>
      </c>
      <c r="O238" s="129" t="str">
        <f t="shared" si="161"/>
        <v>OK</v>
      </c>
    </row>
    <row r="239" spans="1:15" ht="14.25" customHeight="1" x14ac:dyDescent="0.25">
      <c r="A239" s="120" t="str">
        <f>IF(N239=MIN(N225:N248),1,"")</f>
        <v/>
      </c>
      <c r="B239" s="121">
        <f t="shared" si="184"/>
        <v>42318.583333333299</v>
      </c>
      <c r="C239" s="122">
        <f t="shared" si="191"/>
        <v>10</v>
      </c>
      <c r="D239" s="123">
        <v>1343.8536716042092</v>
      </c>
      <c r="E239" s="124">
        <v>42.941867828369141</v>
      </c>
      <c r="F239" s="125">
        <v>12.601862642183422</v>
      </c>
      <c r="G239" s="126">
        <v>2.3936929702758789</v>
      </c>
      <c r="H239" s="127">
        <f>HLOOKUP('Operational Worksheet'!E239,$B$773:$U$775,3)</f>
        <v>6.6499999999999995</v>
      </c>
      <c r="I239" s="127">
        <f t="shared" si="159"/>
        <v>1.2129296771234082</v>
      </c>
      <c r="J239" s="127">
        <f t="shared" si="160"/>
        <v>22.50577646979692</v>
      </c>
      <c r="K239" s="127">
        <f t="shared" si="192"/>
        <v>2.9033812415692934</v>
      </c>
      <c r="L239" s="127">
        <f t="shared" si="192"/>
        <v>53.871918926353175</v>
      </c>
      <c r="M239" s="127">
        <f t="shared" si="193"/>
        <v>56.775300167922467</v>
      </c>
      <c r="N239" s="128">
        <f t="shared" si="194"/>
        <v>8.537639122995861</v>
      </c>
      <c r="O239" s="129" t="str">
        <f t="shared" si="161"/>
        <v>OK</v>
      </c>
    </row>
    <row r="240" spans="1:15" ht="14.25" customHeight="1" x14ac:dyDescent="0.25">
      <c r="A240" s="120" t="str">
        <f>IF(N240=MIN(N225:N248),1,"")</f>
        <v/>
      </c>
      <c r="B240" s="121">
        <f t="shared" si="184"/>
        <v>42318.624999999964</v>
      </c>
      <c r="C240" s="122">
        <f t="shared" si="191"/>
        <v>10</v>
      </c>
      <c r="D240" s="123">
        <v>1346.6002099666744</v>
      </c>
      <c r="E240" s="124">
        <v>42.941867828369141</v>
      </c>
      <c r="F240" s="125">
        <v>12.608294837652748</v>
      </c>
      <c r="G240" s="126">
        <v>2.3936929702758789</v>
      </c>
      <c r="H240" s="127">
        <f>HLOOKUP('Operational Worksheet'!E240,$B$773:$U$775,3)</f>
        <v>6.6499999999999995</v>
      </c>
      <c r="I240" s="127">
        <f t="shared" si="159"/>
        <v>1.2104557744279123</v>
      </c>
      <c r="J240" s="127">
        <f t="shared" si="160"/>
        <v>22.471337362345626</v>
      </c>
      <c r="K240" s="127">
        <f t="shared" si="192"/>
        <v>2.8974594780779386</v>
      </c>
      <c r="L240" s="127">
        <f t="shared" si="192"/>
        <v>53.789482276944433</v>
      </c>
      <c r="M240" s="127">
        <f t="shared" si="193"/>
        <v>56.686941755022374</v>
      </c>
      <c r="N240" s="128">
        <f t="shared" si="194"/>
        <v>8.5243521436123881</v>
      </c>
      <c r="O240" s="129" t="str">
        <f t="shared" si="161"/>
        <v>OK</v>
      </c>
    </row>
    <row r="241" spans="1:15" ht="14.25" customHeight="1" x14ac:dyDescent="0.25">
      <c r="A241" s="120" t="str">
        <f>IF(N241=MIN(N225:N248),1,"")</f>
        <v/>
      </c>
      <c r="B241" s="121">
        <f t="shared" si="184"/>
        <v>42318.666666666628</v>
      </c>
      <c r="C241" s="122">
        <f t="shared" si="191"/>
        <v>10</v>
      </c>
      <c r="D241" s="123">
        <v>1348.9542685716817</v>
      </c>
      <c r="E241" s="124">
        <v>43.147269859510288</v>
      </c>
      <c r="F241" s="125">
        <v>12.594095317855889</v>
      </c>
      <c r="G241" s="126">
        <v>2.3936929702758789</v>
      </c>
      <c r="H241" s="127">
        <f>HLOOKUP('Operational Worksheet'!E241,$B$773:$U$775,3)</f>
        <v>6.6499999999999995</v>
      </c>
      <c r="I241" s="127">
        <f t="shared" si="159"/>
        <v>1.2083434093921501</v>
      </c>
      <c r="J241" s="127">
        <f t="shared" si="160"/>
        <v>22.406859496325442</v>
      </c>
      <c r="K241" s="127">
        <f t="shared" si="192"/>
        <v>2.8924031247411781</v>
      </c>
      <c r="L241" s="127">
        <f t="shared" si="192"/>
        <v>53.635142062313534</v>
      </c>
      <c r="M241" s="127">
        <f t="shared" si="193"/>
        <v>56.527545187054713</v>
      </c>
      <c r="N241" s="128">
        <f t="shared" si="194"/>
        <v>8.5003827348954459</v>
      </c>
      <c r="O241" s="129" t="str">
        <f t="shared" si="161"/>
        <v>OK</v>
      </c>
    </row>
    <row r="242" spans="1:15" ht="14.25" customHeight="1" x14ac:dyDescent="0.25">
      <c r="A242" s="120" t="str">
        <f>IF(N242=MIN(N225:N248),1,"")</f>
        <v/>
      </c>
      <c r="B242" s="121">
        <f t="shared" si="184"/>
        <v>42318.708333333292</v>
      </c>
      <c r="C242" s="122">
        <f t="shared" si="191"/>
        <v>10</v>
      </c>
      <c r="D242" s="123">
        <v>1356.5951858125338</v>
      </c>
      <c r="E242" s="124">
        <v>43.167995452880859</v>
      </c>
      <c r="F242" s="125">
        <v>12.601940757829375</v>
      </c>
      <c r="G242" s="126">
        <v>2.3936929702758789</v>
      </c>
      <c r="H242" s="127">
        <f>HLOOKUP('Operational Worksheet'!E242,$B$773:$U$775,3)</f>
        <v>6.6499999999999995</v>
      </c>
      <c r="I242" s="128">
        <f t="shared" si="159"/>
        <v>1.2015375087916962</v>
      </c>
      <c r="J242" s="127">
        <f t="shared" si="160"/>
        <v>22.294534239169835</v>
      </c>
      <c r="K242" s="127">
        <f>I242*$G242</f>
        <v>2.876111888317475</v>
      </c>
      <c r="L242" s="127">
        <f>J242*$G242</f>
        <v>53.366269883875724</v>
      </c>
      <c r="M242" s="127">
        <f>K242+L242</f>
        <v>56.242381772193198</v>
      </c>
      <c r="N242" s="128">
        <f t="shared" si="194"/>
        <v>8.4575010183749182</v>
      </c>
      <c r="O242" s="129" t="str">
        <f t="shared" si="161"/>
        <v>OK</v>
      </c>
    </row>
    <row r="243" spans="1:15" ht="14.25" customHeight="1" x14ac:dyDescent="0.25">
      <c r="A243" s="120" t="str">
        <f>IF(N243=MIN(N225:N248),1,"")</f>
        <v/>
      </c>
      <c r="B243" s="121">
        <f>B242+1/24</f>
        <v>42318.749999999956</v>
      </c>
      <c r="C243" s="122">
        <f>DAY(B243)</f>
        <v>10</v>
      </c>
      <c r="D243" s="123">
        <v>1348.3460422024093</v>
      </c>
      <c r="E243" s="124">
        <v>43.167995452880859</v>
      </c>
      <c r="F243" s="125">
        <v>12.60544646093399</v>
      </c>
      <c r="G243" s="126">
        <v>2.3936929702758789</v>
      </c>
      <c r="H243" s="127">
        <f>HLOOKUP('Operational Worksheet'!E243,$B$773:$U$775,3)</f>
        <v>6.6499999999999995</v>
      </c>
      <c r="I243" s="127">
        <f t="shared" si="159"/>
        <v>1.2088884818748256</v>
      </c>
      <c r="J243" s="127">
        <f t="shared" si="160"/>
        <v>22.437171586031237</v>
      </c>
      <c r="K243" s="127">
        <f>I243*$G243</f>
        <v>2.893707860911249</v>
      </c>
      <c r="L243" s="127">
        <f>J243*$G243</f>
        <v>53.707699898356665</v>
      </c>
      <c r="M243" s="127">
        <f>K243+L243</f>
        <v>56.601407759267914</v>
      </c>
      <c r="N243" s="128">
        <f>IF(D243&gt;0,M243/H243,"PO")</f>
        <v>8.5114898886117167</v>
      </c>
      <c r="O243" s="129" t="str">
        <f t="shared" si="161"/>
        <v>OK</v>
      </c>
    </row>
    <row r="244" spans="1:15" ht="14.25" customHeight="1" x14ac:dyDescent="0.25">
      <c r="A244" s="120" t="str">
        <f>IF(N244=MIN(N225:N248),1,"")</f>
        <v/>
      </c>
      <c r="B244" s="121">
        <f t="shared" ref="B244:B248" si="195">B243+1/24</f>
        <v>42318.791666666621</v>
      </c>
      <c r="C244" s="122">
        <f t="shared" ref="C244:C248" si="196">DAY(B244)</f>
        <v>10</v>
      </c>
      <c r="D244" s="123">
        <v>1351.5550910794595</v>
      </c>
      <c r="E244" s="124">
        <v>43.167995452880859</v>
      </c>
      <c r="F244" s="125">
        <v>12.616240911846683</v>
      </c>
      <c r="G244" s="126">
        <v>2.3936929702758789</v>
      </c>
      <c r="H244" s="127">
        <f>HLOOKUP('Operational Worksheet'!E244,$B$773:$U$775,3)</f>
        <v>6.6499999999999995</v>
      </c>
      <c r="I244" s="127">
        <f t="shared" si="159"/>
        <v>1.2060181717773355</v>
      </c>
      <c r="J244" s="127">
        <f t="shared" si="160"/>
        <v>22.403066207422466</v>
      </c>
      <c r="K244" s="127">
        <f t="shared" ref="K244:L247" si="197">I244*$G244</f>
        <v>2.8868372198083754</v>
      </c>
      <c r="L244" s="127">
        <f t="shared" si="197"/>
        <v>53.626062093332251</v>
      </c>
      <c r="M244" s="127">
        <f t="shared" ref="M244:M247" si="198">K244+L244</f>
        <v>56.512899313140629</v>
      </c>
      <c r="N244" s="128">
        <f t="shared" ref="N244:N248" si="199">IF(D244&gt;0,M244/H244,"PO")</f>
        <v>8.4981803478406963</v>
      </c>
      <c r="O244" s="129" t="str">
        <f t="shared" si="161"/>
        <v>OK</v>
      </c>
    </row>
    <row r="245" spans="1:15" ht="14.25" customHeight="1" x14ac:dyDescent="0.25">
      <c r="A245" s="120" t="str">
        <f>IF(N245=MIN(N225:N248),1,"")</f>
        <v/>
      </c>
      <c r="B245" s="121">
        <f t="shared" si="195"/>
        <v>42318.833333333285</v>
      </c>
      <c r="C245" s="122">
        <f t="shared" si="196"/>
        <v>10</v>
      </c>
      <c r="D245" s="123">
        <v>1610.4709417228348</v>
      </c>
      <c r="E245" s="124">
        <v>43.167995452880859</v>
      </c>
      <c r="F245" s="125">
        <v>12.601935851753929</v>
      </c>
      <c r="G245" s="126">
        <v>2.5516448020935059</v>
      </c>
      <c r="H245" s="127">
        <f>HLOOKUP('Operational Worksheet'!E245,$B$773:$U$775,3)</f>
        <v>6.6499999999999995</v>
      </c>
      <c r="I245" s="127">
        <f t="shared" si="159"/>
        <v>1.0121263027920724</v>
      </c>
      <c r="J245" s="127">
        <f t="shared" si="160"/>
        <v>18.780001092012618</v>
      </c>
      <c r="K245" s="127">
        <f t="shared" si="197"/>
        <v>2.5825868195815094</v>
      </c>
      <c r="L245" s="127">
        <f t="shared" si="197"/>
        <v>47.919892169744358</v>
      </c>
      <c r="M245" s="127">
        <f t="shared" si="198"/>
        <v>50.502478989325866</v>
      </c>
      <c r="N245" s="128">
        <f t="shared" si="199"/>
        <v>7.5943577427557702</v>
      </c>
      <c r="O245" s="129" t="str">
        <f t="shared" si="161"/>
        <v>OK</v>
      </c>
    </row>
    <row r="246" spans="1:15" ht="14.25" customHeight="1" x14ac:dyDescent="0.25">
      <c r="A246" s="120">
        <f>IF(N246=MIN(N225:N248),1,"")</f>
        <v>1</v>
      </c>
      <c r="B246" s="121">
        <f t="shared" si="195"/>
        <v>42318.874999999949</v>
      </c>
      <c r="C246" s="122">
        <f t="shared" si="196"/>
        <v>10</v>
      </c>
      <c r="D246" s="123">
        <v>1707.3327468221912</v>
      </c>
      <c r="E246" s="124">
        <v>43.167995452880859</v>
      </c>
      <c r="F246" s="125">
        <v>12.602258063249634</v>
      </c>
      <c r="G246" s="126">
        <v>2.5516448020935059</v>
      </c>
      <c r="H246" s="127">
        <f>HLOOKUP('Operational Worksheet'!E246,$B$773:$U$775,3)</f>
        <v>6.6499999999999995</v>
      </c>
      <c r="I246" s="127">
        <f t="shared" si="159"/>
        <v>0.95470552124878505</v>
      </c>
      <c r="J246" s="127">
        <f t="shared" si="160"/>
        <v>17.715011562973906</v>
      </c>
      <c r="K246" s="127">
        <f t="shared" si="197"/>
        <v>2.4360693808244336</v>
      </c>
      <c r="L246" s="127">
        <f t="shared" si="197"/>
        <v>45.202417173688723</v>
      </c>
      <c r="M246" s="127">
        <f t="shared" si="198"/>
        <v>47.638486554513158</v>
      </c>
      <c r="N246" s="128">
        <f t="shared" si="199"/>
        <v>7.163682188648596</v>
      </c>
      <c r="O246" s="129" t="str">
        <f t="shared" si="161"/>
        <v>OK</v>
      </c>
    </row>
    <row r="247" spans="1:15" ht="14.25" customHeight="1" x14ac:dyDescent="0.25">
      <c r="A247" s="120" t="str">
        <f>IF(N247=MIN(N225:N248),1,"")</f>
        <v/>
      </c>
      <c r="B247" s="121">
        <f t="shared" si="195"/>
        <v>42318.916666666613</v>
      </c>
      <c r="C247" s="122">
        <f t="shared" si="196"/>
        <v>10</v>
      </c>
      <c r="D247" s="123">
        <v>1703.8889811632</v>
      </c>
      <c r="E247" s="124">
        <v>43.167995452880859</v>
      </c>
      <c r="F247" s="125">
        <v>12.599015859885746</v>
      </c>
      <c r="G247" s="126">
        <v>2.5516448020935059</v>
      </c>
      <c r="H247" s="127">
        <f>HLOOKUP('Operational Worksheet'!E247,$B$773:$U$775,3)</f>
        <v>6.6499999999999995</v>
      </c>
      <c r="I247" s="127">
        <f t="shared" si="159"/>
        <v>0.95663509654674916</v>
      </c>
      <c r="J247" s="127">
        <f t="shared" si="160"/>
        <v>17.746248962231892</v>
      </c>
      <c r="K247" s="127">
        <f t="shared" si="197"/>
        <v>2.4409929716037317</v>
      </c>
      <c r="L247" s="127">
        <f t="shared" si="197"/>
        <v>45.282123921136282</v>
      </c>
      <c r="M247" s="127">
        <f t="shared" si="198"/>
        <v>47.723116892740016</v>
      </c>
      <c r="N247" s="128">
        <f t="shared" si="199"/>
        <v>7.1764085552992514</v>
      </c>
      <c r="O247" s="129" t="str">
        <f t="shared" si="161"/>
        <v>OK</v>
      </c>
    </row>
    <row r="248" spans="1:15" ht="14.25" customHeight="1" x14ac:dyDescent="0.25">
      <c r="A248" s="130" t="str">
        <f>IF(N248=MIN(N225:N248),1,"")</f>
        <v/>
      </c>
      <c r="B248" s="131">
        <f t="shared" si="195"/>
        <v>42318.958333333278</v>
      </c>
      <c r="C248" s="132">
        <f t="shared" si="196"/>
        <v>10</v>
      </c>
      <c r="D248" s="123">
        <v>1504.7500132328871</v>
      </c>
      <c r="E248" s="124">
        <v>43.167995452880859</v>
      </c>
      <c r="F248" s="125">
        <v>12.614778173972988</v>
      </c>
      <c r="G248" s="126">
        <v>2.5516448020935059</v>
      </c>
      <c r="H248" s="133">
        <f>HLOOKUP('Operational Worksheet'!E248,$B$773:$U$775,3)</f>
        <v>6.6499999999999995</v>
      </c>
      <c r="I248" s="134">
        <f t="shared" si="159"/>
        <v>1.0832364084835719</v>
      </c>
      <c r="J248" s="133">
        <f t="shared" si="160"/>
        <v>20.119931783545699</v>
      </c>
      <c r="K248" s="133">
        <f>I248*$G248</f>
        <v>2.764034551145544</v>
      </c>
      <c r="L248" s="133">
        <f>J248*$G248</f>
        <v>51.3389193539603</v>
      </c>
      <c r="M248" s="133">
        <f>K248+L248</f>
        <v>54.102953905105842</v>
      </c>
      <c r="N248" s="134">
        <f t="shared" si="199"/>
        <v>8.1357825421211807</v>
      </c>
      <c r="O248" s="135" t="str">
        <f t="shared" si="161"/>
        <v>OK</v>
      </c>
    </row>
    <row r="249" spans="1:15" ht="14.25" customHeight="1" x14ac:dyDescent="0.25">
      <c r="A249" s="110" t="str">
        <f>IF(N249=MIN(N249:N272),1,"")</f>
        <v/>
      </c>
      <c r="B249" s="111">
        <f>'[1]Turbidity Daily Data Sheet'!B26</f>
        <v>42319</v>
      </c>
      <c r="C249" s="112">
        <f>DAY(B249)</f>
        <v>11</v>
      </c>
      <c r="D249" s="123">
        <v>1440.4604766562811</v>
      </c>
      <c r="E249" s="124">
        <v>41.029514539014016</v>
      </c>
      <c r="F249" s="125">
        <v>12.597919145051129</v>
      </c>
      <c r="G249" s="126">
        <v>2.5516448020935059</v>
      </c>
      <c r="H249" s="117">
        <f>HLOOKUP('Operational Worksheet'!E249,$B$773:$U$775,3)</f>
        <v>7</v>
      </c>
      <c r="I249" s="117">
        <f t="shared" si="159"/>
        <v>1.1315825921053344</v>
      </c>
      <c r="J249" s="117">
        <f t="shared" si="160"/>
        <v>20.989819879200549</v>
      </c>
      <c r="K249" s="117">
        <f>I249*$G249</f>
        <v>2.8873968392850724</v>
      </c>
      <c r="L249" s="117">
        <f>J249*$G249</f>
        <v>53.558564791641018</v>
      </c>
      <c r="M249" s="117">
        <f>K249+L249</f>
        <v>56.445961630926092</v>
      </c>
      <c r="N249" s="118">
        <f>IF(D249&gt;0,M249/H249,"PO")</f>
        <v>8.0637088044180132</v>
      </c>
      <c r="O249" s="119" t="str">
        <f t="shared" si="161"/>
        <v>OK</v>
      </c>
    </row>
    <row r="250" spans="1:15" ht="14.25" customHeight="1" x14ac:dyDescent="0.25">
      <c r="A250" s="120" t="str">
        <f>IF(N250=MIN(N249:N272),1,"")</f>
        <v/>
      </c>
      <c r="B250" s="121">
        <f>B249+1/24</f>
        <v>42319.041666666664</v>
      </c>
      <c r="C250" s="122">
        <f>DAY(B250)</f>
        <v>11</v>
      </c>
      <c r="D250" s="123">
        <v>1436.3823353229761</v>
      </c>
      <c r="E250" s="124">
        <v>40.889049530029297</v>
      </c>
      <c r="F250" s="125">
        <v>12.61366111124639</v>
      </c>
      <c r="G250" s="126">
        <v>2.5516448020935059</v>
      </c>
      <c r="H250" s="127">
        <f>HLOOKUP('Operational Worksheet'!E250,$B$773:$U$775,3)</f>
        <v>7.7875000000000005</v>
      </c>
      <c r="I250" s="127">
        <f t="shared" si="159"/>
        <v>1.1347953535181063</v>
      </c>
      <c r="J250" s="127">
        <f t="shared" si="160"/>
        <v>21.075716348310827</v>
      </c>
      <c r="K250" s="127">
        <f t="shared" ref="K250:L253" si="200">I250*$G250</f>
        <v>2.8955946652443383</v>
      </c>
      <c r="L250" s="127">
        <f t="shared" si="200"/>
        <v>53.777742070564443</v>
      </c>
      <c r="M250" s="127">
        <f t="shared" ref="M250:M253" si="201">K250+L250</f>
        <v>56.673336735808782</v>
      </c>
      <c r="N250" s="128">
        <f t="shared" ref="N250:N254" si="202">IF(D250&gt;0,M250/H250,"PO")</f>
        <v>7.2774750222547384</v>
      </c>
      <c r="O250" s="129" t="str">
        <f t="shared" si="161"/>
        <v>OK</v>
      </c>
    </row>
    <row r="251" spans="1:15" ht="14.25" customHeight="1" x14ac:dyDescent="0.25">
      <c r="A251" s="120" t="str">
        <f>IF(N251=MIN(N249:N272),1,"")</f>
        <v/>
      </c>
      <c r="B251" s="121">
        <f t="shared" ref="B251:B266" si="203">B250+1/24</f>
        <v>42319.083333333328</v>
      </c>
      <c r="C251" s="122">
        <f t="shared" ref="C251" si="204">DAY(B251)</f>
        <v>11</v>
      </c>
      <c r="D251" s="123">
        <v>1445.4770020060621</v>
      </c>
      <c r="E251" s="124">
        <v>40.889049530029297</v>
      </c>
      <c r="F251" s="125">
        <v>12.615102340979647</v>
      </c>
      <c r="G251" s="126">
        <v>2.5516448020935059</v>
      </c>
      <c r="H251" s="127">
        <f>HLOOKUP('Operational Worksheet'!E251,$B$773:$U$775,3)</f>
        <v>7.7875000000000005</v>
      </c>
      <c r="I251" s="127">
        <f t="shared" si="159"/>
        <v>1.1276554367436169</v>
      </c>
      <c r="J251" s="127">
        <f t="shared" si="160"/>
        <v>20.945504893079011</v>
      </c>
      <c r="K251" s="127">
        <f t="shared" si="200"/>
        <v>2.8773761337193324</v>
      </c>
      <c r="L251" s="127">
        <f t="shared" si="200"/>
        <v>53.445488687649153</v>
      </c>
      <c r="M251" s="127">
        <f t="shared" si="201"/>
        <v>56.322864821368483</v>
      </c>
      <c r="N251" s="128">
        <f t="shared" si="202"/>
        <v>7.2324706030649732</v>
      </c>
      <c r="O251" s="129" t="str">
        <f t="shared" si="161"/>
        <v>OK</v>
      </c>
    </row>
    <row r="252" spans="1:15" ht="14.25" customHeight="1" x14ac:dyDescent="0.25">
      <c r="A252" s="120" t="str">
        <f>IF(N252=MIN(N249:N272),1,"")</f>
        <v/>
      </c>
      <c r="B252" s="121">
        <f t="shared" si="203"/>
        <v>42319.124999999993</v>
      </c>
      <c r="C252" s="122">
        <f>DAY(B252)</f>
        <v>11</v>
      </c>
      <c r="D252" s="123">
        <v>1440.2040633835541</v>
      </c>
      <c r="E252" s="124">
        <v>40.889049530029297</v>
      </c>
      <c r="F252" s="125">
        <v>12.600669415796638</v>
      </c>
      <c r="G252" s="126">
        <v>2.5516448020935059</v>
      </c>
      <c r="H252" s="127">
        <f>HLOOKUP('Operational Worksheet'!E252,$B$773:$U$775,3)</f>
        <v>7.7875000000000005</v>
      </c>
      <c r="I252" s="127">
        <f t="shared" si="159"/>
        <v>1.1317840585524717</v>
      </c>
      <c r="J252" s="127">
        <f t="shared" si="160"/>
        <v>20.998140032228203</v>
      </c>
      <c r="K252" s="127">
        <f t="shared" si="200"/>
        <v>2.8879109100977063</v>
      </c>
      <c r="L252" s="127">
        <f t="shared" si="200"/>
        <v>53.579794866866656</v>
      </c>
      <c r="M252" s="127">
        <f t="shared" si="201"/>
        <v>56.467705776964365</v>
      </c>
      <c r="N252" s="128">
        <f t="shared" si="202"/>
        <v>7.2510697626920528</v>
      </c>
      <c r="O252" s="129" t="str">
        <f t="shared" si="161"/>
        <v>OK</v>
      </c>
    </row>
    <row r="253" spans="1:15" ht="14.25" customHeight="1" x14ac:dyDescent="0.25">
      <c r="A253" s="120" t="str">
        <f>IF(N253=MIN(N249:N272),1,"")</f>
        <v/>
      </c>
      <c r="B253" s="121">
        <f t="shared" si="203"/>
        <v>42319.166666666657</v>
      </c>
      <c r="C253" s="122">
        <f t="shared" ref="C253:C254" si="205">DAY(B253)</f>
        <v>11</v>
      </c>
      <c r="D253" s="123">
        <v>1441.8412181924371</v>
      </c>
      <c r="E253" s="124">
        <v>40.889049530029297</v>
      </c>
      <c r="F253" s="125">
        <v>12.605249696049551</v>
      </c>
      <c r="G253" s="126">
        <v>2.4898979663848877</v>
      </c>
      <c r="H253" s="127">
        <f>HLOOKUP('Operational Worksheet'!E253,$B$773:$U$775,3)</f>
        <v>7.7875000000000005</v>
      </c>
      <c r="I253" s="127">
        <f t="shared" si="159"/>
        <v>1.1304989616286931</v>
      </c>
      <c r="J253" s="127">
        <f t="shared" si="160"/>
        <v>20.98192151036233</v>
      </c>
      <c r="K253" s="127">
        <f t="shared" si="200"/>
        <v>2.81482706555951</v>
      </c>
      <c r="L253" s="127">
        <f t="shared" si="200"/>
        <v>52.242843699498493</v>
      </c>
      <c r="M253" s="127">
        <f t="shared" si="201"/>
        <v>55.057670765058006</v>
      </c>
      <c r="N253" s="128">
        <f t="shared" si="202"/>
        <v>7.0700058767329699</v>
      </c>
      <c r="O253" s="129" t="str">
        <f t="shared" si="161"/>
        <v>OK</v>
      </c>
    </row>
    <row r="254" spans="1:15" ht="14.25" customHeight="1" x14ac:dyDescent="0.25">
      <c r="A254" s="120" t="str">
        <f>IF(N254=MIN(N249:N272),1,"")</f>
        <v/>
      </c>
      <c r="B254" s="121">
        <f t="shared" si="203"/>
        <v>42319.208333333321</v>
      </c>
      <c r="C254" s="122">
        <f t="shared" si="205"/>
        <v>11</v>
      </c>
      <c r="D254" s="123">
        <v>1435.5568110093132</v>
      </c>
      <c r="E254" s="124">
        <v>40.889049530029297</v>
      </c>
      <c r="F254" s="125">
        <v>12.606103061308998</v>
      </c>
      <c r="G254" s="126">
        <v>2.4898979663848877</v>
      </c>
      <c r="H254" s="127">
        <f>HLOOKUP('Operational Worksheet'!E254,$B$773:$U$775,3)</f>
        <v>7.7875000000000005</v>
      </c>
      <c r="I254" s="128">
        <f t="shared" si="159"/>
        <v>1.1354479234116672</v>
      </c>
      <c r="J254" s="127">
        <f t="shared" si="160"/>
        <v>21.075200309119161</v>
      </c>
      <c r="K254" s="127">
        <f>I254*$G254</f>
        <v>2.8271494754386541</v>
      </c>
      <c r="L254" s="127">
        <f>J254*$G254</f>
        <v>52.475098390829956</v>
      </c>
      <c r="M254" s="127">
        <f>K254+L254</f>
        <v>55.302247866268608</v>
      </c>
      <c r="N254" s="128">
        <f t="shared" si="202"/>
        <v>7.1014122460698044</v>
      </c>
      <c r="O254" s="129" t="str">
        <f t="shared" si="161"/>
        <v>OK</v>
      </c>
    </row>
    <row r="255" spans="1:15" ht="14.25" customHeight="1" x14ac:dyDescent="0.25">
      <c r="A255" s="120" t="str">
        <f>IF(N255=MIN(N249:N272),1,"")</f>
        <v/>
      </c>
      <c r="B255" s="121">
        <f t="shared" si="203"/>
        <v>42319.249999999985</v>
      </c>
      <c r="C255" s="122">
        <f>DAY(B255)</f>
        <v>11</v>
      </c>
      <c r="D255" s="123">
        <v>1447.0283229659808</v>
      </c>
      <c r="E255" s="124">
        <v>40.889049530029297</v>
      </c>
      <c r="F255" s="125">
        <v>12.605813672577124</v>
      </c>
      <c r="G255" s="126">
        <v>2.4898979663848877</v>
      </c>
      <c r="H255" s="127">
        <f>HLOOKUP('Operational Worksheet'!E255,$B$773:$U$775,3)</f>
        <v>7.7875000000000005</v>
      </c>
      <c r="I255" s="127">
        <f t="shared" si="159"/>
        <v>1.1264465070448526</v>
      </c>
      <c r="J255" s="127">
        <f t="shared" si="160"/>
        <v>20.907643847753739</v>
      </c>
      <c r="K255" s="127">
        <f>I255*$G255</f>
        <v>2.8047368671323385</v>
      </c>
      <c r="L255" s="127">
        <f>J255*$G255</f>
        <v>52.057899898421546</v>
      </c>
      <c r="M255" s="127">
        <f>K255+L255</f>
        <v>54.862636765553887</v>
      </c>
      <c r="N255" s="128">
        <f>IF(D255&gt;0,M255/H255,"PO")</f>
        <v>7.0449613824146242</v>
      </c>
      <c r="O255" s="129" t="str">
        <f t="shared" si="161"/>
        <v>OK</v>
      </c>
    </row>
    <row r="256" spans="1:15" ht="14.25" customHeight="1" x14ac:dyDescent="0.25">
      <c r="A256" s="120" t="str">
        <f>IF(N256=MIN(N249:N272),1,"")</f>
        <v/>
      </c>
      <c r="B256" s="121">
        <f t="shared" si="203"/>
        <v>42319.29166666665</v>
      </c>
      <c r="C256" s="122">
        <f t="shared" ref="C256:C260" si="206">DAY(B256)</f>
        <v>11</v>
      </c>
      <c r="D256" s="123">
        <v>1440.981777419627</v>
      </c>
      <c r="E256" s="124">
        <v>40.889049530029297</v>
      </c>
      <c r="F256" s="125">
        <v>12.604346804398833</v>
      </c>
      <c r="G256" s="126">
        <v>2.4898979663848877</v>
      </c>
      <c r="H256" s="127">
        <f>HLOOKUP('Operational Worksheet'!E256,$B$773:$U$775,3)</f>
        <v>7.7875000000000005</v>
      </c>
      <c r="I256" s="127">
        <f t="shared" si="159"/>
        <v>1.1311732219951101</v>
      </c>
      <c r="J256" s="127">
        <f t="shared" si="160"/>
        <v>20.992931905583706</v>
      </c>
      <c r="K256" s="127">
        <f t="shared" ref="K256:L259" si="207">I256*$G256</f>
        <v>2.8165059050746657</v>
      </c>
      <c r="L256" s="127">
        <f t="shared" si="207"/>
        <v>52.270258460169295</v>
      </c>
      <c r="M256" s="127">
        <f t="shared" ref="M256:M259" si="208">K256+L256</f>
        <v>55.086764365243958</v>
      </c>
      <c r="N256" s="128">
        <f t="shared" ref="N256:N260" si="209">IF(D256&gt;0,M256/H256,"PO")</f>
        <v>7.0737418125513907</v>
      </c>
      <c r="O256" s="129" t="str">
        <f t="shared" si="161"/>
        <v>OK</v>
      </c>
    </row>
    <row r="257" spans="1:15" ht="14.25" customHeight="1" x14ac:dyDescent="0.25">
      <c r="A257" s="120" t="str">
        <f>IF(N257=MIN(N249:N272),1,"")</f>
        <v/>
      </c>
      <c r="B257" s="121">
        <f t="shared" si="203"/>
        <v>42319.333333333314</v>
      </c>
      <c r="C257" s="122">
        <f t="shared" si="206"/>
        <v>11</v>
      </c>
      <c r="D257" s="123">
        <v>1447.5711968242522</v>
      </c>
      <c r="E257" s="124">
        <v>41.045929926935003</v>
      </c>
      <c r="F257" s="125">
        <v>12.602037961655705</v>
      </c>
      <c r="G257" s="126">
        <v>2.4898979663848877</v>
      </c>
      <c r="H257" s="127">
        <f>HLOOKUP('Operational Worksheet'!E257,$B$773:$U$775,3)</f>
        <v>7</v>
      </c>
      <c r="I257" s="127">
        <f t="shared" si="159"/>
        <v>1.1260240626339959</v>
      </c>
      <c r="J257" s="127">
        <f t="shared" si="160"/>
        <v>20.893543042529661</v>
      </c>
      <c r="K257" s="127">
        <f t="shared" si="207"/>
        <v>2.8036850236528359</v>
      </c>
      <c r="L257" s="127">
        <f t="shared" si="207"/>
        <v>52.02279033216972</v>
      </c>
      <c r="M257" s="127">
        <f t="shared" si="208"/>
        <v>54.826475355822552</v>
      </c>
      <c r="N257" s="128">
        <f t="shared" si="209"/>
        <v>7.8323536222603645</v>
      </c>
      <c r="O257" s="129" t="str">
        <f t="shared" si="161"/>
        <v>OK</v>
      </c>
    </row>
    <row r="258" spans="1:15" ht="14.25" customHeight="1" x14ac:dyDescent="0.25">
      <c r="A258" s="120" t="str">
        <f>IF(N258=MIN(N249:N272),1,"")</f>
        <v/>
      </c>
      <c r="B258" s="121">
        <f t="shared" si="203"/>
        <v>42319.374999999978</v>
      </c>
      <c r="C258" s="122">
        <f t="shared" si="206"/>
        <v>11</v>
      </c>
      <c r="D258" s="123">
        <v>1443.5801885504241</v>
      </c>
      <c r="E258" s="124">
        <v>42.386038773748361</v>
      </c>
      <c r="F258" s="125">
        <v>12.606847900034278</v>
      </c>
      <c r="G258" s="126">
        <v>2.4898979663848877</v>
      </c>
      <c r="H258" s="127">
        <f>HLOOKUP('Operational Worksheet'!E258,$B$773:$U$775,3)</f>
        <v>7</v>
      </c>
      <c r="I258" s="127">
        <f t="shared" si="159"/>
        <v>1.1291371362173999</v>
      </c>
      <c r="J258" s="127">
        <f t="shared" si="160"/>
        <v>20.959303265629025</v>
      </c>
      <c r="K258" s="127">
        <f t="shared" si="207"/>
        <v>2.8114362592373596</v>
      </c>
      <c r="L258" s="127">
        <f t="shared" si="207"/>
        <v>52.186526577933847</v>
      </c>
      <c r="M258" s="127">
        <f t="shared" si="208"/>
        <v>54.997962837171208</v>
      </c>
      <c r="N258" s="128">
        <f t="shared" si="209"/>
        <v>7.8568518338816009</v>
      </c>
      <c r="O258" s="129" t="str">
        <f t="shared" si="161"/>
        <v>OK</v>
      </c>
    </row>
    <row r="259" spans="1:15" ht="14.25" customHeight="1" x14ac:dyDescent="0.25">
      <c r="A259" s="120" t="str">
        <f>IF(N259=MIN(N249:N272),1,"")</f>
        <v/>
      </c>
      <c r="B259" s="121">
        <f t="shared" si="203"/>
        <v>42319.416666666642</v>
      </c>
      <c r="C259" s="122">
        <f t="shared" si="206"/>
        <v>11</v>
      </c>
      <c r="D259" s="123">
        <v>1433.0586727769326</v>
      </c>
      <c r="E259" s="124">
        <v>42.878265380859375</v>
      </c>
      <c r="F259" s="125">
        <v>12.596788550991024</v>
      </c>
      <c r="G259" s="126">
        <v>2.4898979663848877</v>
      </c>
      <c r="H259" s="127">
        <f>HLOOKUP('Operational Worksheet'!E259,$B$773:$U$775,3)</f>
        <v>6.6499999999999995</v>
      </c>
      <c r="I259" s="127">
        <f t="shared" si="159"/>
        <v>1.1374272602819822</v>
      </c>
      <c r="J259" s="127">
        <f t="shared" si="160"/>
        <v>21.096339666118027</v>
      </c>
      <c r="K259" s="127">
        <f t="shared" si="207"/>
        <v>2.8320778222868417</v>
      </c>
      <c r="L259" s="127">
        <f t="shared" si="207"/>
        <v>52.527733232832119</v>
      </c>
      <c r="M259" s="127">
        <f t="shared" si="208"/>
        <v>55.359811055118961</v>
      </c>
      <c r="N259" s="128">
        <f t="shared" si="209"/>
        <v>8.3247836173111232</v>
      </c>
      <c r="O259" s="129" t="str">
        <f t="shared" si="161"/>
        <v>OK</v>
      </c>
    </row>
    <row r="260" spans="1:15" ht="14.25" customHeight="1" x14ac:dyDescent="0.25">
      <c r="A260" s="120" t="str">
        <f>IF(N260=MIN(N249:N272),1,"")</f>
        <v/>
      </c>
      <c r="B260" s="121">
        <f t="shared" si="203"/>
        <v>42319.458333333307</v>
      </c>
      <c r="C260" s="122">
        <f t="shared" si="206"/>
        <v>11</v>
      </c>
      <c r="D260" s="123">
        <v>1447.1967338935362</v>
      </c>
      <c r="E260" s="124">
        <v>42.55945626381083</v>
      </c>
      <c r="F260" s="125">
        <v>12.602283535110709</v>
      </c>
      <c r="G260" s="126">
        <v>2.4898979663848877</v>
      </c>
      <c r="H260" s="127">
        <f>HLOOKUP('Operational Worksheet'!E260,$B$773:$U$775,3)</f>
        <v>7</v>
      </c>
      <c r="I260" s="128">
        <f t="shared" si="159"/>
        <v>1.1263154219638474</v>
      </c>
      <c r="J260" s="127">
        <f t="shared" si="160"/>
        <v>20.899356511739288</v>
      </c>
      <c r="K260" s="127">
        <f>I260*$G260</f>
        <v>2.8044104786557202</v>
      </c>
      <c r="L260" s="127">
        <f>J260*$G260</f>
        <v>52.037265277332416</v>
      </c>
      <c r="M260" s="127">
        <f>K260+L260</f>
        <v>54.841675755988135</v>
      </c>
      <c r="N260" s="128">
        <f t="shared" si="209"/>
        <v>7.8345251079983047</v>
      </c>
      <c r="O260" s="129" t="str">
        <f t="shared" si="161"/>
        <v>OK</v>
      </c>
    </row>
    <row r="261" spans="1:15" ht="14.25" customHeight="1" x14ac:dyDescent="0.25">
      <c r="A261" s="120" t="str">
        <f>IF(N261=MIN(N249:N272),1,"")</f>
        <v/>
      </c>
      <c r="B261" s="121">
        <f t="shared" si="203"/>
        <v>42319.499999999971</v>
      </c>
      <c r="C261" s="122">
        <f>DAY(B261)</f>
        <v>11</v>
      </c>
      <c r="D261" s="123">
        <v>1441.6140344924372</v>
      </c>
      <c r="E261" s="124">
        <v>41.401374816894531</v>
      </c>
      <c r="F261" s="125">
        <v>12.603800048029944</v>
      </c>
      <c r="G261" s="126">
        <v>2.5379469394683838</v>
      </c>
      <c r="H261" s="127">
        <f>HLOOKUP('Operational Worksheet'!E261,$B$773:$U$775,3)</f>
        <v>7</v>
      </c>
      <c r="I261" s="127">
        <f t="shared" si="159"/>
        <v>1.1306771167595422</v>
      </c>
      <c r="J261" s="127">
        <f t="shared" si="160"/>
        <v>20.982814672667889</v>
      </c>
      <c r="K261" s="127">
        <f>I261*$G261</f>
        <v>2.8695985280068164</v>
      </c>
      <c r="L261" s="127">
        <f>J261*$G261</f>
        <v>53.253270279929765</v>
      </c>
      <c r="M261" s="127">
        <f>K261+L261</f>
        <v>56.122868807936584</v>
      </c>
      <c r="N261" s="128">
        <f>IF(D261&gt;0,M261/H261,"PO")</f>
        <v>8.0175526868480826</v>
      </c>
      <c r="O261" s="129" t="str">
        <f t="shared" si="161"/>
        <v>OK</v>
      </c>
    </row>
    <row r="262" spans="1:15" ht="14.25" customHeight="1" x14ac:dyDescent="0.25">
      <c r="A262" s="120" t="str">
        <f>IF(N262=MIN(N249:N272),1,"")</f>
        <v/>
      </c>
      <c r="B262" s="121">
        <f t="shared" si="203"/>
        <v>42319.541666666635</v>
      </c>
      <c r="C262" s="122">
        <f t="shared" ref="C262:C266" si="210">DAY(B262)</f>
        <v>11</v>
      </c>
      <c r="D262" s="123">
        <v>1446.9665483320821</v>
      </c>
      <c r="E262" s="124">
        <v>41.401374816894531</v>
      </c>
      <c r="F262" s="125">
        <v>12.60604267690108</v>
      </c>
      <c r="G262" s="126">
        <v>2.5379469394683838</v>
      </c>
      <c r="H262" s="127">
        <f>HLOOKUP('Operational Worksheet'!E262,$B$773:$U$775,3)</f>
        <v>7</v>
      </c>
      <c r="I262" s="127">
        <f t="shared" si="159"/>
        <v>1.1264945978736693</v>
      </c>
      <c r="J262" s="127">
        <f t="shared" si="160"/>
        <v>20.908916283819377</v>
      </c>
      <c r="K262" s="127">
        <f t="shared" ref="K262:L265" si="211">I262*$G262</f>
        <v>2.8589835170011466</v>
      </c>
      <c r="L262" s="127">
        <f t="shared" si="211"/>
        <v>53.065720090120038</v>
      </c>
      <c r="M262" s="127">
        <f t="shared" ref="M262:M265" si="212">K262+L262</f>
        <v>55.924703607121188</v>
      </c>
      <c r="N262" s="128">
        <f t="shared" ref="N262:N266" si="213">IF(D262&gt;0,M262/H262,"PO")</f>
        <v>7.989243372445884</v>
      </c>
      <c r="O262" s="129" t="str">
        <f t="shared" si="161"/>
        <v>OK</v>
      </c>
    </row>
    <row r="263" spans="1:15" ht="14.25" customHeight="1" x14ac:dyDescent="0.25">
      <c r="A263" s="120" t="str">
        <f>IF(N263=MIN(N249:N272),1,"")</f>
        <v/>
      </c>
      <c r="B263" s="121">
        <f t="shared" si="203"/>
        <v>42319.583333333299</v>
      </c>
      <c r="C263" s="122">
        <f t="shared" si="210"/>
        <v>11</v>
      </c>
      <c r="D263" s="123">
        <v>1430.4582434961253</v>
      </c>
      <c r="E263" s="124">
        <v>41.401374816894531</v>
      </c>
      <c r="F263" s="125">
        <v>12.604690698498469</v>
      </c>
      <c r="G263" s="126">
        <v>2.5379469394683838</v>
      </c>
      <c r="H263" s="127">
        <f>HLOOKUP('Operational Worksheet'!E263,$B$773:$U$775,3)</f>
        <v>7</v>
      </c>
      <c r="I263" s="127">
        <f t="shared" si="159"/>
        <v>1.1394949886941004</v>
      </c>
      <c r="J263" s="127">
        <f t="shared" si="160"/>
        <v>21.147948787697882</v>
      </c>
      <c r="K263" s="127">
        <f t="shared" si="211"/>
        <v>2.8919778190957528</v>
      </c>
      <c r="L263" s="127">
        <f t="shared" si="211"/>
        <v>53.672371901771953</v>
      </c>
      <c r="M263" s="127">
        <f t="shared" si="212"/>
        <v>56.564349720867703</v>
      </c>
      <c r="N263" s="128">
        <f t="shared" si="213"/>
        <v>8.0806213886953859</v>
      </c>
      <c r="O263" s="129" t="str">
        <f t="shared" si="161"/>
        <v>OK</v>
      </c>
    </row>
    <row r="264" spans="1:15" ht="14.25" customHeight="1" x14ac:dyDescent="0.25">
      <c r="A264" s="120" t="str">
        <f>IF(N264=MIN(N249:N272),1,"")</f>
        <v/>
      </c>
      <c r="B264" s="121">
        <f t="shared" si="203"/>
        <v>42319.624999999964</v>
      </c>
      <c r="C264" s="122">
        <f t="shared" si="210"/>
        <v>11</v>
      </c>
      <c r="D264" s="123">
        <v>1444.0464680394082</v>
      </c>
      <c r="E264" s="124">
        <v>41.401374816894531</v>
      </c>
      <c r="F264" s="125">
        <v>12.610322638948759</v>
      </c>
      <c r="G264" s="126">
        <v>2.5379469394683838</v>
      </c>
      <c r="H264" s="127">
        <f>HLOOKUP('Operational Worksheet'!E264,$B$773:$U$775,3)</f>
        <v>7</v>
      </c>
      <c r="I264" s="127">
        <f t="shared" si="159"/>
        <v>1.1287725402722408</v>
      </c>
      <c r="J264" s="127">
        <f t="shared" si="160"/>
        <v>20.958310555315936</v>
      </c>
      <c r="K264" s="127">
        <f t="shared" si="211"/>
        <v>2.8647648139398867</v>
      </c>
      <c r="L264" s="127">
        <f t="shared" si="211"/>
        <v>53.191080130292001</v>
      </c>
      <c r="M264" s="127">
        <f t="shared" si="212"/>
        <v>56.055844944231886</v>
      </c>
      <c r="N264" s="128">
        <f t="shared" si="213"/>
        <v>8.0079778491759832</v>
      </c>
      <c r="O264" s="129" t="str">
        <f t="shared" si="161"/>
        <v>OK</v>
      </c>
    </row>
    <row r="265" spans="1:15" ht="14.25" customHeight="1" x14ac:dyDescent="0.25">
      <c r="A265" s="120" t="str">
        <f>IF(N265=MIN(N249:N272),1,"")</f>
        <v/>
      </c>
      <c r="B265" s="121">
        <f t="shared" si="203"/>
        <v>42319.666666666628</v>
      </c>
      <c r="C265" s="122">
        <f t="shared" si="210"/>
        <v>11</v>
      </c>
      <c r="D265" s="123">
        <v>1432.2510193836822</v>
      </c>
      <c r="E265" s="124">
        <v>41.401374816894531</v>
      </c>
      <c r="F265" s="125">
        <v>12.595257205980857</v>
      </c>
      <c r="G265" s="126">
        <v>2.5379469394683838</v>
      </c>
      <c r="H265" s="127">
        <f>HLOOKUP('Operational Worksheet'!E265,$B$773:$U$775,3)</f>
        <v>7</v>
      </c>
      <c r="I265" s="127">
        <f t="shared" ref="I265:I328" si="214">$G$768/D265*$H$768</f>
        <v>1.1380686611076123</v>
      </c>
      <c r="J265" s="127">
        <f t="shared" ref="J265:J328" si="215">$G$769*F265/D265*$H$769</f>
        <v>21.105669945595054</v>
      </c>
      <c r="K265" s="127">
        <f t="shared" si="211"/>
        <v>2.8883578753629457</v>
      </c>
      <c r="L265" s="127">
        <f t="shared" si="211"/>
        <v>53.565070443852818</v>
      </c>
      <c r="M265" s="127">
        <f t="shared" si="212"/>
        <v>56.45342831921576</v>
      </c>
      <c r="N265" s="128">
        <f t="shared" si="213"/>
        <v>8.0647754741736808</v>
      </c>
      <c r="O265" s="129" t="str">
        <f t="shared" ref="O265:O328" si="216">+IF(N265&gt;=1, "OK","Alarm")</f>
        <v>OK</v>
      </c>
    </row>
    <row r="266" spans="1:15" ht="14.25" customHeight="1" x14ac:dyDescent="0.25">
      <c r="A266" s="120" t="str">
        <f>IF(N266=MIN(N249:N272),1,"")</f>
        <v/>
      </c>
      <c r="B266" s="121">
        <f t="shared" si="203"/>
        <v>42319.708333333292</v>
      </c>
      <c r="C266" s="122">
        <f t="shared" si="210"/>
        <v>11</v>
      </c>
      <c r="D266" s="123">
        <v>1449.3828146800397</v>
      </c>
      <c r="E266" s="124">
        <v>41.401374816894531</v>
      </c>
      <c r="F266" s="125">
        <v>12.620313625916273</v>
      </c>
      <c r="G266" s="126">
        <v>2.5379469394683838</v>
      </c>
      <c r="H266" s="127">
        <f>HLOOKUP('Operational Worksheet'!E266,$B$773:$U$775,3)</f>
        <v>7</v>
      </c>
      <c r="I266" s="128">
        <f t="shared" si="214"/>
        <v>1.1246166185293378</v>
      </c>
      <c r="J266" s="127">
        <f t="shared" si="215"/>
        <v>20.897689965287388</v>
      </c>
      <c r="K266" s="127">
        <f>I266*$G266</f>
        <v>2.8542173050718156</v>
      </c>
      <c r="L266" s="127">
        <f>J266*$G266</f>
        <v>53.037228289360279</v>
      </c>
      <c r="M266" s="127">
        <f>K266+L266</f>
        <v>55.891445594432092</v>
      </c>
      <c r="N266" s="128">
        <f t="shared" si="213"/>
        <v>7.9844922277760135</v>
      </c>
      <c r="O266" s="129" t="str">
        <f t="shared" si="216"/>
        <v>OK</v>
      </c>
    </row>
    <row r="267" spans="1:15" ht="14.25" customHeight="1" x14ac:dyDescent="0.25">
      <c r="A267" s="120" t="str">
        <f>IF(N267=MIN(N249:N272),1,"")</f>
        <v/>
      </c>
      <c r="B267" s="121">
        <f>B266+1/24</f>
        <v>42319.749999999956</v>
      </c>
      <c r="C267" s="122">
        <f>DAY(B267)</f>
        <v>11</v>
      </c>
      <c r="D267" s="123">
        <v>1508.2043453265774</v>
      </c>
      <c r="E267" s="124">
        <v>41.401374816894531</v>
      </c>
      <c r="F267" s="125">
        <v>12.598861373200087</v>
      </c>
      <c r="G267" s="126">
        <v>2.4897909164428711</v>
      </c>
      <c r="H267" s="127">
        <f>HLOOKUP('Operational Worksheet'!E267,$B$773:$U$775,3)</f>
        <v>7</v>
      </c>
      <c r="I267" s="127">
        <f t="shared" si="214"/>
        <v>1.0807554062888274</v>
      </c>
      <c r="J267" s="127">
        <f t="shared" si="215"/>
        <v>20.04852153448266</v>
      </c>
      <c r="K267" s="127">
        <f>I267*$G267</f>
        <v>2.690854993474447</v>
      </c>
      <c r="L267" s="127">
        <f>J267*$G267</f>
        <v>49.916626804664219</v>
      </c>
      <c r="M267" s="127">
        <f>K267+L267</f>
        <v>52.607481798138664</v>
      </c>
      <c r="N267" s="128">
        <f>IF(D267&gt;0,M267/H267,"PO")</f>
        <v>7.515354542591238</v>
      </c>
      <c r="O267" s="129" t="str">
        <f t="shared" si="216"/>
        <v>OK</v>
      </c>
    </row>
    <row r="268" spans="1:15" ht="14.25" customHeight="1" x14ac:dyDescent="0.25">
      <c r="A268" s="120" t="str">
        <f>IF(N268=MIN(N249:N272),1,"")</f>
        <v/>
      </c>
      <c r="B268" s="121">
        <f t="shared" ref="B268:B272" si="217">B267+1/24</f>
        <v>42319.791666666621</v>
      </c>
      <c r="C268" s="122">
        <f t="shared" ref="C268:C272" si="218">DAY(B268)</f>
        <v>11</v>
      </c>
      <c r="D268" s="123">
        <v>1574.7065048710931</v>
      </c>
      <c r="E268" s="124">
        <v>41.066697617890469</v>
      </c>
      <c r="F268" s="125">
        <v>12.606338309401453</v>
      </c>
      <c r="G268" s="126">
        <v>2.4897909164428711</v>
      </c>
      <c r="H268" s="127">
        <f>HLOOKUP('Operational Worksheet'!E268,$B$773:$U$775,3)</f>
        <v>7</v>
      </c>
      <c r="I268" s="127">
        <f t="shared" si="214"/>
        <v>1.035113524303015</v>
      </c>
      <c r="J268" s="127">
        <f t="shared" si="215"/>
        <v>19.213238688589914</v>
      </c>
      <c r="K268" s="127">
        <f t="shared" ref="K268:L271" si="219">I268*$G268</f>
        <v>2.5772162502968139</v>
      </c>
      <c r="L268" s="127">
        <f t="shared" si="219"/>
        <v>47.836947162299907</v>
      </c>
      <c r="M268" s="127">
        <f t="shared" ref="M268:M271" si="220">K268+L268</f>
        <v>50.414163412596722</v>
      </c>
      <c r="N268" s="128">
        <f t="shared" ref="N268:N272" si="221">IF(D268&gt;0,M268/H268,"PO")</f>
        <v>7.2020233446566744</v>
      </c>
      <c r="O268" s="129" t="str">
        <f t="shared" si="216"/>
        <v>OK</v>
      </c>
    </row>
    <row r="269" spans="1:15" ht="14.25" customHeight="1" x14ac:dyDescent="0.25">
      <c r="A269" s="120" t="str">
        <f>IF(N269=MIN(N249:N272),1,"")</f>
        <v/>
      </c>
      <c r="B269" s="121">
        <f t="shared" si="217"/>
        <v>42319.833333333285</v>
      </c>
      <c r="C269" s="122">
        <f t="shared" si="218"/>
        <v>11</v>
      </c>
      <c r="D269" s="123">
        <v>1586.7401748355919</v>
      </c>
      <c r="E269" s="124">
        <v>39.995140075683594</v>
      </c>
      <c r="F269" s="125">
        <v>12.603097114375924</v>
      </c>
      <c r="G269" s="126">
        <v>2.4897909164428711</v>
      </c>
      <c r="H269" s="127">
        <f>HLOOKUP('Operational Worksheet'!E269,$B$773:$U$775,3)</f>
        <v>7.7875000000000005</v>
      </c>
      <c r="I269" s="127">
        <f t="shared" si="214"/>
        <v>1.0272633326176988</v>
      </c>
      <c r="J269" s="127">
        <f t="shared" si="215"/>
        <v>19.062625094014692</v>
      </c>
      <c r="K269" s="127">
        <f t="shared" si="219"/>
        <v>2.5576709143463781</v>
      </c>
      <c r="L269" s="127">
        <f t="shared" si="219"/>
        <v>47.461950802633709</v>
      </c>
      <c r="M269" s="127">
        <f t="shared" si="220"/>
        <v>50.019621716980083</v>
      </c>
      <c r="N269" s="128">
        <f t="shared" si="221"/>
        <v>6.4230653890183085</v>
      </c>
      <c r="O269" s="129" t="str">
        <f t="shared" si="216"/>
        <v>OK</v>
      </c>
    </row>
    <row r="270" spans="1:15" ht="14.25" customHeight="1" x14ac:dyDescent="0.25">
      <c r="A270" s="120" t="str">
        <f>IF(N270=MIN(N249:N272),1,"")</f>
        <v/>
      </c>
      <c r="B270" s="121">
        <f t="shared" si="217"/>
        <v>42319.874999999949</v>
      </c>
      <c r="C270" s="122">
        <f t="shared" si="218"/>
        <v>11</v>
      </c>
      <c r="D270" s="123">
        <v>1580.9337546820323</v>
      </c>
      <c r="E270" s="124">
        <v>39.995140075683594</v>
      </c>
      <c r="F270" s="125">
        <v>12.600367293045784</v>
      </c>
      <c r="G270" s="126">
        <v>2.4897909164428711</v>
      </c>
      <c r="H270" s="127">
        <f>HLOOKUP('Operational Worksheet'!E270,$B$773:$U$775,3)</f>
        <v>7.7875000000000005</v>
      </c>
      <c r="I270" s="127">
        <f t="shared" si="214"/>
        <v>1.0310362437215697</v>
      </c>
      <c r="J270" s="127">
        <f t="shared" si="215"/>
        <v>19.128493786504116</v>
      </c>
      <c r="K270" s="127">
        <f t="shared" si="219"/>
        <v>2.5670646741413421</v>
      </c>
      <c r="L270" s="127">
        <f t="shared" si="219"/>
        <v>47.625950074871845</v>
      </c>
      <c r="M270" s="127">
        <f t="shared" si="220"/>
        <v>50.193014749013187</v>
      </c>
      <c r="N270" s="128">
        <f t="shared" si="221"/>
        <v>6.4453309469037796</v>
      </c>
      <c r="O270" s="129" t="str">
        <f t="shared" si="216"/>
        <v>OK</v>
      </c>
    </row>
    <row r="271" spans="1:15" ht="14.25" customHeight="1" x14ac:dyDescent="0.25">
      <c r="A271" s="120">
        <f>IF(N271=MIN(N249:N272),1,"")</f>
        <v>1</v>
      </c>
      <c r="B271" s="121">
        <f t="shared" si="217"/>
        <v>42319.916666666613</v>
      </c>
      <c r="C271" s="122">
        <f t="shared" si="218"/>
        <v>11</v>
      </c>
      <c r="D271" s="123">
        <v>1590.1279974562738</v>
      </c>
      <c r="E271" s="124">
        <v>39.995140075683594</v>
      </c>
      <c r="F271" s="125">
        <v>12.599310844749663</v>
      </c>
      <c r="G271" s="126">
        <v>2.4897909164428711</v>
      </c>
      <c r="H271" s="127">
        <f>HLOOKUP('Operational Worksheet'!E271,$B$773:$U$775,3)</f>
        <v>7.7875000000000005</v>
      </c>
      <c r="I271" s="127">
        <f t="shared" si="214"/>
        <v>1.0250747126064754</v>
      </c>
      <c r="J271" s="127">
        <f t="shared" si="215"/>
        <v>19.016296848914958</v>
      </c>
      <c r="K271" s="127">
        <f t="shared" si="219"/>
        <v>2.5522217081228891</v>
      </c>
      <c r="L271" s="127">
        <f t="shared" si="219"/>
        <v>47.346603158809657</v>
      </c>
      <c r="M271" s="127">
        <f t="shared" si="220"/>
        <v>49.898824866932543</v>
      </c>
      <c r="N271" s="128">
        <f t="shared" si="221"/>
        <v>6.4075537549833115</v>
      </c>
      <c r="O271" s="129" t="str">
        <f t="shared" si="216"/>
        <v>OK</v>
      </c>
    </row>
    <row r="272" spans="1:15" ht="14.25" customHeight="1" x14ac:dyDescent="0.25">
      <c r="A272" s="130" t="str">
        <f>IF(N272=MIN(N249:N272),1,"")</f>
        <v/>
      </c>
      <c r="B272" s="131">
        <f t="shared" si="217"/>
        <v>42319.958333333278</v>
      </c>
      <c r="C272" s="132">
        <f t="shared" si="218"/>
        <v>11</v>
      </c>
      <c r="D272" s="123">
        <v>1574.7920324332647</v>
      </c>
      <c r="E272" s="124">
        <v>39.995140075683594</v>
      </c>
      <c r="F272" s="125">
        <v>12.600028881892566</v>
      </c>
      <c r="G272" s="126">
        <v>2.4897909164428711</v>
      </c>
      <c r="H272" s="133">
        <f>HLOOKUP('Operational Worksheet'!E272,$B$773:$U$775,3)</f>
        <v>7.7875000000000005</v>
      </c>
      <c r="I272" s="134">
        <f t="shared" si="214"/>
        <v>1.0350573068886002</v>
      </c>
      <c r="J272" s="133">
        <f t="shared" si="215"/>
        <v>19.202579574788167</v>
      </c>
      <c r="K272" s="133">
        <f>I272*$G272</f>
        <v>2.5770762806890581</v>
      </c>
      <c r="L272" s="133">
        <f>J272*$G272</f>
        <v>47.810408197578987</v>
      </c>
      <c r="M272" s="133">
        <f>K272+L272</f>
        <v>50.387484478268043</v>
      </c>
      <c r="N272" s="134">
        <f t="shared" si="221"/>
        <v>6.4703029827631511</v>
      </c>
      <c r="O272" s="135" t="str">
        <f t="shared" si="216"/>
        <v>OK</v>
      </c>
    </row>
    <row r="273" spans="1:15" ht="14.25" customHeight="1" x14ac:dyDescent="0.25">
      <c r="A273" s="110" t="str">
        <f>IF(N273=MIN(N273:N296),1,"")</f>
        <v/>
      </c>
      <c r="B273" s="111">
        <f>'[1]Turbidity Daily Data Sheet'!B27</f>
        <v>42320</v>
      </c>
      <c r="C273" s="112">
        <f>DAY(B273)</f>
        <v>12</v>
      </c>
      <c r="D273" s="123">
        <v>1583.5086901452148</v>
      </c>
      <c r="E273" s="124">
        <v>39.995140075683594</v>
      </c>
      <c r="F273" s="125">
        <v>12.60815578870789</v>
      </c>
      <c r="G273" s="126">
        <v>2.4897909164428711</v>
      </c>
      <c r="H273" s="117">
        <f>HLOOKUP('Operational Worksheet'!E273,$B$773:$U$775,3)</f>
        <v>7.7875000000000005</v>
      </c>
      <c r="I273" s="117">
        <f t="shared" si="214"/>
        <v>1.0293596809061538</v>
      </c>
      <c r="J273" s="117">
        <f t="shared" si="215"/>
        <v>19.109193451994255</v>
      </c>
      <c r="K273" s="117">
        <f>I273*$G273</f>
        <v>2.5628903832726739</v>
      </c>
      <c r="L273" s="117">
        <f>J273*$G273</f>
        <v>47.577896277324889</v>
      </c>
      <c r="M273" s="117">
        <f>K273+L273</f>
        <v>50.140786660597563</v>
      </c>
      <c r="N273" s="118">
        <f>IF(D273&gt;0,M273/H273,"PO")</f>
        <v>6.438624290285401</v>
      </c>
      <c r="O273" s="119" t="str">
        <f t="shared" si="216"/>
        <v>OK</v>
      </c>
    </row>
    <row r="274" spans="1:15" ht="14.25" customHeight="1" x14ac:dyDescent="0.25">
      <c r="A274" s="120" t="str">
        <f>IF(N274=MIN(N273:N296),1,"")</f>
        <v/>
      </c>
      <c r="B274" s="121">
        <f>B273+1/24</f>
        <v>42320.041666666664</v>
      </c>
      <c r="C274" s="122">
        <f>DAY(B274)</f>
        <v>12</v>
      </c>
      <c r="D274" s="123">
        <v>1577.3087863719593</v>
      </c>
      <c r="E274" s="124">
        <v>39.995140075683594</v>
      </c>
      <c r="F274" s="125">
        <v>12.603206977278774</v>
      </c>
      <c r="G274" s="126">
        <v>2.3590207099914551</v>
      </c>
      <c r="H274" s="127">
        <f>HLOOKUP('Operational Worksheet'!E274,$B$773:$U$775,3)</f>
        <v>7.7875000000000005</v>
      </c>
      <c r="I274" s="127">
        <f t="shared" si="214"/>
        <v>1.0334057694240315</v>
      </c>
      <c r="J274" s="127">
        <f t="shared" si="215"/>
        <v>19.176775661690936</v>
      </c>
      <c r="K274" s="127">
        <f t="shared" ref="K274:L277" si="222">I274*$G274</f>
        <v>2.4378256118959447</v>
      </c>
      <c r="L274" s="127">
        <f t="shared" si="222"/>
        <v>45.238410936789009</v>
      </c>
      <c r="M274" s="127">
        <f t="shared" ref="M274:M277" si="223">K274+L274</f>
        <v>47.676236548684955</v>
      </c>
      <c r="N274" s="128">
        <f t="shared" ref="N274:N278" si="224">IF(D274&gt;0,M274/H274,"PO")</f>
        <v>6.1221491555293674</v>
      </c>
      <c r="O274" s="129" t="str">
        <f t="shared" si="216"/>
        <v>OK</v>
      </c>
    </row>
    <row r="275" spans="1:15" ht="14.25" customHeight="1" x14ac:dyDescent="0.25">
      <c r="A275" s="120">
        <f>IF(N275=MIN(N273:N296),1,"")</f>
        <v>1</v>
      </c>
      <c r="B275" s="121">
        <f t="shared" ref="B275:B290" si="225">B274+1/24</f>
        <v>42320.083333333328</v>
      </c>
      <c r="C275" s="122">
        <f t="shared" ref="C275" si="226">DAY(B275)</f>
        <v>12</v>
      </c>
      <c r="D275" s="123">
        <v>1588.2092444672514</v>
      </c>
      <c r="E275" s="124">
        <v>40.000083199009829</v>
      </c>
      <c r="F275" s="125">
        <v>12.599591814408246</v>
      </c>
      <c r="G275" s="126">
        <v>2.3590207099914551</v>
      </c>
      <c r="H275" s="127">
        <f>HLOOKUP('Operational Worksheet'!E275,$B$773:$U$775,3)</f>
        <v>7.7875000000000005</v>
      </c>
      <c r="I275" s="127">
        <f t="shared" si="214"/>
        <v>1.0263131295062866</v>
      </c>
      <c r="J275" s="127">
        <f t="shared" si="215"/>
        <v>19.039695468290237</v>
      </c>
      <c r="K275" s="127">
        <f t="shared" si="222"/>
        <v>2.4210939274414724</v>
      </c>
      <c r="L275" s="127">
        <f t="shared" si="222"/>
        <v>44.915035921627123</v>
      </c>
      <c r="M275" s="127">
        <f t="shared" si="223"/>
        <v>47.336129849068598</v>
      </c>
      <c r="N275" s="128">
        <f t="shared" si="224"/>
        <v>6.0784757430585676</v>
      </c>
      <c r="O275" s="129" t="str">
        <f t="shared" si="216"/>
        <v>OK</v>
      </c>
    </row>
    <row r="276" spans="1:15" ht="14.25" customHeight="1" x14ac:dyDescent="0.25">
      <c r="A276" s="120" t="str">
        <f>IF(N276=MIN(N273:N296),1,"")</f>
        <v/>
      </c>
      <c r="B276" s="121">
        <f t="shared" si="225"/>
        <v>42320.124999999993</v>
      </c>
      <c r="C276" s="122">
        <f>DAY(B276)</f>
        <v>12</v>
      </c>
      <c r="D276" s="123">
        <v>1584.6259844185661</v>
      </c>
      <c r="E276" s="124">
        <v>40.044605255126953</v>
      </c>
      <c r="F276" s="125">
        <v>12.60116553776553</v>
      </c>
      <c r="G276" s="126">
        <v>2.3590207099914551</v>
      </c>
      <c r="H276" s="127">
        <f>HLOOKUP('Operational Worksheet'!E276,$B$773:$U$775,3)</f>
        <v>7.7875000000000005</v>
      </c>
      <c r="I276" s="127">
        <f t="shared" si="214"/>
        <v>1.0286338959650991</v>
      </c>
      <c r="J276" s="127">
        <f t="shared" si="215"/>
        <v>19.085132761933103</v>
      </c>
      <c r="K276" s="127">
        <f t="shared" si="222"/>
        <v>2.4265686635808645</v>
      </c>
      <c r="L276" s="127">
        <f t="shared" si="222"/>
        <v>45.02222343833661</v>
      </c>
      <c r="M276" s="127">
        <f t="shared" si="223"/>
        <v>47.448792101917476</v>
      </c>
      <c r="N276" s="128">
        <f t="shared" si="224"/>
        <v>6.0929428060247153</v>
      </c>
      <c r="O276" s="129" t="str">
        <f t="shared" si="216"/>
        <v>OK</v>
      </c>
    </row>
    <row r="277" spans="1:15" ht="14.25" customHeight="1" x14ac:dyDescent="0.25">
      <c r="A277" s="120" t="str">
        <f>IF(N277=MIN(N273:N296),1,"")</f>
        <v/>
      </c>
      <c r="B277" s="121">
        <f t="shared" si="225"/>
        <v>42320.166666666657</v>
      </c>
      <c r="C277" s="122">
        <f t="shared" ref="C277:C278" si="227">DAY(B277)</f>
        <v>12</v>
      </c>
      <c r="D277" s="123">
        <v>1583.702407176992</v>
      </c>
      <c r="E277" s="124">
        <v>40.044605255126953</v>
      </c>
      <c r="F277" s="125">
        <v>12.599392870320424</v>
      </c>
      <c r="G277" s="126">
        <v>2.3590207099914551</v>
      </c>
      <c r="H277" s="127">
        <f>HLOOKUP('Operational Worksheet'!E277,$B$773:$U$775,3)</f>
        <v>7.7875000000000005</v>
      </c>
      <c r="I277" s="127">
        <f t="shared" si="214"/>
        <v>1.0292337705702772</v>
      </c>
      <c r="J277" s="127">
        <f t="shared" si="215"/>
        <v>19.093576388931766</v>
      </c>
      <c r="K277" s="127">
        <f t="shared" si="222"/>
        <v>2.4279837801978776</v>
      </c>
      <c r="L277" s="127">
        <f t="shared" si="222"/>
        <v>45.0421421292939</v>
      </c>
      <c r="M277" s="127">
        <f t="shared" si="223"/>
        <v>47.470125909491777</v>
      </c>
      <c r="N277" s="128">
        <f t="shared" si="224"/>
        <v>6.095682299774225</v>
      </c>
      <c r="O277" s="129" t="str">
        <f t="shared" si="216"/>
        <v>OK</v>
      </c>
    </row>
    <row r="278" spans="1:15" ht="14.25" customHeight="1" x14ac:dyDescent="0.25">
      <c r="A278" s="120" t="str">
        <f>IF(N278=MIN(N273:N296),1,"")</f>
        <v/>
      </c>
      <c r="B278" s="121">
        <f t="shared" si="225"/>
        <v>42320.208333333321</v>
      </c>
      <c r="C278" s="122">
        <f t="shared" si="227"/>
        <v>12</v>
      </c>
      <c r="D278" s="123">
        <v>1252.0638927906482</v>
      </c>
      <c r="E278" s="124">
        <v>40.044605255126953</v>
      </c>
      <c r="F278" s="125">
        <v>12.609963640732266</v>
      </c>
      <c r="G278" s="126">
        <v>2.3590207099914551</v>
      </c>
      <c r="H278" s="127">
        <f>HLOOKUP('Operational Worksheet'!E278,$B$773:$U$775,3)</f>
        <v>7.7875000000000005</v>
      </c>
      <c r="I278" s="128">
        <f t="shared" si="214"/>
        <v>1.3018504961172495</v>
      </c>
      <c r="J278" s="127">
        <f t="shared" si="215"/>
        <v>24.171220743618811</v>
      </c>
      <c r="K278" s="127">
        <f>I278*$G278</f>
        <v>3.0710922816532418</v>
      </c>
      <c r="L278" s="127">
        <f>J278*$G278</f>
        <v>57.020410319971838</v>
      </c>
      <c r="M278" s="127">
        <f>K278+L278</f>
        <v>60.091502601625081</v>
      </c>
      <c r="N278" s="128">
        <f t="shared" si="224"/>
        <v>7.7164048284590789</v>
      </c>
      <c r="O278" s="129" t="str">
        <f t="shared" si="216"/>
        <v>OK</v>
      </c>
    </row>
    <row r="279" spans="1:15" ht="14.25" customHeight="1" x14ac:dyDescent="0.25">
      <c r="A279" s="120" t="str">
        <f>IF(N279=MIN(N273:N296),1,"")</f>
        <v/>
      </c>
      <c r="B279" s="121">
        <f t="shared" si="225"/>
        <v>42320.249999999985</v>
      </c>
      <c r="C279" s="122">
        <f>DAY(B279)</f>
        <v>12</v>
      </c>
      <c r="D279" s="123">
        <v>1259.2423485362397</v>
      </c>
      <c r="E279" s="124">
        <v>40.044605255126953</v>
      </c>
      <c r="F279" s="125">
        <v>12.600625836268495</v>
      </c>
      <c r="G279" s="126">
        <v>2.5720839500427246</v>
      </c>
      <c r="H279" s="127">
        <f>HLOOKUP('Operational Worksheet'!E279,$B$773:$U$775,3)</f>
        <v>7.7875000000000005</v>
      </c>
      <c r="I279" s="127">
        <f t="shared" si="214"/>
        <v>1.2944291477289769</v>
      </c>
      <c r="J279" s="127">
        <f t="shared" si="215"/>
        <v>24.015632925780743</v>
      </c>
      <c r="K279" s="127">
        <f>I279*$G279</f>
        <v>3.3293804353411844</v>
      </c>
      <c r="L279" s="127">
        <f>J279*$G279</f>
        <v>61.770223998518247</v>
      </c>
      <c r="M279" s="127">
        <f>K279+L279</f>
        <v>65.099604433859426</v>
      </c>
      <c r="N279" s="128">
        <f>IF(D279&gt;0,M279/H279,"PO")</f>
        <v>8.3594997667877262</v>
      </c>
      <c r="O279" s="129" t="str">
        <f t="shared" si="216"/>
        <v>OK</v>
      </c>
    </row>
    <row r="280" spans="1:15" ht="14.25" customHeight="1" x14ac:dyDescent="0.25">
      <c r="A280" s="120" t="str">
        <f>IF(N280=MIN(N273:N296),1,"")</f>
        <v/>
      </c>
      <c r="B280" s="121">
        <f t="shared" si="225"/>
        <v>42320.29166666665</v>
      </c>
      <c r="C280" s="122">
        <f t="shared" ref="C280:C284" si="228">DAY(B280)</f>
        <v>12</v>
      </c>
      <c r="D280" s="123">
        <v>1434.2610603127528</v>
      </c>
      <c r="E280" s="124">
        <v>40.079260540866166</v>
      </c>
      <c r="F280" s="125">
        <v>12.607547149093623</v>
      </c>
      <c r="G280" s="126">
        <v>2.5720839500427246</v>
      </c>
      <c r="H280" s="127">
        <f>HLOOKUP('Operational Worksheet'!E280,$B$773:$U$775,3)</f>
        <v>7.7875000000000005</v>
      </c>
      <c r="I280" s="127">
        <f t="shared" si="214"/>
        <v>1.1364737181420548</v>
      </c>
      <c r="J280" s="127">
        <f t="shared" si="215"/>
        <v>21.096656665298198</v>
      </c>
      <c r="K280" s="127">
        <f t="shared" ref="K280:L283" si="229">I280*$G280</f>
        <v>2.9231058100785585</v>
      </c>
      <c r="L280" s="127">
        <f t="shared" si="229"/>
        <v>54.262372008375365</v>
      </c>
      <c r="M280" s="127">
        <f t="shared" ref="M280:M283" si="230">K280+L280</f>
        <v>57.185477818453926</v>
      </c>
      <c r="N280" s="128">
        <f t="shared" ref="N280:N284" si="231">IF(D280&gt;0,M280/H280,"PO")</f>
        <v>7.3432395272492998</v>
      </c>
      <c r="O280" s="129" t="str">
        <f t="shared" si="216"/>
        <v>OK</v>
      </c>
    </row>
    <row r="281" spans="1:15" ht="14.25" customHeight="1" x14ac:dyDescent="0.25">
      <c r="A281" s="120" t="str">
        <f>IF(N281=MIN(N273:N296),1,"")</f>
        <v/>
      </c>
      <c r="B281" s="121">
        <f t="shared" si="225"/>
        <v>42320.333333333314</v>
      </c>
      <c r="C281" s="122">
        <f t="shared" si="228"/>
        <v>12</v>
      </c>
      <c r="D281" s="123">
        <v>1444.174082591614</v>
      </c>
      <c r="E281" s="124">
        <v>40.638191223144531</v>
      </c>
      <c r="F281" s="125">
        <v>12.614335974750352</v>
      </c>
      <c r="G281" s="126">
        <v>2.5720839500427246</v>
      </c>
      <c r="H281" s="127">
        <f>HLOOKUP('Operational Worksheet'!E281,$B$773:$U$775,3)</f>
        <v>7.7875000000000005</v>
      </c>
      <c r="I281" s="127">
        <f t="shared" si="214"/>
        <v>1.128672796201214</v>
      </c>
      <c r="J281" s="127">
        <f t="shared" si="215"/>
        <v>20.963128132775037</v>
      </c>
      <c r="K281" s="127">
        <f t="shared" si="229"/>
        <v>2.9030411839589854</v>
      </c>
      <c r="L281" s="127">
        <f t="shared" si="229"/>
        <v>53.918925412999783</v>
      </c>
      <c r="M281" s="127">
        <f t="shared" si="230"/>
        <v>56.821966596958767</v>
      </c>
      <c r="N281" s="128">
        <f t="shared" si="231"/>
        <v>7.2965607187105954</v>
      </c>
      <c r="O281" s="129" t="str">
        <f t="shared" si="216"/>
        <v>OK</v>
      </c>
    </row>
    <row r="282" spans="1:15" ht="14.25" customHeight="1" x14ac:dyDescent="0.25">
      <c r="A282" s="120" t="str">
        <f>IF(N282=MIN(N273:N296),1,"")</f>
        <v/>
      </c>
      <c r="B282" s="121">
        <f t="shared" si="225"/>
        <v>42320.374999999978</v>
      </c>
      <c r="C282" s="122">
        <f t="shared" si="228"/>
        <v>12</v>
      </c>
      <c r="D282" s="123">
        <v>1444.9094258107316</v>
      </c>
      <c r="E282" s="124">
        <v>41.036843994462394</v>
      </c>
      <c r="F282" s="125">
        <v>12.609904988749644</v>
      </c>
      <c r="G282" s="126">
        <v>2.558279275894165</v>
      </c>
      <c r="H282" s="127">
        <f>HLOOKUP('Operational Worksheet'!E282,$B$773:$U$775,3)</f>
        <v>7</v>
      </c>
      <c r="I282" s="127">
        <f t="shared" si="214"/>
        <v>1.1280983921088445</v>
      </c>
      <c r="J282" s="127">
        <f t="shared" si="215"/>
        <v>20.945099694410459</v>
      </c>
      <c r="K282" s="127">
        <f t="shared" si="229"/>
        <v>2.8859907377015865</v>
      </c>
      <c r="L282" s="127">
        <f t="shared" si="229"/>
        <v>53.583414479747489</v>
      </c>
      <c r="M282" s="127">
        <f t="shared" si="230"/>
        <v>56.469405217449079</v>
      </c>
      <c r="N282" s="128">
        <f t="shared" si="231"/>
        <v>8.0670578882070121</v>
      </c>
      <c r="O282" s="129" t="str">
        <f t="shared" si="216"/>
        <v>OK</v>
      </c>
    </row>
    <row r="283" spans="1:15" ht="14.25" customHeight="1" x14ac:dyDescent="0.25">
      <c r="A283" s="120" t="str">
        <f>IF(N283=MIN(N273:N296),1,"")</f>
        <v/>
      </c>
      <c r="B283" s="121">
        <f t="shared" si="225"/>
        <v>42320.416666666642</v>
      </c>
      <c r="C283" s="122">
        <f t="shared" si="228"/>
        <v>12</v>
      </c>
      <c r="D283" s="123">
        <v>1438.4057763894575</v>
      </c>
      <c r="E283" s="124">
        <v>41.885425567626953</v>
      </c>
      <c r="F283" s="125">
        <v>12.604410841650715</v>
      </c>
      <c r="G283" s="126">
        <v>2.558279275894165</v>
      </c>
      <c r="H283" s="127">
        <f>HLOOKUP('Operational Worksheet'!E283,$B$773:$U$775,3)</f>
        <v>7</v>
      </c>
      <c r="I283" s="127">
        <f t="shared" si="214"/>
        <v>1.1331990087605621</v>
      </c>
      <c r="J283" s="127">
        <f t="shared" si="215"/>
        <v>21.030634412421307</v>
      </c>
      <c r="K283" s="127">
        <f t="shared" si="229"/>
        <v>2.8990395395759565</v>
      </c>
      <c r="L283" s="127">
        <f t="shared" si="229"/>
        <v>53.80223617620409</v>
      </c>
      <c r="M283" s="127">
        <f t="shared" si="230"/>
        <v>56.701275715780049</v>
      </c>
      <c r="N283" s="128">
        <f t="shared" si="231"/>
        <v>8.1001822451114354</v>
      </c>
      <c r="O283" s="129" t="str">
        <f t="shared" si="216"/>
        <v>OK</v>
      </c>
    </row>
    <row r="284" spans="1:15" ht="14.25" customHeight="1" x14ac:dyDescent="0.25">
      <c r="A284" s="120" t="str">
        <f>IF(N284=MIN(N273:N296),1,"")</f>
        <v/>
      </c>
      <c r="B284" s="121">
        <f t="shared" si="225"/>
        <v>42320.458333333307</v>
      </c>
      <c r="C284" s="122">
        <f t="shared" si="228"/>
        <v>12</v>
      </c>
      <c r="D284" s="123">
        <v>1440.4856564191152</v>
      </c>
      <c r="E284" s="124">
        <v>41.885425567626953</v>
      </c>
      <c r="F284" s="125">
        <v>12.616350049674063</v>
      </c>
      <c r="G284" s="126">
        <v>2.558279275894165</v>
      </c>
      <c r="H284" s="127">
        <f>HLOOKUP('Operational Worksheet'!E284,$B$773:$U$775,3)</f>
        <v>7</v>
      </c>
      <c r="I284" s="128">
        <f t="shared" si="214"/>
        <v>1.1315628119838388</v>
      </c>
      <c r="J284" s="127">
        <f t="shared" si="215"/>
        <v>21.020160793887058</v>
      </c>
      <c r="K284" s="127">
        <f>I284*$G284</f>
        <v>2.8948536912707805</v>
      </c>
      <c r="L284" s="127">
        <f>J284*$G284</f>
        <v>53.775441734964303</v>
      </c>
      <c r="M284" s="127">
        <f>K284+L284</f>
        <v>56.670295426235086</v>
      </c>
      <c r="N284" s="128">
        <f t="shared" si="231"/>
        <v>8.0957564894621559</v>
      </c>
      <c r="O284" s="129" t="str">
        <f t="shared" si="216"/>
        <v>OK</v>
      </c>
    </row>
    <row r="285" spans="1:15" ht="14.25" customHeight="1" x14ac:dyDescent="0.25">
      <c r="A285" s="120" t="str">
        <f>IF(N285=MIN(N273:N296),1,"")</f>
        <v/>
      </c>
      <c r="B285" s="121">
        <f t="shared" si="225"/>
        <v>42320.499999999971</v>
      </c>
      <c r="C285" s="122">
        <f>DAY(B285)</f>
        <v>12</v>
      </c>
      <c r="D285" s="123">
        <v>1441.6320167374711</v>
      </c>
      <c r="E285" s="124">
        <v>41.885425567626953</v>
      </c>
      <c r="F285" s="125">
        <v>12.612643242016739</v>
      </c>
      <c r="G285" s="126">
        <v>2.558279275894165</v>
      </c>
      <c r="H285" s="127">
        <f>HLOOKUP('Operational Worksheet'!E285,$B$773:$U$775,3)</f>
        <v>7</v>
      </c>
      <c r="I285" s="127">
        <f t="shared" si="214"/>
        <v>1.1306630132208224</v>
      </c>
      <c r="J285" s="127">
        <f t="shared" si="215"/>
        <v>20.9972749144018</v>
      </c>
      <c r="K285" s="127">
        <f>I285*$G285</f>
        <v>2.8925517547428803</v>
      </c>
      <c r="L285" s="127">
        <f>J285*$G285</f>
        <v>53.716893263766551</v>
      </c>
      <c r="M285" s="127">
        <f>K285+L285</f>
        <v>56.609445018509433</v>
      </c>
      <c r="N285" s="128">
        <f>IF(D285&gt;0,M285/H285,"PO")</f>
        <v>8.0870635740727757</v>
      </c>
      <c r="O285" s="129" t="str">
        <f t="shared" si="216"/>
        <v>OK</v>
      </c>
    </row>
    <row r="286" spans="1:15" ht="14.25" customHeight="1" x14ac:dyDescent="0.25">
      <c r="A286" s="120" t="str">
        <f>IF(N286=MIN(N273:N296),1,"")</f>
        <v/>
      </c>
      <c r="B286" s="121">
        <f t="shared" si="225"/>
        <v>42320.541666666635</v>
      </c>
      <c r="C286" s="122">
        <f t="shared" ref="C286:C290" si="232">DAY(B286)</f>
        <v>12</v>
      </c>
      <c r="D286" s="123">
        <v>1442.6041903030516</v>
      </c>
      <c r="E286" s="124">
        <v>41.283817171546367</v>
      </c>
      <c r="F286" s="125">
        <v>12.610982024658167</v>
      </c>
      <c r="G286" s="126">
        <v>2.558279275894165</v>
      </c>
      <c r="H286" s="127">
        <f>HLOOKUP('Operational Worksheet'!E286,$B$773:$U$775,3)</f>
        <v>7</v>
      </c>
      <c r="I286" s="127">
        <f t="shared" si="214"/>
        <v>1.1299010573770631</v>
      </c>
      <c r="J286" s="127">
        <f t="shared" si="215"/>
        <v>20.980361115422429</v>
      </c>
      <c r="K286" s="127">
        <f t="shared" ref="K286:L289" si="233">I286*$G286</f>
        <v>2.8906024588986443</v>
      </c>
      <c r="L286" s="127">
        <f t="shared" si="233"/>
        <v>53.673623042360987</v>
      </c>
      <c r="M286" s="127">
        <f t="shared" ref="M286:M289" si="234">K286+L286</f>
        <v>56.564225501259628</v>
      </c>
      <c r="N286" s="128">
        <f t="shared" ref="N286:N290" si="235">IF(D286&gt;0,M286/H286,"PO")</f>
        <v>8.0806036430370902</v>
      </c>
      <c r="O286" s="129" t="str">
        <f t="shared" si="216"/>
        <v>OK</v>
      </c>
    </row>
    <row r="287" spans="1:15" ht="14.25" customHeight="1" x14ac:dyDescent="0.25">
      <c r="A287" s="120" t="str">
        <f>IF(N287=MIN(N273:N296),1,"")</f>
        <v/>
      </c>
      <c r="B287" s="121">
        <f t="shared" si="225"/>
        <v>42320.583333333299</v>
      </c>
      <c r="C287" s="122">
        <f t="shared" si="232"/>
        <v>12</v>
      </c>
      <c r="D287" s="123">
        <v>1440.7225813527277</v>
      </c>
      <c r="E287" s="124">
        <v>39.708946228027344</v>
      </c>
      <c r="F287" s="125">
        <v>12.60345769867504</v>
      </c>
      <c r="G287" s="126">
        <v>2.558279275894165</v>
      </c>
      <c r="H287" s="127">
        <f>HLOOKUP('Operational Worksheet'!E287,$B$773:$U$775,3)</f>
        <v>7.7875000000000005</v>
      </c>
      <c r="I287" s="127">
        <f t="shared" si="214"/>
        <v>1.131376727967681</v>
      </c>
      <c r="J287" s="127">
        <f t="shared" si="215"/>
        <v>20.995227581162272</v>
      </c>
      <c r="K287" s="127">
        <f t="shared" si="233"/>
        <v>2.8943776363886684</v>
      </c>
      <c r="L287" s="127">
        <f t="shared" si="233"/>
        <v>53.711655613569022</v>
      </c>
      <c r="M287" s="127">
        <f t="shared" si="234"/>
        <v>56.60603324995769</v>
      </c>
      <c r="N287" s="128">
        <f t="shared" si="235"/>
        <v>7.2688325200587718</v>
      </c>
      <c r="O287" s="129" t="str">
        <f t="shared" si="216"/>
        <v>OK</v>
      </c>
    </row>
    <row r="288" spans="1:15" ht="14.25" customHeight="1" x14ac:dyDescent="0.25">
      <c r="A288" s="120" t="str">
        <f>IF(N288=MIN(N273:N296),1,"")</f>
        <v/>
      </c>
      <c r="B288" s="121">
        <f t="shared" si="225"/>
        <v>42320.624999999964</v>
      </c>
      <c r="C288" s="122">
        <f t="shared" si="232"/>
        <v>12</v>
      </c>
      <c r="D288" s="123">
        <v>1440.8355517122286</v>
      </c>
      <c r="E288" s="124">
        <v>39.708946228027344</v>
      </c>
      <c r="F288" s="125">
        <v>12.603257643229902</v>
      </c>
      <c r="G288" s="126">
        <v>2.2974882125854492</v>
      </c>
      <c r="H288" s="127">
        <f>HLOOKUP('Operational Worksheet'!E288,$B$773:$U$775,3)</f>
        <v>7.7875000000000005</v>
      </c>
      <c r="I288" s="127">
        <f t="shared" si="214"/>
        <v>1.1312880210812235</v>
      </c>
      <c r="J288" s="127">
        <f t="shared" si="215"/>
        <v>20.993248193943106</v>
      </c>
      <c r="K288" s="127">
        <f t="shared" si="233"/>
        <v>2.5991208934732302</v>
      </c>
      <c r="L288" s="127">
        <f t="shared" si="233"/>
        <v>48.231740269465057</v>
      </c>
      <c r="M288" s="127">
        <f t="shared" si="234"/>
        <v>50.830861162938284</v>
      </c>
      <c r="N288" s="128">
        <f t="shared" si="235"/>
        <v>6.527237388499298</v>
      </c>
      <c r="O288" s="129" t="str">
        <f t="shared" si="216"/>
        <v>OK</v>
      </c>
    </row>
    <row r="289" spans="1:15" ht="14.25" customHeight="1" x14ac:dyDescent="0.25">
      <c r="A289" s="120" t="str">
        <f>IF(N289=MIN(N273:N296),1,"")</f>
        <v/>
      </c>
      <c r="B289" s="121">
        <f t="shared" si="225"/>
        <v>42320.666666666628</v>
      </c>
      <c r="C289" s="122">
        <f t="shared" si="232"/>
        <v>12</v>
      </c>
      <c r="D289" s="123">
        <v>1445.4883816385225</v>
      </c>
      <c r="E289" s="124">
        <v>39.708946228027344</v>
      </c>
      <c r="F289" s="125">
        <v>12.608426906591651</v>
      </c>
      <c r="G289" s="126">
        <v>2.2974882125854492</v>
      </c>
      <c r="H289" s="127">
        <f>HLOOKUP('Operational Worksheet'!E289,$B$773:$U$775,3)</f>
        <v>7.7875000000000005</v>
      </c>
      <c r="I289" s="127">
        <f t="shared" si="214"/>
        <v>1.127646559256551</v>
      </c>
      <c r="J289" s="127">
        <f t="shared" si="215"/>
        <v>20.934256518560677</v>
      </c>
      <c r="K289" s="127">
        <f t="shared" si="233"/>
        <v>2.590754677854465</v>
      </c>
      <c r="L289" s="127">
        <f t="shared" si="233"/>
        <v>48.096207590633256</v>
      </c>
      <c r="M289" s="127">
        <f t="shared" si="234"/>
        <v>50.686962268487719</v>
      </c>
      <c r="N289" s="128">
        <f t="shared" si="235"/>
        <v>6.5087591998058061</v>
      </c>
      <c r="O289" s="129" t="str">
        <f t="shared" si="216"/>
        <v>OK</v>
      </c>
    </row>
    <row r="290" spans="1:15" ht="14.25" customHeight="1" x14ac:dyDescent="0.25">
      <c r="A290" s="120" t="str">
        <f>IF(N290=MIN(N273:N296),1,"")</f>
        <v/>
      </c>
      <c r="B290" s="121">
        <f t="shared" si="225"/>
        <v>42320.708333333292</v>
      </c>
      <c r="C290" s="122">
        <f t="shared" si="232"/>
        <v>12</v>
      </c>
      <c r="D290" s="123">
        <v>1450.4290788784049</v>
      </c>
      <c r="E290" s="124">
        <v>39.708946228027344</v>
      </c>
      <c r="F290" s="125">
        <v>12.629218315149419</v>
      </c>
      <c r="G290" s="126">
        <v>2.5103375911712646</v>
      </c>
      <c r="H290" s="127">
        <f>HLOOKUP('Operational Worksheet'!E290,$B$773:$U$775,3)</f>
        <v>7.7875000000000005</v>
      </c>
      <c r="I290" s="128">
        <f t="shared" si="214"/>
        <v>1.123805378516304</v>
      </c>
      <c r="J290" s="127">
        <f t="shared" si="215"/>
        <v>20.897349893037841</v>
      </c>
      <c r="K290" s="127">
        <f>I290*$G290</f>
        <v>2.8211308868499301</v>
      </c>
      <c r="L290" s="127">
        <f>J290*$G290</f>
        <v>52.459402992351698</v>
      </c>
      <c r="M290" s="127">
        <f>K290+L290</f>
        <v>55.280533879201627</v>
      </c>
      <c r="N290" s="128">
        <f t="shared" si="235"/>
        <v>7.0986239331238039</v>
      </c>
      <c r="O290" s="129" t="str">
        <f t="shared" si="216"/>
        <v>OK</v>
      </c>
    </row>
    <row r="291" spans="1:15" ht="14.25" customHeight="1" x14ac:dyDescent="0.25">
      <c r="A291" s="120" t="str">
        <f>IF(N291=MIN(N273:N296),1,"")</f>
        <v/>
      </c>
      <c r="B291" s="121">
        <f>B290+1/24</f>
        <v>42320.749999999956</v>
      </c>
      <c r="C291" s="122">
        <f>DAY(B291)</f>
        <v>12</v>
      </c>
      <c r="D291" s="123">
        <v>1452.8529376115841</v>
      </c>
      <c r="E291" s="124">
        <v>39.708946228027344</v>
      </c>
      <c r="F291" s="125">
        <v>12.613561810670502</v>
      </c>
      <c r="G291" s="126">
        <v>2.5103375911712646</v>
      </c>
      <c r="H291" s="127">
        <f>HLOOKUP('Operational Worksheet'!E291,$B$773:$U$775,3)</f>
        <v>7.7875000000000005</v>
      </c>
      <c r="I291" s="127">
        <f t="shared" si="214"/>
        <v>1.121930484361092</v>
      </c>
      <c r="J291" s="127">
        <f t="shared" si="215"/>
        <v>20.836622594008535</v>
      </c>
      <c r="K291" s="127">
        <f>I291*$G291</f>
        <v>2.816424269572634</v>
      </c>
      <c r="L291" s="127">
        <f>J291*$G291</f>
        <v>52.306956970788136</v>
      </c>
      <c r="M291" s="127">
        <f>K291+L291</f>
        <v>55.123381240360771</v>
      </c>
      <c r="N291" s="128">
        <f>IF(D291&gt;0,M291/H291,"PO")</f>
        <v>7.0784438189869361</v>
      </c>
      <c r="O291" s="129" t="str">
        <f t="shared" si="216"/>
        <v>OK</v>
      </c>
    </row>
    <row r="292" spans="1:15" ht="14.25" customHeight="1" x14ac:dyDescent="0.25">
      <c r="A292" s="120" t="str">
        <f>IF(N292=MIN(N273:N296),1,"")</f>
        <v/>
      </c>
      <c r="B292" s="121">
        <f t="shared" ref="B292:B296" si="236">B291+1/24</f>
        <v>42320.791666666621</v>
      </c>
      <c r="C292" s="122">
        <f t="shared" ref="C292:C296" si="237">DAY(B292)</f>
        <v>12</v>
      </c>
      <c r="D292" s="123">
        <v>1444.4402430423984</v>
      </c>
      <c r="E292" s="124">
        <v>39.708946228027344</v>
      </c>
      <c r="F292" s="125">
        <v>12.612260386134407</v>
      </c>
      <c r="G292" s="126">
        <v>2.5103375911712646</v>
      </c>
      <c r="H292" s="127">
        <f>HLOOKUP('Operational Worksheet'!E292,$B$773:$U$775,3)</f>
        <v>7.7875000000000005</v>
      </c>
      <c r="I292" s="127">
        <f t="shared" si="214"/>
        <v>1.1284648207853587</v>
      </c>
      <c r="J292" s="127">
        <f t="shared" si="215"/>
        <v>20.95581667190789</v>
      </c>
      <c r="K292" s="127">
        <f t="shared" ref="K292:L295" si="238">I292*$G292</f>
        <v>2.8328276599318301</v>
      </c>
      <c r="L292" s="127">
        <f t="shared" si="238"/>
        <v>52.606174345183881</v>
      </c>
      <c r="M292" s="127">
        <f t="shared" ref="M292:M295" si="239">K292+L292</f>
        <v>55.439002005115711</v>
      </c>
      <c r="N292" s="128">
        <f t="shared" ref="N292:N296" si="240">IF(D292&gt;0,M292/H292,"PO")</f>
        <v>7.1189729701593203</v>
      </c>
      <c r="O292" s="129" t="str">
        <f t="shared" si="216"/>
        <v>OK</v>
      </c>
    </row>
    <row r="293" spans="1:15" ht="14.25" customHeight="1" x14ac:dyDescent="0.25">
      <c r="A293" s="120" t="str">
        <f>IF(N293=MIN(N273:N296),1,"")</f>
        <v/>
      </c>
      <c r="B293" s="121">
        <f t="shared" si="236"/>
        <v>42320.833333333285</v>
      </c>
      <c r="C293" s="122">
        <f t="shared" si="237"/>
        <v>12</v>
      </c>
      <c r="D293" s="123">
        <v>1449.6738206857153</v>
      </c>
      <c r="E293" s="124">
        <v>39.708946228027344</v>
      </c>
      <c r="F293" s="125">
        <v>12.61008896633192</v>
      </c>
      <c r="G293" s="126">
        <v>2.5103375911712646</v>
      </c>
      <c r="H293" s="127">
        <f>HLOOKUP('Operational Worksheet'!E293,$B$773:$U$775,3)</f>
        <v>7.7875000000000005</v>
      </c>
      <c r="I293" s="127">
        <f t="shared" si="214"/>
        <v>1.1243908641662494</v>
      </c>
      <c r="J293" s="127">
        <f t="shared" si="215"/>
        <v>20.876567602552985</v>
      </c>
      <c r="K293" s="127">
        <f t="shared" si="238"/>
        <v>2.8226006534860795</v>
      </c>
      <c r="L293" s="127">
        <f t="shared" si="238"/>
        <v>52.407232427316927</v>
      </c>
      <c r="M293" s="127">
        <f t="shared" si="239"/>
        <v>55.229833080803004</v>
      </c>
      <c r="N293" s="128">
        <f t="shared" si="240"/>
        <v>7.0921133972138684</v>
      </c>
      <c r="O293" s="129" t="str">
        <f t="shared" si="216"/>
        <v>OK</v>
      </c>
    </row>
    <row r="294" spans="1:15" ht="14.25" customHeight="1" x14ac:dyDescent="0.25">
      <c r="A294" s="120" t="str">
        <f>IF(N294=MIN(N273:N296),1,"")</f>
        <v/>
      </c>
      <c r="B294" s="121">
        <f t="shared" si="236"/>
        <v>42320.874999999949</v>
      </c>
      <c r="C294" s="122">
        <f t="shared" si="237"/>
        <v>12</v>
      </c>
      <c r="D294" s="123">
        <v>1444.8992300065784</v>
      </c>
      <c r="E294" s="124">
        <v>39.938790372510375</v>
      </c>
      <c r="F294" s="125">
        <v>12.591730908022225</v>
      </c>
      <c r="G294" s="126">
        <v>2.5103375911712646</v>
      </c>
      <c r="H294" s="127">
        <f>HLOOKUP('Operational Worksheet'!E294,$B$773:$U$775,3)</f>
        <v>7.7875000000000005</v>
      </c>
      <c r="I294" s="127">
        <f t="shared" si="214"/>
        <v>1.1281063524357882</v>
      </c>
      <c r="J294" s="127">
        <f t="shared" si="215"/>
        <v>20.915060062088724</v>
      </c>
      <c r="K294" s="127">
        <f t="shared" si="238"/>
        <v>2.8319277833586582</v>
      </c>
      <c r="L294" s="127">
        <f t="shared" si="238"/>
        <v>52.503861495466126</v>
      </c>
      <c r="M294" s="127">
        <f t="shared" si="239"/>
        <v>55.335789278824784</v>
      </c>
      <c r="N294" s="128">
        <f t="shared" si="240"/>
        <v>7.1057193295441134</v>
      </c>
      <c r="O294" s="129" t="str">
        <f t="shared" si="216"/>
        <v>OK</v>
      </c>
    </row>
    <row r="295" spans="1:15" ht="14.25" customHeight="1" x14ac:dyDescent="0.25">
      <c r="A295" s="120" t="str">
        <f>IF(N295=MIN(N273:N296),1,"")</f>
        <v/>
      </c>
      <c r="B295" s="121">
        <f t="shared" si="236"/>
        <v>42320.916666666613</v>
      </c>
      <c r="C295" s="122">
        <f t="shared" si="237"/>
        <v>12</v>
      </c>
      <c r="D295" s="123">
        <v>1444.4538052056405</v>
      </c>
      <c r="E295" s="124">
        <v>40.231864929199219</v>
      </c>
      <c r="F295" s="125">
        <v>12.598342325184547</v>
      </c>
      <c r="G295" s="126">
        <v>2.4001140594482422</v>
      </c>
      <c r="H295" s="127">
        <f>HLOOKUP('Operational Worksheet'!E295,$B$773:$U$775,3)</f>
        <v>7.7875000000000005</v>
      </c>
      <c r="I295" s="127">
        <f t="shared" si="214"/>
        <v>1.1284542254834824</v>
      </c>
      <c r="J295" s="127">
        <f t="shared" si="215"/>
        <v>20.9324946713255</v>
      </c>
      <c r="K295" s="127">
        <f t="shared" si="238"/>
        <v>2.708418852026683</v>
      </c>
      <c r="L295" s="127">
        <f t="shared" si="238"/>
        <v>50.240374759973747</v>
      </c>
      <c r="M295" s="127">
        <f t="shared" si="239"/>
        <v>52.948793612000429</v>
      </c>
      <c r="N295" s="128">
        <f t="shared" si="240"/>
        <v>6.7992030320385783</v>
      </c>
      <c r="O295" s="129" t="str">
        <f t="shared" si="216"/>
        <v>OK</v>
      </c>
    </row>
    <row r="296" spans="1:15" ht="14.25" customHeight="1" x14ac:dyDescent="0.25">
      <c r="A296" s="130" t="str">
        <f>IF(N296=MIN(N273:N296),1,"")</f>
        <v/>
      </c>
      <c r="B296" s="131">
        <f t="shared" si="236"/>
        <v>42320.958333333278</v>
      </c>
      <c r="C296" s="132">
        <f t="shared" si="237"/>
        <v>12</v>
      </c>
      <c r="D296" s="123">
        <v>1438.1814670273004</v>
      </c>
      <c r="E296" s="124">
        <v>40.231864929199219</v>
      </c>
      <c r="F296" s="125">
        <v>12.607196403748606</v>
      </c>
      <c r="G296" s="126">
        <v>2.4001140594482422</v>
      </c>
      <c r="H296" s="133">
        <f>HLOOKUP('Operational Worksheet'!E296,$B$773:$U$775,3)</f>
        <v>7.7875000000000005</v>
      </c>
      <c r="I296" s="134">
        <f t="shared" si="214"/>
        <v>1.1333757508148019</v>
      </c>
      <c r="J296" s="133">
        <f t="shared" si="215"/>
        <v>21.038562978799877</v>
      </c>
      <c r="K296" s="133">
        <f>I296*$G296</f>
        <v>2.7202310741683138</v>
      </c>
      <c r="L296" s="133">
        <f>J296*$G296</f>
        <v>50.494950796004879</v>
      </c>
      <c r="M296" s="133">
        <f>K296+L296</f>
        <v>53.21518187017319</v>
      </c>
      <c r="N296" s="134">
        <f t="shared" si="240"/>
        <v>6.8334101919965571</v>
      </c>
      <c r="O296" s="135" t="str">
        <f t="shared" si="216"/>
        <v>OK</v>
      </c>
    </row>
    <row r="297" spans="1:15" ht="14.25" customHeight="1" x14ac:dyDescent="0.25">
      <c r="A297" s="110" t="str">
        <f>IF(N297=MIN(N297:N320),1,"")</f>
        <v/>
      </c>
      <c r="B297" s="111">
        <f>'[1]Turbidity Daily Data Sheet'!B28</f>
        <v>42321</v>
      </c>
      <c r="C297" s="112">
        <f>DAY(B297)</f>
        <v>13</v>
      </c>
      <c r="D297" s="123">
        <v>1437.565179936651</v>
      </c>
      <c r="E297" s="124">
        <v>40.231864929199219</v>
      </c>
      <c r="F297" s="125">
        <v>12.605559864911452</v>
      </c>
      <c r="G297" s="126">
        <v>2.4001140594482422</v>
      </c>
      <c r="H297" s="117">
        <f>HLOOKUP('Operational Worksheet'!E297,$B$773:$U$775,3)</f>
        <v>7.7875000000000005</v>
      </c>
      <c r="I297" s="117">
        <f t="shared" si="214"/>
        <v>1.1338616312839664</v>
      </c>
      <c r="J297" s="117">
        <f t="shared" si="215"/>
        <v>21.04485006872569</v>
      </c>
      <c r="K297" s="117">
        <f>I297*$G297</f>
        <v>2.7213972427135666</v>
      </c>
      <c r="L297" s="117">
        <f>J297*$G297</f>
        <v>50.510040528928833</v>
      </c>
      <c r="M297" s="117">
        <f>K297+L297</f>
        <v>53.231437771642398</v>
      </c>
      <c r="N297" s="118">
        <f>IF(D297&gt;0,M297/H297,"PO")</f>
        <v>6.8354976271771939</v>
      </c>
      <c r="O297" s="119" t="str">
        <f t="shared" si="216"/>
        <v>OK</v>
      </c>
    </row>
    <row r="298" spans="1:15" ht="14.25" customHeight="1" x14ac:dyDescent="0.25">
      <c r="A298" s="120" t="str">
        <f>IF(N298=MIN(N297:N320),1,"")</f>
        <v/>
      </c>
      <c r="B298" s="121">
        <f>B297+1/24</f>
        <v>42321.041666666664</v>
      </c>
      <c r="C298" s="122">
        <f>DAY(B298)</f>
        <v>13</v>
      </c>
      <c r="D298" s="123">
        <v>1436.7761042308898</v>
      </c>
      <c r="E298" s="124">
        <v>40.231864929199219</v>
      </c>
      <c r="F298" s="125">
        <v>12.609623326880563</v>
      </c>
      <c r="G298" s="126">
        <v>2.4001140594482422</v>
      </c>
      <c r="H298" s="127">
        <f>HLOOKUP('Operational Worksheet'!E298,$B$773:$U$775,3)</f>
        <v>7.7875000000000005</v>
      </c>
      <c r="I298" s="127">
        <f t="shared" si="214"/>
        <v>1.1344843467260639</v>
      </c>
      <c r="J298" s="127">
        <f t="shared" si="215"/>
        <v>21.06319550791337</v>
      </c>
      <c r="K298" s="127">
        <f t="shared" ref="K298:L301" si="241">I298*$G298</f>
        <v>2.7228918308011805</v>
      </c>
      <c r="L298" s="127">
        <f t="shared" si="241"/>
        <v>50.55407167544994</v>
      </c>
      <c r="M298" s="127">
        <f t="shared" ref="M298:M301" si="242">K298+L298</f>
        <v>53.276963506251121</v>
      </c>
      <c r="N298" s="128">
        <f t="shared" ref="N298:N302" si="243">IF(D298&gt;0,M298/H298,"PO")</f>
        <v>6.8413436284110585</v>
      </c>
      <c r="O298" s="129" t="str">
        <f t="shared" si="216"/>
        <v>OK</v>
      </c>
    </row>
    <row r="299" spans="1:15" ht="14.25" customHeight="1" x14ac:dyDescent="0.25">
      <c r="A299" s="120" t="str">
        <f>IF(N299=MIN(N297:N320),1,"")</f>
        <v/>
      </c>
      <c r="B299" s="121">
        <f t="shared" ref="B299:B314" si="244">B298+1/24</f>
        <v>42321.083333333328</v>
      </c>
      <c r="C299" s="122">
        <f t="shared" ref="C299" si="245">DAY(B299)</f>
        <v>13</v>
      </c>
      <c r="D299" s="123">
        <v>1440.3491769344159</v>
      </c>
      <c r="E299" s="124">
        <v>40.231864929199219</v>
      </c>
      <c r="F299" s="125">
        <v>12.613128467869739</v>
      </c>
      <c r="G299" s="126">
        <v>2.4001140594482422</v>
      </c>
      <c r="H299" s="127">
        <f>HLOOKUP('Operational Worksheet'!E299,$B$773:$U$775,3)</f>
        <v>7.7875000000000005</v>
      </c>
      <c r="I299" s="127">
        <f t="shared" si="214"/>
        <v>1.1316700325883684</v>
      </c>
      <c r="J299" s="127">
        <f t="shared" si="215"/>
        <v>21.016784546172406</v>
      </c>
      <c r="K299" s="127">
        <f t="shared" si="241"/>
        <v>2.7161371558715932</v>
      </c>
      <c r="L299" s="127">
        <f t="shared" si="241"/>
        <v>50.442680073662935</v>
      </c>
      <c r="M299" s="127">
        <f t="shared" si="242"/>
        <v>53.158817229534527</v>
      </c>
      <c r="N299" s="128">
        <f t="shared" si="243"/>
        <v>6.8261723569225712</v>
      </c>
      <c r="O299" s="129" t="str">
        <f t="shared" si="216"/>
        <v>OK</v>
      </c>
    </row>
    <row r="300" spans="1:15" ht="14.25" customHeight="1" x14ac:dyDescent="0.25">
      <c r="A300" s="120" t="str">
        <f>IF(N300=MIN(N297:N320),1,"")</f>
        <v/>
      </c>
      <c r="B300" s="121">
        <f t="shared" si="244"/>
        <v>42321.124999999993</v>
      </c>
      <c r="C300" s="122">
        <f>DAY(B300)</f>
        <v>13</v>
      </c>
      <c r="D300" s="123">
        <v>1453.913326491954</v>
      </c>
      <c r="E300" s="124">
        <v>40.231864929199219</v>
      </c>
      <c r="F300" s="125">
        <v>12.596924624439813</v>
      </c>
      <c r="G300" s="126">
        <v>2.4001140594482422</v>
      </c>
      <c r="H300" s="127">
        <f>HLOOKUP('Operational Worksheet'!E300,$B$773:$U$775,3)</f>
        <v>7.7875000000000005</v>
      </c>
      <c r="I300" s="127">
        <f t="shared" si="214"/>
        <v>1.1211122219595533</v>
      </c>
      <c r="J300" s="127">
        <f t="shared" si="215"/>
        <v>20.793962437638378</v>
      </c>
      <c r="K300" s="127">
        <f t="shared" si="241"/>
        <v>2.6907972061443823</v>
      </c>
      <c r="L300" s="127">
        <f t="shared" si="241"/>
        <v>49.907881598214509</v>
      </c>
      <c r="M300" s="127">
        <f t="shared" si="242"/>
        <v>52.59867880435889</v>
      </c>
      <c r="N300" s="128">
        <f t="shared" si="243"/>
        <v>6.754244469259568</v>
      </c>
      <c r="O300" s="129" t="str">
        <f t="shared" si="216"/>
        <v>OK</v>
      </c>
    </row>
    <row r="301" spans="1:15" ht="14.25" customHeight="1" x14ac:dyDescent="0.25">
      <c r="A301" s="120" t="str">
        <f>IF(N301=MIN(N297:N320),1,"")</f>
        <v/>
      </c>
      <c r="B301" s="121">
        <f t="shared" si="244"/>
        <v>42321.166666666657</v>
      </c>
      <c r="C301" s="122">
        <f t="shared" ref="C301:C302" si="246">DAY(B301)</f>
        <v>13</v>
      </c>
      <c r="D301" s="123">
        <v>1445.227529008328</v>
      </c>
      <c r="E301" s="124">
        <v>40.278181883100878</v>
      </c>
      <c r="F301" s="125">
        <v>12.617726257286554</v>
      </c>
      <c r="G301" s="126">
        <v>2.4001140594482422</v>
      </c>
      <c r="H301" s="127">
        <f>HLOOKUP('Operational Worksheet'!E301,$B$773:$U$775,3)</f>
        <v>7.7875000000000005</v>
      </c>
      <c r="I301" s="127">
        <f t="shared" si="214"/>
        <v>1.1278500909254456</v>
      </c>
      <c r="J301" s="127">
        <f t="shared" si="215"/>
        <v>20.953477850139421</v>
      </c>
      <c r="K301" s="127">
        <f t="shared" si="241"/>
        <v>2.7069688601801403</v>
      </c>
      <c r="L301" s="127">
        <f t="shared" si="241"/>
        <v>50.290736782456953</v>
      </c>
      <c r="M301" s="127">
        <f t="shared" si="242"/>
        <v>52.997705642637094</v>
      </c>
      <c r="N301" s="128">
        <f t="shared" si="243"/>
        <v>6.8054838706436067</v>
      </c>
      <c r="O301" s="129" t="str">
        <f t="shared" si="216"/>
        <v>OK</v>
      </c>
    </row>
    <row r="302" spans="1:15" ht="14.25" customHeight="1" x14ac:dyDescent="0.25">
      <c r="A302" s="120" t="str">
        <f>IF(N302=MIN(N297:N320),1,"")</f>
        <v/>
      </c>
      <c r="B302" s="121">
        <f t="shared" si="244"/>
        <v>42321.208333333321</v>
      </c>
      <c r="C302" s="122">
        <f t="shared" si="246"/>
        <v>13</v>
      </c>
      <c r="D302" s="123">
        <v>1447.4203132884224</v>
      </c>
      <c r="E302" s="124">
        <v>40.344932556152344</v>
      </c>
      <c r="F302" s="125">
        <v>12.615378490366979</v>
      </c>
      <c r="G302" s="126">
        <v>2.4001140594482422</v>
      </c>
      <c r="H302" s="127">
        <f>HLOOKUP('Operational Worksheet'!E302,$B$773:$U$775,3)</f>
        <v>7.7875000000000005</v>
      </c>
      <c r="I302" s="128">
        <f t="shared" si="214"/>
        <v>1.126141442838239</v>
      </c>
      <c r="J302" s="127">
        <f t="shared" si="215"/>
        <v>20.917841278663587</v>
      </c>
      <c r="K302" s="127">
        <f>I302*$G302</f>
        <v>2.7028679098833863</v>
      </c>
      <c r="L302" s="127">
        <f>J302*$G302</f>
        <v>50.205204946227269</v>
      </c>
      <c r="M302" s="127">
        <f>K302+L302</f>
        <v>52.908072856110657</v>
      </c>
      <c r="N302" s="128">
        <f t="shared" si="243"/>
        <v>6.7939740425182222</v>
      </c>
      <c r="O302" s="129" t="str">
        <f t="shared" si="216"/>
        <v>OK</v>
      </c>
    </row>
    <row r="303" spans="1:15" ht="14.25" customHeight="1" x14ac:dyDescent="0.25">
      <c r="A303" s="120" t="str">
        <f>IF(N303=MIN(N297:N320),1,"")</f>
        <v/>
      </c>
      <c r="B303" s="121">
        <f t="shared" si="244"/>
        <v>42321.249999999985</v>
      </c>
      <c r="C303" s="122">
        <f>DAY(B303)</f>
        <v>13</v>
      </c>
      <c r="D303" s="123">
        <v>1445.0907854540847</v>
      </c>
      <c r="E303" s="124">
        <v>40.344932556152344</v>
      </c>
      <c r="F303" s="125">
        <v>12.616246304099752</v>
      </c>
      <c r="G303" s="126">
        <v>2.5171864032745361</v>
      </c>
      <c r="H303" s="127">
        <f>HLOOKUP('Operational Worksheet'!E303,$B$773:$U$775,3)</f>
        <v>7.7875000000000005</v>
      </c>
      <c r="I303" s="127">
        <f t="shared" si="214"/>
        <v>1.1279568151753263</v>
      </c>
      <c r="J303" s="127">
        <f t="shared" si="215"/>
        <v>20.953002700328593</v>
      </c>
      <c r="K303" s="127">
        <f>I303*$G303</f>
        <v>2.8392775586401804</v>
      </c>
      <c r="L303" s="127">
        <f>J303*$G303</f>
        <v>52.742613505041774</v>
      </c>
      <c r="M303" s="127">
        <f>K303+L303</f>
        <v>55.581891063681951</v>
      </c>
      <c r="N303" s="128">
        <f>IF(D303&gt;0,M303/H303,"PO")</f>
        <v>7.1373214849029791</v>
      </c>
      <c r="O303" s="129" t="str">
        <f t="shared" si="216"/>
        <v>OK</v>
      </c>
    </row>
    <row r="304" spans="1:15" ht="14.25" customHeight="1" x14ac:dyDescent="0.25">
      <c r="A304" s="120" t="str">
        <f>IF(N304=MIN(N297:N320),1,"")</f>
        <v/>
      </c>
      <c r="B304" s="121">
        <f t="shared" si="244"/>
        <v>42321.29166666665</v>
      </c>
      <c r="C304" s="122">
        <f t="shared" ref="C304:C308" si="247">DAY(B304)</f>
        <v>13</v>
      </c>
      <c r="D304" s="123">
        <v>1445.203509376541</v>
      </c>
      <c r="E304" s="124">
        <v>40.344932556152344</v>
      </c>
      <c r="F304" s="125">
        <v>12.605395361284387</v>
      </c>
      <c r="G304" s="126">
        <v>2.297274112701416</v>
      </c>
      <c r="H304" s="127">
        <f>HLOOKUP('Operational Worksheet'!E304,$B$773:$U$775,3)</f>
        <v>7.7875000000000005</v>
      </c>
      <c r="I304" s="127">
        <f t="shared" si="214"/>
        <v>1.1278688360666795</v>
      </c>
      <c r="J304" s="127">
        <f t="shared" si="215"/>
        <v>20.933348605092728</v>
      </c>
      <c r="K304" s="127">
        <f t="shared" ref="K304:L307" si="248">I304*$G304</f>
        <v>2.59102387961866</v>
      </c>
      <c r="L304" s="127">
        <f t="shared" si="248"/>
        <v>48.089639842633822</v>
      </c>
      <c r="M304" s="127">
        <f t="shared" ref="M304:M307" si="249">K304+L304</f>
        <v>50.680663722252483</v>
      </c>
      <c r="N304" s="128">
        <f t="shared" ref="N304:N308" si="250">IF(D304&gt;0,M304/H304,"PO")</f>
        <v>6.5079503977210242</v>
      </c>
      <c r="O304" s="129" t="str">
        <f t="shared" si="216"/>
        <v>OK</v>
      </c>
    </row>
    <row r="305" spans="1:15" ht="14.25" customHeight="1" x14ac:dyDescent="0.25">
      <c r="A305" s="120" t="str">
        <f>IF(N305=MIN(N297:N320),1,"")</f>
        <v/>
      </c>
      <c r="B305" s="121">
        <f t="shared" si="244"/>
        <v>42321.333333333314</v>
      </c>
      <c r="C305" s="122">
        <f t="shared" si="247"/>
        <v>13</v>
      </c>
      <c r="D305" s="123">
        <v>1439.704920415257</v>
      </c>
      <c r="E305" s="124">
        <v>40.207495511958378</v>
      </c>
      <c r="F305" s="125">
        <v>12.597273379836182</v>
      </c>
      <c r="G305" s="126">
        <v>2.5171864032745361</v>
      </c>
      <c r="H305" s="127">
        <f>HLOOKUP('Operational Worksheet'!E305,$B$773:$U$775,3)</f>
        <v>7.7875000000000005</v>
      </c>
      <c r="I305" s="127">
        <f t="shared" si="214"/>
        <v>1.1321764459413362</v>
      </c>
      <c r="J305" s="127">
        <f t="shared" si="215"/>
        <v>20.999758827584294</v>
      </c>
      <c r="K305" s="127">
        <f t="shared" si="248"/>
        <v>2.8498991558312192</v>
      </c>
      <c r="L305" s="127">
        <f t="shared" si="248"/>
        <v>52.860307392839601</v>
      </c>
      <c r="M305" s="127">
        <f t="shared" si="249"/>
        <v>55.710206548670818</v>
      </c>
      <c r="N305" s="128">
        <f t="shared" si="250"/>
        <v>7.1537985937297996</v>
      </c>
      <c r="O305" s="129" t="str">
        <f t="shared" si="216"/>
        <v>OK</v>
      </c>
    </row>
    <row r="306" spans="1:15" ht="14.25" customHeight="1" x14ac:dyDescent="0.25">
      <c r="A306" s="120" t="str">
        <f>IF(N306=MIN(N297:N320),1,"")</f>
        <v/>
      </c>
      <c r="B306" s="121">
        <f t="shared" si="244"/>
        <v>42321.374999999978</v>
      </c>
      <c r="C306" s="122">
        <f t="shared" si="247"/>
        <v>13</v>
      </c>
      <c r="D306" s="123">
        <v>1436.5510934742258</v>
      </c>
      <c r="E306" s="124">
        <v>40.2111498463521</v>
      </c>
      <c r="F306" s="125">
        <v>12.616260041270086</v>
      </c>
      <c r="G306" s="126">
        <v>2.5034885406494141</v>
      </c>
      <c r="H306" s="127">
        <f>HLOOKUP('Operational Worksheet'!E306,$B$773:$U$775,3)</f>
        <v>7.7875000000000005</v>
      </c>
      <c r="I306" s="127">
        <f t="shared" si="214"/>
        <v>1.1346620439777939</v>
      </c>
      <c r="J306" s="127">
        <f t="shared" si="215"/>
        <v>21.077582437962526</v>
      </c>
      <c r="K306" s="127">
        <f t="shared" si="248"/>
        <v>2.8406134246082484</v>
      </c>
      <c r="L306" s="127">
        <f t="shared" si="248"/>
        <v>52.767486098032521</v>
      </c>
      <c r="M306" s="127">
        <f t="shared" si="249"/>
        <v>55.608099522640771</v>
      </c>
      <c r="N306" s="128">
        <f t="shared" si="250"/>
        <v>7.1406869370967279</v>
      </c>
      <c r="O306" s="129" t="str">
        <f t="shared" si="216"/>
        <v>OK</v>
      </c>
    </row>
    <row r="307" spans="1:15" ht="14.25" customHeight="1" x14ac:dyDescent="0.25">
      <c r="A307" s="120" t="str">
        <f>IF(N307=MIN(N297:N320),1,"")</f>
        <v/>
      </c>
      <c r="B307" s="121">
        <f t="shared" si="244"/>
        <v>42321.416666666642</v>
      </c>
      <c r="C307" s="122">
        <f t="shared" si="247"/>
        <v>13</v>
      </c>
      <c r="D307" s="123">
        <v>1440.4893400105716</v>
      </c>
      <c r="E307" s="124">
        <v>40.793655395507813</v>
      </c>
      <c r="F307" s="125">
        <v>12.610697566348415</v>
      </c>
      <c r="G307" s="126">
        <v>2.5034885406494141</v>
      </c>
      <c r="H307" s="127">
        <f>HLOOKUP('Operational Worksheet'!E307,$B$773:$U$775,3)</f>
        <v>7.7875000000000005</v>
      </c>
      <c r="I307" s="127">
        <f t="shared" si="214"/>
        <v>1.13155991837332</v>
      </c>
      <c r="J307" s="127">
        <f t="shared" si="215"/>
        <v>21.010689436281478</v>
      </c>
      <c r="K307" s="127">
        <f t="shared" si="248"/>
        <v>2.8328472887057932</v>
      </c>
      <c r="L307" s="127">
        <f t="shared" si="248"/>
        <v>52.600020234874378</v>
      </c>
      <c r="M307" s="127">
        <f t="shared" si="249"/>
        <v>55.432867523580171</v>
      </c>
      <c r="N307" s="128">
        <f t="shared" si="250"/>
        <v>7.1181852357727342</v>
      </c>
      <c r="O307" s="129" t="str">
        <f t="shared" si="216"/>
        <v>OK</v>
      </c>
    </row>
    <row r="308" spans="1:15" ht="14.25" customHeight="1" x14ac:dyDescent="0.25">
      <c r="A308" s="120" t="str">
        <f>IF(N308=MIN(N297:N320),1,"")</f>
        <v/>
      </c>
      <c r="B308" s="121">
        <f t="shared" si="244"/>
        <v>42321.458333333307</v>
      </c>
      <c r="C308" s="122">
        <f t="shared" si="247"/>
        <v>13</v>
      </c>
      <c r="D308" s="123">
        <v>1453.1650006850434</v>
      </c>
      <c r="E308" s="124">
        <v>40.793655395507813</v>
      </c>
      <c r="F308" s="125">
        <v>12.607564001268107</v>
      </c>
      <c r="G308" s="126">
        <v>2.5034885406494141</v>
      </c>
      <c r="H308" s="127">
        <f>HLOOKUP('Operational Worksheet'!E308,$B$773:$U$775,3)</f>
        <v>7.7875000000000005</v>
      </c>
      <c r="I308" s="128">
        <f t="shared" si="214"/>
        <v>1.1216895529630799</v>
      </c>
      <c r="J308" s="127">
        <f t="shared" si="215"/>
        <v>20.822242201525164</v>
      </c>
      <c r="K308" s="127">
        <f>I308*$G308</f>
        <v>2.8081369420092348</v>
      </c>
      <c r="L308" s="127">
        <f>J308*$G308</f>
        <v>52.128244742144872</v>
      </c>
      <c r="M308" s="127">
        <f>K308+L308</f>
        <v>54.936381684154107</v>
      </c>
      <c r="N308" s="128">
        <f t="shared" si="250"/>
        <v>7.0544310348833523</v>
      </c>
      <c r="O308" s="129" t="str">
        <f t="shared" si="216"/>
        <v>OK</v>
      </c>
    </row>
    <row r="309" spans="1:15" ht="14.25" customHeight="1" x14ac:dyDescent="0.25">
      <c r="A309" s="120" t="str">
        <f>IF(N309=MIN(N297:N320),1,"")</f>
        <v/>
      </c>
      <c r="B309" s="121">
        <f t="shared" si="244"/>
        <v>42321.499999999971</v>
      </c>
      <c r="C309" s="122">
        <f>DAY(B309)</f>
        <v>13</v>
      </c>
      <c r="D309" s="123">
        <v>1445.5905116613433</v>
      </c>
      <c r="E309" s="124">
        <v>40.793655395507813</v>
      </c>
      <c r="F309" s="125">
        <v>12.60053148865553</v>
      </c>
      <c r="G309" s="126">
        <v>2.4832632541656494</v>
      </c>
      <c r="H309" s="127">
        <f>HLOOKUP('Operational Worksheet'!E309,$B$773:$U$775,3)</f>
        <v>7.7875000000000005</v>
      </c>
      <c r="I309" s="127">
        <f t="shared" si="214"/>
        <v>1.1275668917657216</v>
      </c>
      <c r="J309" s="127">
        <f t="shared" si="215"/>
        <v>20.919669386885033</v>
      </c>
      <c r="K309" s="127">
        <f>I309*$G309</f>
        <v>2.8000454289355923</v>
      </c>
      <c r="L309" s="127">
        <f>J309*$G309</f>
        <v>51.949046277745644</v>
      </c>
      <c r="M309" s="127">
        <f>K309+L309</f>
        <v>54.749091706681234</v>
      </c>
      <c r="N309" s="128">
        <f>IF(D309&gt;0,M309/H309,"PO")</f>
        <v>7.0303809575192595</v>
      </c>
      <c r="O309" s="129" t="str">
        <f t="shared" si="216"/>
        <v>OK</v>
      </c>
    </row>
    <row r="310" spans="1:15" ht="14.25" customHeight="1" x14ac:dyDescent="0.25">
      <c r="A310" s="120" t="str">
        <f>IF(N310=MIN(N297:N320),1,"")</f>
        <v/>
      </c>
      <c r="B310" s="121">
        <f t="shared" si="244"/>
        <v>42321.541666666635</v>
      </c>
      <c r="C310" s="122">
        <f t="shared" ref="C310:C314" si="251">DAY(B310)</f>
        <v>13</v>
      </c>
      <c r="D310" s="123">
        <v>1432.9842899495495</v>
      </c>
      <c r="E310" s="124">
        <v>40.793655395507813</v>
      </c>
      <c r="F310" s="125">
        <v>12.601576502756307</v>
      </c>
      <c r="G310" s="126">
        <v>2.4832632541656494</v>
      </c>
      <c r="H310" s="127">
        <f>HLOOKUP('Operational Worksheet'!E310,$B$773:$U$775,3)</f>
        <v>7.7875000000000005</v>
      </c>
      <c r="I310" s="127">
        <f t="shared" si="214"/>
        <v>1.1374863014425558</v>
      </c>
      <c r="J310" s="127">
        <f t="shared" si="215"/>
        <v>21.105453715532299</v>
      </c>
      <c r="K310" s="127">
        <f t="shared" ref="K310:L313" si="252">I310*$G310</f>
        <v>2.82467793448909</v>
      </c>
      <c r="L310" s="127">
        <f t="shared" si="252"/>
        <v>52.410397674275231</v>
      </c>
      <c r="M310" s="127">
        <f t="shared" ref="M310:M313" si="253">K310+L310</f>
        <v>55.235075608764319</v>
      </c>
      <c r="N310" s="128">
        <f t="shared" ref="N310:N314" si="254">IF(D310&gt;0,M310/H310,"PO")</f>
        <v>7.092786595025915</v>
      </c>
      <c r="O310" s="129" t="str">
        <f t="shared" si="216"/>
        <v>OK</v>
      </c>
    </row>
    <row r="311" spans="1:15" ht="14.25" customHeight="1" x14ac:dyDescent="0.25">
      <c r="A311" s="120" t="str">
        <f>IF(N311=MIN(N297:N320),1,"")</f>
        <v/>
      </c>
      <c r="B311" s="121">
        <f t="shared" si="244"/>
        <v>42321.583333333299</v>
      </c>
      <c r="C311" s="122">
        <f t="shared" si="251"/>
        <v>13</v>
      </c>
      <c r="D311" s="123">
        <v>1439.2839080805697</v>
      </c>
      <c r="E311" s="124">
        <v>40.793655395507813</v>
      </c>
      <c r="F311" s="125">
        <v>12.608885319835592</v>
      </c>
      <c r="G311" s="126">
        <v>2.4832632541656494</v>
      </c>
      <c r="H311" s="127">
        <f>HLOOKUP('Operational Worksheet'!E311,$B$773:$U$775,3)</f>
        <v>7.7875000000000005</v>
      </c>
      <c r="I311" s="127">
        <f t="shared" si="214"/>
        <v>1.1325076246935668</v>
      </c>
      <c r="J311" s="127">
        <f t="shared" si="215"/>
        <v>21.025264437203322</v>
      </c>
      <c r="K311" s="127">
        <f t="shared" si="252"/>
        <v>2.8123145694639566</v>
      </c>
      <c r="L311" s="127">
        <f t="shared" si="252"/>
        <v>52.211266586022823</v>
      </c>
      <c r="M311" s="127">
        <f t="shared" si="253"/>
        <v>55.023581155486781</v>
      </c>
      <c r="N311" s="128">
        <f t="shared" si="254"/>
        <v>7.0656283987783981</v>
      </c>
      <c r="O311" s="129" t="str">
        <f t="shared" si="216"/>
        <v>OK</v>
      </c>
    </row>
    <row r="312" spans="1:15" ht="14.25" customHeight="1" x14ac:dyDescent="0.25">
      <c r="A312" s="120" t="str">
        <f>IF(N312=MIN(N297:N320),1,"")</f>
        <v/>
      </c>
      <c r="B312" s="121">
        <f t="shared" si="244"/>
        <v>42321.624999999964</v>
      </c>
      <c r="C312" s="122">
        <f t="shared" si="251"/>
        <v>13</v>
      </c>
      <c r="D312" s="123">
        <v>1446.1417957224921</v>
      </c>
      <c r="E312" s="124">
        <v>40.786941939952804</v>
      </c>
      <c r="F312" s="125">
        <v>12.600147344750829</v>
      </c>
      <c r="G312" s="126">
        <v>2.4832632541656494</v>
      </c>
      <c r="H312" s="127">
        <f>HLOOKUP('Operational Worksheet'!E312,$B$773:$U$775,3)</f>
        <v>7.7875000000000005</v>
      </c>
      <c r="I312" s="127">
        <f t="shared" si="214"/>
        <v>1.1271370517201962</v>
      </c>
      <c r="J312" s="127">
        <f t="shared" si="215"/>
        <v>20.91105707396688</v>
      </c>
      <c r="K312" s="127">
        <f t="shared" si="252"/>
        <v>2.7989780229453705</v>
      </c>
      <c r="L312" s="127">
        <f t="shared" si="252"/>
        <v>51.927659637542618</v>
      </c>
      <c r="M312" s="127">
        <f t="shared" si="253"/>
        <v>54.726637660487988</v>
      </c>
      <c r="N312" s="128">
        <f t="shared" si="254"/>
        <v>7.0274976129037539</v>
      </c>
      <c r="O312" s="129" t="str">
        <f t="shared" si="216"/>
        <v>OK</v>
      </c>
    </row>
    <row r="313" spans="1:15" ht="14.25" customHeight="1" x14ac:dyDescent="0.25">
      <c r="A313" s="120" t="str">
        <f>IF(N313=MIN(N297:N320),1,"")</f>
        <v/>
      </c>
      <c r="B313" s="121">
        <f t="shared" si="244"/>
        <v>42321.666666666628</v>
      </c>
      <c r="C313" s="122">
        <f t="shared" si="251"/>
        <v>13</v>
      </c>
      <c r="D313" s="123">
        <v>1451.0568230900433</v>
      </c>
      <c r="E313" s="124">
        <v>38.995231628417969</v>
      </c>
      <c r="F313" s="125">
        <v>12.609071266613089</v>
      </c>
      <c r="G313" s="126">
        <v>2.4832632541656494</v>
      </c>
      <c r="H313" s="127">
        <f>HLOOKUP('Operational Worksheet'!E313,$B$773:$U$775,3)</f>
        <v>8.5750000000000011</v>
      </c>
      <c r="I313" s="127">
        <f t="shared" si="214"/>
        <v>1.123319207120294</v>
      </c>
      <c r="J313" s="127">
        <f t="shared" si="215"/>
        <v>20.854986902186642</v>
      </c>
      <c r="K313" s="127">
        <f t="shared" si="252"/>
        <v>2.7894973097403182</v>
      </c>
      <c r="L313" s="127">
        <f t="shared" si="252"/>
        <v>51.788422640305996</v>
      </c>
      <c r="M313" s="127">
        <f t="shared" si="253"/>
        <v>54.577919950046315</v>
      </c>
      <c r="N313" s="128">
        <f t="shared" si="254"/>
        <v>6.3647720058363042</v>
      </c>
      <c r="O313" s="129" t="str">
        <f t="shared" si="216"/>
        <v>OK</v>
      </c>
    </row>
    <row r="314" spans="1:15" ht="14.25" customHeight="1" x14ac:dyDescent="0.25">
      <c r="A314" s="120" t="str">
        <f>IF(N314=MIN(N297:N320),1,"")</f>
        <v/>
      </c>
      <c r="B314" s="121">
        <f t="shared" si="244"/>
        <v>42321.708333333292</v>
      </c>
      <c r="C314" s="122">
        <f t="shared" si="251"/>
        <v>13</v>
      </c>
      <c r="D314" s="123">
        <v>1439.4728446275622</v>
      </c>
      <c r="E314" s="124">
        <v>38.995231628417969</v>
      </c>
      <c r="F314" s="125">
        <v>12.601968989606309</v>
      </c>
      <c r="G314" s="126">
        <v>2.4832632541656494</v>
      </c>
      <c r="H314" s="127">
        <f>HLOOKUP('Operational Worksheet'!E314,$B$773:$U$775,3)</f>
        <v>8.5750000000000011</v>
      </c>
      <c r="I314" s="128">
        <f t="shared" si="214"/>
        <v>1.1323589785549122</v>
      </c>
      <c r="J314" s="127">
        <f t="shared" si="215"/>
        <v>21.01097334898348</v>
      </c>
      <c r="K314" s="127">
        <f>I314*$G314</f>
        <v>2.8119454419699621</v>
      </c>
      <c r="L314" s="127">
        <f>J314*$G314</f>
        <v>52.175778051784448</v>
      </c>
      <c r="M314" s="127">
        <f>K314+L314</f>
        <v>54.987723493754409</v>
      </c>
      <c r="N314" s="128">
        <f t="shared" si="254"/>
        <v>6.4125625065602803</v>
      </c>
      <c r="O314" s="129" t="str">
        <f t="shared" si="216"/>
        <v>OK</v>
      </c>
    </row>
    <row r="315" spans="1:15" ht="14.25" customHeight="1" x14ac:dyDescent="0.25">
      <c r="A315" s="120">
        <f>IF(N315=MIN(N297:N320),1,"")</f>
        <v>1</v>
      </c>
      <c r="B315" s="121">
        <f>B314+1/24</f>
        <v>42321.749999999956</v>
      </c>
      <c r="C315" s="122">
        <f>DAY(B315)</f>
        <v>13</v>
      </c>
      <c r="D315" s="123">
        <v>1445.2368715317352</v>
      </c>
      <c r="E315" s="124">
        <v>38.995231628417969</v>
      </c>
      <c r="F315" s="125">
        <v>12.601068257216044</v>
      </c>
      <c r="G315" s="126">
        <v>2.2698788642883301</v>
      </c>
      <c r="H315" s="127">
        <f>HLOOKUP('Operational Worksheet'!E315,$B$773:$U$775,3)</f>
        <v>8.5750000000000011</v>
      </c>
      <c r="I315" s="127">
        <f t="shared" si="214"/>
        <v>1.1278428001026872</v>
      </c>
      <c r="J315" s="127">
        <f t="shared" si="215"/>
        <v>20.925679667490012</v>
      </c>
      <c r="K315" s="127">
        <f>I315*$G315</f>
        <v>2.5600665341928579</v>
      </c>
      <c r="L315" s="127">
        <f>J315*$G315</f>
        <v>47.498757998103628</v>
      </c>
      <c r="M315" s="127">
        <f>K315+L315</f>
        <v>50.058824532296484</v>
      </c>
      <c r="N315" s="128">
        <f>IF(D315&gt;0,M315/H315,"PO")</f>
        <v>5.8377637938538163</v>
      </c>
      <c r="O315" s="129" t="str">
        <f t="shared" si="216"/>
        <v>OK</v>
      </c>
    </row>
    <row r="316" spans="1:15" ht="14.25" customHeight="1" x14ac:dyDescent="0.25">
      <c r="A316" s="120" t="str">
        <f>IF(N316=MIN(N297:N320),1,"")</f>
        <v/>
      </c>
      <c r="B316" s="121">
        <f t="shared" ref="B316:B320" si="255">B315+1/24</f>
        <v>42321.791666666621</v>
      </c>
      <c r="C316" s="122">
        <f t="shared" ref="C316:C320" si="256">DAY(B316)</f>
        <v>13</v>
      </c>
      <c r="D316" s="123">
        <v>1435.8317028645688</v>
      </c>
      <c r="E316" s="124">
        <v>38.995231628417969</v>
      </c>
      <c r="F316" s="125">
        <v>12.603490214832355</v>
      </c>
      <c r="G316" s="126">
        <v>2.4483771324157715</v>
      </c>
      <c r="H316" s="127">
        <f>HLOOKUP('Operational Worksheet'!E316,$B$773:$U$775,3)</f>
        <v>8.5750000000000011</v>
      </c>
      <c r="I316" s="127">
        <f t="shared" si="214"/>
        <v>1.1352305404234033</v>
      </c>
      <c r="J316" s="127">
        <f t="shared" si="215"/>
        <v>21.06679804830215</v>
      </c>
      <c r="K316" s="127">
        <f t="shared" ref="K316:L319" si="257">I316*$G316</f>
        <v>2.7794724951926586</v>
      </c>
      <c r="L316" s="127">
        <f t="shared" si="257"/>
        <v>51.579466594684192</v>
      </c>
      <c r="M316" s="127">
        <f t="shared" ref="M316:M319" si="258">K316+L316</f>
        <v>54.358939089876849</v>
      </c>
      <c r="N316" s="128">
        <f t="shared" ref="N316:N320" si="259">IF(D316&gt;0,M316/H316,"PO")</f>
        <v>6.3392348792859288</v>
      </c>
      <c r="O316" s="129" t="str">
        <f t="shared" si="216"/>
        <v>OK</v>
      </c>
    </row>
    <row r="317" spans="1:15" ht="14.25" customHeight="1" x14ac:dyDescent="0.25">
      <c r="A317" s="120" t="str">
        <f>IF(N317=MIN(N297:N320),1,"")</f>
        <v/>
      </c>
      <c r="B317" s="121">
        <f t="shared" si="255"/>
        <v>42321.833333333285</v>
      </c>
      <c r="C317" s="122">
        <f t="shared" si="256"/>
        <v>13</v>
      </c>
      <c r="D317" s="123">
        <v>1446.3735263401447</v>
      </c>
      <c r="E317" s="124">
        <v>38.995231628417969</v>
      </c>
      <c r="F317" s="125">
        <v>12.611531729048821</v>
      </c>
      <c r="G317" s="126">
        <v>2.4483771324157715</v>
      </c>
      <c r="H317" s="127">
        <f>HLOOKUP('Operational Worksheet'!E317,$B$773:$U$775,3)</f>
        <v>8.5750000000000011</v>
      </c>
      <c r="I317" s="127">
        <f t="shared" si="214"/>
        <v>1.1269564675485297</v>
      </c>
      <c r="J317" s="127">
        <f t="shared" si="215"/>
        <v>20.926597174593955</v>
      </c>
      <c r="K317" s="127">
        <f t="shared" si="257"/>
        <v>2.7592144443738769</v>
      </c>
      <c r="L317" s="127">
        <f t="shared" si="257"/>
        <v>51.236201981552334</v>
      </c>
      <c r="M317" s="127">
        <f t="shared" si="258"/>
        <v>53.995416425926209</v>
      </c>
      <c r="N317" s="128">
        <f t="shared" si="259"/>
        <v>6.2968415657056793</v>
      </c>
      <c r="O317" s="129" t="str">
        <f t="shared" si="216"/>
        <v>OK</v>
      </c>
    </row>
    <row r="318" spans="1:15" ht="14.25" customHeight="1" x14ac:dyDescent="0.25">
      <c r="A318" s="120" t="str">
        <f>IF(N318=MIN(N297:N320),1,"")</f>
        <v/>
      </c>
      <c r="B318" s="121">
        <f t="shared" si="255"/>
        <v>42321.874999999949</v>
      </c>
      <c r="C318" s="122">
        <f t="shared" si="256"/>
        <v>13</v>
      </c>
      <c r="D318" s="123">
        <v>1448.1573159727043</v>
      </c>
      <c r="E318" s="124">
        <v>38.995231628417969</v>
      </c>
      <c r="F318" s="125">
        <v>12.599449939715681</v>
      </c>
      <c r="G318" s="126">
        <v>2.4483771324157715</v>
      </c>
      <c r="H318" s="127">
        <f>HLOOKUP('Operational Worksheet'!E318,$B$773:$U$775,3)</f>
        <v>8.5750000000000011</v>
      </c>
      <c r="I318" s="127">
        <f t="shared" si="214"/>
        <v>1.1255683219092498</v>
      </c>
      <c r="J318" s="127">
        <f t="shared" si="215"/>
        <v>20.880797632822642</v>
      </c>
      <c r="K318" s="127">
        <f t="shared" si="257"/>
        <v>2.7558157403342012</v>
      </c>
      <c r="L318" s="127">
        <f t="shared" si="257"/>
        <v>51.124067430804331</v>
      </c>
      <c r="M318" s="127">
        <f t="shared" si="258"/>
        <v>53.87988317113853</v>
      </c>
      <c r="N318" s="128">
        <f t="shared" si="259"/>
        <v>6.2833682998412277</v>
      </c>
      <c r="O318" s="129" t="str">
        <f t="shared" si="216"/>
        <v>OK</v>
      </c>
    </row>
    <row r="319" spans="1:15" ht="14.25" customHeight="1" x14ac:dyDescent="0.25">
      <c r="A319" s="120" t="str">
        <f>IF(N319=MIN(N297:N320),1,"")</f>
        <v/>
      </c>
      <c r="B319" s="121">
        <f t="shared" si="255"/>
        <v>42321.916666666613</v>
      </c>
      <c r="C319" s="122">
        <f t="shared" si="256"/>
        <v>13</v>
      </c>
      <c r="D319" s="123">
        <v>1439.8080217023976</v>
      </c>
      <c r="E319" s="124">
        <v>38.995231628417969</v>
      </c>
      <c r="F319" s="125">
        <v>12.608901807370312</v>
      </c>
      <c r="G319" s="126">
        <v>2.4483771324157715</v>
      </c>
      <c r="H319" s="127">
        <f>HLOOKUP('Operational Worksheet'!E319,$B$773:$U$775,3)</f>
        <v>8.5750000000000011</v>
      </c>
      <c r="I319" s="127">
        <f t="shared" si="214"/>
        <v>1.1320953734323023</v>
      </c>
      <c r="J319" s="127">
        <f t="shared" si="215"/>
        <v>21.017638380642143</v>
      </c>
      <c r="K319" s="127">
        <f t="shared" si="257"/>
        <v>2.7717964240253421</v>
      </c>
      <c r="L319" s="127">
        <f t="shared" si="257"/>
        <v>51.459105188548271</v>
      </c>
      <c r="M319" s="127">
        <f t="shared" si="258"/>
        <v>54.230901612573611</v>
      </c>
      <c r="N319" s="128">
        <f t="shared" si="259"/>
        <v>6.3243033950523158</v>
      </c>
      <c r="O319" s="129" t="str">
        <f t="shared" si="216"/>
        <v>OK</v>
      </c>
    </row>
    <row r="320" spans="1:15" ht="14.25" customHeight="1" x14ac:dyDescent="0.25">
      <c r="A320" s="130" t="str">
        <f>IF(N320=MIN(N297:N320),1,"")</f>
        <v/>
      </c>
      <c r="B320" s="131">
        <f t="shared" si="255"/>
        <v>42321.958333333278</v>
      </c>
      <c r="C320" s="132">
        <f t="shared" si="256"/>
        <v>13</v>
      </c>
      <c r="D320" s="123">
        <v>1438.3973378786018</v>
      </c>
      <c r="E320" s="124">
        <v>39.024918573873684</v>
      </c>
      <c r="F320" s="125">
        <v>12.597466180493276</v>
      </c>
      <c r="G320" s="126">
        <v>2.4483771324157715</v>
      </c>
      <c r="H320" s="133">
        <f>HLOOKUP('Operational Worksheet'!E320,$B$773:$U$775,3)</f>
        <v>8.5750000000000011</v>
      </c>
      <c r="I320" s="134">
        <f t="shared" si="214"/>
        <v>1.1332056567929836</v>
      </c>
      <c r="J320" s="133">
        <f t="shared" si="215"/>
        <v>21.01917045937661</v>
      </c>
      <c r="K320" s="133">
        <f>I320*$G320</f>
        <v>2.774514816416136</v>
      </c>
      <c r="L320" s="133">
        <f>J320*$G320</f>
        <v>51.462856295086802</v>
      </c>
      <c r="M320" s="133">
        <f>K320+L320</f>
        <v>54.237371111502938</v>
      </c>
      <c r="N320" s="134">
        <f t="shared" si="259"/>
        <v>6.325057855568855</v>
      </c>
      <c r="O320" s="135" t="str">
        <f t="shared" si="216"/>
        <v>OK</v>
      </c>
    </row>
    <row r="321" spans="1:15" ht="14.25" customHeight="1" x14ac:dyDescent="0.25">
      <c r="A321" s="110" t="str">
        <f>IF(N321=MIN(N321:N344),1,"")</f>
        <v/>
      </c>
      <c r="B321" s="111">
        <f>'[1]Turbidity Daily Data Sheet'!B29</f>
        <v>42322</v>
      </c>
      <c r="C321" s="112">
        <f>DAY(B321)</f>
        <v>14</v>
      </c>
      <c r="D321" s="123">
        <v>1442.3731352098891</v>
      </c>
      <c r="E321" s="124">
        <v>40.730052947998047</v>
      </c>
      <c r="F321" s="125">
        <v>12.602338106705915</v>
      </c>
      <c r="G321" s="126">
        <v>2.4483771324157715</v>
      </c>
      <c r="H321" s="117">
        <f>HLOOKUP('Operational Worksheet'!E321,$B$773:$U$775,3)</f>
        <v>7.7875000000000005</v>
      </c>
      <c r="I321" s="117">
        <f t="shared" si="214"/>
        <v>1.1300820572776462</v>
      </c>
      <c r="J321" s="117">
        <f t="shared" si="215"/>
        <v>20.969339152100165</v>
      </c>
      <c r="K321" s="117">
        <f>I321*$G321</f>
        <v>2.766867066791959</v>
      </c>
      <c r="L321" s="117">
        <f>J321*$G321</f>
        <v>51.340850461872769</v>
      </c>
      <c r="M321" s="117">
        <f>K321+L321</f>
        <v>54.107717528664729</v>
      </c>
      <c r="N321" s="118">
        <f>IF(D321&gt;0,M321/H321,"PO")</f>
        <v>6.948021512509114</v>
      </c>
      <c r="O321" s="119" t="str">
        <f t="shared" si="216"/>
        <v>OK</v>
      </c>
    </row>
    <row r="322" spans="1:15" ht="14.25" customHeight="1" x14ac:dyDescent="0.25">
      <c r="A322" s="120" t="str">
        <f>IF(N322=MIN(N321:N344),1,"")</f>
        <v/>
      </c>
      <c r="B322" s="121">
        <f>B321+1/24</f>
        <v>42322.041666666664</v>
      </c>
      <c r="C322" s="122">
        <f>DAY(B322)</f>
        <v>14</v>
      </c>
      <c r="D322" s="123">
        <v>1447.0166040725619</v>
      </c>
      <c r="E322" s="124">
        <v>40.730052947998047</v>
      </c>
      <c r="F322" s="125">
        <v>12.603666784447448</v>
      </c>
      <c r="G322" s="126">
        <v>2.4483771324157715</v>
      </c>
      <c r="H322" s="127">
        <f>HLOOKUP('Operational Worksheet'!E322,$B$773:$U$775,3)</f>
        <v>7.7875000000000005</v>
      </c>
      <c r="I322" s="127">
        <f t="shared" si="214"/>
        <v>1.1264556297505086</v>
      </c>
      <c r="J322" s="127">
        <f t="shared" si="215"/>
        <v>20.904252375225006</v>
      </c>
      <c r="K322" s="127">
        <f t="shared" ref="K322:L325" si="260">I322*$G322</f>
        <v>2.7579882045621522</v>
      </c>
      <c r="L322" s="127">
        <f t="shared" si="260"/>
        <v>51.18149348574898</v>
      </c>
      <c r="M322" s="127">
        <f t="shared" ref="M322:M325" si="261">K322+L322</f>
        <v>53.939481690311133</v>
      </c>
      <c r="N322" s="128">
        <f t="shared" ref="N322:N326" si="262">IF(D322&gt;0,M322/H322,"PO")</f>
        <v>6.9264181945824888</v>
      </c>
      <c r="O322" s="129" t="str">
        <f t="shared" si="216"/>
        <v>OK</v>
      </c>
    </row>
    <row r="323" spans="1:15" ht="14.25" customHeight="1" x14ac:dyDescent="0.25">
      <c r="A323" s="120" t="str">
        <f>IF(N323=MIN(N321:N344),1,"")</f>
        <v/>
      </c>
      <c r="B323" s="121">
        <f t="shared" ref="B323:B338" si="263">B322+1/24</f>
        <v>42322.083333333328</v>
      </c>
      <c r="C323" s="122">
        <f t="shared" ref="C323" si="264">DAY(B323)</f>
        <v>14</v>
      </c>
      <c r="D323" s="123">
        <v>1436.140688409648</v>
      </c>
      <c r="E323" s="124">
        <v>40.730052947998047</v>
      </c>
      <c r="F323" s="125">
        <v>12.607070212181744</v>
      </c>
      <c r="G323" s="126">
        <v>2.4483771324157715</v>
      </c>
      <c r="H323" s="127">
        <f>HLOOKUP('Operational Worksheet'!E323,$B$773:$U$775,3)</f>
        <v>7.7875000000000005</v>
      </c>
      <c r="I323" s="127">
        <f t="shared" si="214"/>
        <v>1.1349862956706753</v>
      </c>
      <c r="J323" s="127">
        <f t="shared" si="215"/>
        <v>21.06824822486028</v>
      </c>
      <c r="K323" s="127">
        <f t="shared" si="260"/>
        <v>2.7788744919253672</v>
      </c>
      <c r="L323" s="127">
        <f t="shared" si="260"/>
        <v>51.583017173807079</v>
      </c>
      <c r="M323" s="127">
        <f t="shared" si="261"/>
        <v>54.361891665732443</v>
      </c>
      <c r="N323" s="128">
        <f t="shared" si="262"/>
        <v>6.980660246000955</v>
      </c>
      <c r="O323" s="129" t="str">
        <f t="shared" si="216"/>
        <v>OK</v>
      </c>
    </row>
    <row r="324" spans="1:15" ht="14.25" customHeight="1" x14ac:dyDescent="0.25">
      <c r="A324" s="120" t="str">
        <f>IF(N324=MIN(N321:N344),1,"")</f>
        <v/>
      </c>
      <c r="B324" s="121">
        <f t="shared" si="263"/>
        <v>42322.124999999993</v>
      </c>
      <c r="C324" s="122">
        <f>DAY(B324)</f>
        <v>14</v>
      </c>
      <c r="D324" s="123">
        <v>1445.2603208001563</v>
      </c>
      <c r="E324" s="124">
        <v>40.730052947998047</v>
      </c>
      <c r="F324" s="125">
        <v>12.605349051525437</v>
      </c>
      <c r="G324" s="126">
        <v>2.4964258670806885</v>
      </c>
      <c r="H324" s="127">
        <f>HLOOKUP('Operational Worksheet'!E324,$B$773:$U$775,3)</f>
        <v>7.7875000000000005</v>
      </c>
      <c r="I324" s="127">
        <f t="shared" si="214"/>
        <v>1.1278245009159071</v>
      </c>
      <c r="J324" s="127">
        <f t="shared" si="215"/>
        <v>20.932448838636777</v>
      </c>
      <c r="K324" s="127">
        <f t="shared" si="260"/>
        <v>2.8155302576138381</v>
      </c>
      <c r="L324" s="127">
        <f t="shared" si="260"/>
        <v>52.256306742115967</v>
      </c>
      <c r="M324" s="127">
        <f t="shared" si="261"/>
        <v>55.071836999729804</v>
      </c>
      <c r="N324" s="128">
        <f t="shared" si="262"/>
        <v>7.0718249758882568</v>
      </c>
      <c r="O324" s="129" t="str">
        <f t="shared" si="216"/>
        <v>OK</v>
      </c>
    </row>
    <row r="325" spans="1:15" ht="14.25" customHeight="1" x14ac:dyDescent="0.25">
      <c r="A325" s="120" t="str">
        <f>IF(N325=MIN(N321:N344),1,"")</f>
        <v/>
      </c>
      <c r="B325" s="121">
        <f t="shared" si="263"/>
        <v>42322.166666666657</v>
      </c>
      <c r="C325" s="122">
        <f t="shared" ref="C325:C326" si="265">DAY(B325)</f>
        <v>14</v>
      </c>
      <c r="D325" s="123">
        <v>1437.2052416102206</v>
      </c>
      <c r="E325" s="124">
        <v>40.730052947998047</v>
      </c>
      <c r="F325" s="125">
        <v>12.601858164455276</v>
      </c>
      <c r="G325" s="126">
        <v>2.4964258670806885</v>
      </c>
      <c r="H325" s="127">
        <f>HLOOKUP('Operational Worksheet'!E325,$B$773:$U$775,3)</f>
        <v>7.7875000000000005</v>
      </c>
      <c r="I325" s="127">
        <f t="shared" si="214"/>
        <v>1.1341455992560781</v>
      </c>
      <c r="J325" s="127">
        <f t="shared" si="215"/>
        <v>21.043939111164999</v>
      </c>
      <c r="K325" s="127">
        <f t="shared" si="260"/>
        <v>2.8313104110186016</v>
      </c>
      <c r="L325" s="127">
        <f t="shared" si="260"/>
        <v>52.534633942383294</v>
      </c>
      <c r="M325" s="127">
        <f t="shared" si="261"/>
        <v>55.365944353401893</v>
      </c>
      <c r="N325" s="128">
        <f t="shared" si="262"/>
        <v>7.1095915702602746</v>
      </c>
      <c r="O325" s="129" t="str">
        <f t="shared" si="216"/>
        <v>OK</v>
      </c>
    </row>
    <row r="326" spans="1:15" ht="14.25" customHeight="1" x14ac:dyDescent="0.25">
      <c r="A326" s="120" t="str">
        <f>IF(N326=MIN(N321:N344),1,"")</f>
        <v/>
      </c>
      <c r="B326" s="121">
        <f t="shared" si="263"/>
        <v>42322.208333333321</v>
      </c>
      <c r="C326" s="122">
        <f t="shared" si="265"/>
        <v>14</v>
      </c>
      <c r="D326" s="123">
        <v>1437.1011474875822</v>
      </c>
      <c r="E326" s="124">
        <v>40.730052947998047</v>
      </c>
      <c r="F326" s="125">
        <v>12.605314781865932</v>
      </c>
      <c r="G326" s="126">
        <v>2.4830489158630371</v>
      </c>
      <c r="H326" s="127">
        <f>HLOOKUP('Operational Worksheet'!E326,$B$773:$U$775,3)</f>
        <v>7.7875000000000005</v>
      </c>
      <c r="I326" s="128">
        <f t="shared" si="214"/>
        <v>1.1342277492782287</v>
      </c>
      <c r="J326" s="127">
        <f t="shared" si="215"/>
        <v>21.051236045123016</v>
      </c>
      <c r="K326" s="127">
        <f>I326*$G326</f>
        <v>2.8163429831870785</v>
      </c>
      <c r="L326" s="127">
        <f>J326*$G326</f>
        <v>52.271248839419592</v>
      </c>
      <c r="M326" s="127">
        <f>K326+L326</f>
        <v>55.087591822606669</v>
      </c>
      <c r="N326" s="128">
        <f t="shared" si="262"/>
        <v>7.0738480671083996</v>
      </c>
      <c r="O326" s="129" t="str">
        <f t="shared" si="216"/>
        <v>OK</v>
      </c>
    </row>
    <row r="327" spans="1:15" ht="14.25" customHeight="1" x14ac:dyDescent="0.25">
      <c r="A327" s="120" t="str">
        <f>IF(N327=MIN(N321:N344),1,"")</f>
        <v/>
      </c>
      <c r="B327" s="121">
        <f t="shared" si="263"/>
        <v>42322.249999999985</v>
      </c>
      <c r="C327" s="122">
        <f>DAY(B327)</f>
        <v>14</v>
      </c>
      <c r="D327" s="123">
        <v>1437.5849960526057</v>
      </c>
      <c r="E327" s="124">
        <v>40.730052947998047</v>
      </c>
      <c r="F327" s="125">
        <v>12.606285247014457</v>
      </c>
      <c r="G327" s="126">
        <v>2.3935861587524414</v>
      </c>
      <c r="H327" s="127">
        <f>HLOOKUP('Operational Worksheet'!E327,$B$773:$U$775,3)</f>
        <v>7.7875000000000005</v>
      </c>
      <c r="I327" s="127">
        <f t="shared" si="214"/>
        <v>1.1338460017847551</v>
      </c>
      <c r="J327" s="127">
        <f t="shared" si="215"/>
        <v>21.045770981132005</v>
      </c>
      <c r="K327" s="127">
        <f>I327*$G327</f>
        <v>2.7139580960287857</v>
      </c>
      <c r="L327" s="127">
        <f>J327*$G327</f>
        <v>50.374866120711353</v>
      </c>
      <c r="M327" s="127">
        <f>K327+L327</f>
        <v>53.088824216740136</v>
      </c>
      <c r="N327" s="128">
        <f>IF(D327&gt;0,M327/H327,"PO")</f>
        <v>6.8171844901110923</v>
      </c>
      <c r="O327" s="129" t="str">
        <f t="shared" si="216"/>
        <v>OK</v>
      </c>
    </row>
    <row r="328" spans="1:15" ht="14.25" customHeight="1" x14ac:dyDescent="0.25">
      <c r="A328" s="120" t="str">
        <f>IF(N328=MIN(N321:N344),1,"")</f>
        <v/>
      </c>
      <c r="B328" s="121">
        <f t="shared" si="263"/>
        <v>42322.29166666665</v>
      </c>
      <c r="C328" s="122">
        <f t="shared" ref="C328:C332" si="266">DAY(B328)</f>
        <v>14</v>
      </c>
      <c r="D328" s="123">
        <v>1440.5701049287445</v>
      </c>
      <c r="E328" s="124">
        <v>40.72823052765083</v>
      </c>
      <c r="F328" s="125">
        <v>12.602109501806122</v>
      </c>
      <c r="G328" s="126">
        <v>2.3935861587524414</v>
      </c>
      <c r="H328" s="127">
        <f>HLOOKUP('Operational Worksheet'!E328,$B$773:$U$775,3)</f>
        <v>7.7875000000000005</v>
      </c>
      <c r="I328" s="127">
        <f t="shared" si="214"/>
        <v>1.1314964779729517</v>
      </c>
      <c r="J328" s="127">
        <f t="shared" si="215"/>
        <v>20.995203705015602</v>
      </c>
      <c r="K328" s="127">
        <f t="shared" ref="K328:L331" si="267">I328*$G328</f>
        <v>2.7083343083531939</v>
      </c>
      <c r="L328" s="127">
        <f t="shared" si="267"/>
        <v>50.25382898851332</v>
      </c>
      <c r="M328" s="127">
        <f t="shared" ref="M328:M331" si="268">K328+L328</f>
        <v>52.962163296866514</v>
      </c>
      <c r="N328" s="128">
        <f t="shared" ref="N328:N332" si="269">IF(D328&gt;0,M328/H328,"PO")</f>
        <v>6.8009198455045281</v>
      </c>
      <c r="O328" s="129" t="str">
        <f t="shared" si="216"/>
        <v>OK</v>
      </c>
    </row>
    <row r="329" spans="1:15" ht="14.25" customHeight="1" x14ac:dyDescent="0.25">
      <c r="A329" s="120" t="str">
        <f>IF(N329=MIN(N321:N344),1,"")</f>
        <v/>
      </c>
      <c r="B329" s="121">
        <f t="shared" si="263"/>
        <v>42322.333333333314</v>
      </c>
      <c r="C329" s="122">
        <f t="shared" si="266"/>
        <v>14</v>
      </c>
      <c r="D329" s="123">
        <v>1442.3304825103817</v>
      </c>
      <c r="E329" s="124">
        <v>40.719451904296875</v>
      </c>
      <c r="F329" s="125">
        <v>12.590199273276571</v>
      </c>
      <c r="G329" s="126">
        <v>2.3935861587524414</v>
      </c>
      <c r="H329" s="127">
        <f>HLOOKUP('Operational Worksheet'!E329,$B$773:$U$775,3)</f>
        <v>7.7875000000000005</v>
      </c>
      <c r="I329" s="127">
        <f t="shared" ref="I329:I392" si="270">$G$768/D329*$H$768</f>
        <v>1.1301154761445371</v>
      </c>
      <c r="J329" s="127">
        <f t="shared" ref="J329:J392" si="271">$G$769*F329/D329*$H$769</f>
        <v>20.94976055922487</v>
      </c>
      <c r="K329" s="127">
        <f t="shared" si="267"/>
        <v>2.705028761491489</v>
      </c>
      <c r="L329" s="127">
        <f t="shared" si="267"/>
        <v>50.145056903738457</v>
      </c>
      <c r="M329" s="127">
        <f t="shared" si="268"/>
        <v>52.850085665229948</v>
      </c>
      <c r="N329" s="128">
        <f t="shared" si="269"/>
        <v>6.7865278542831389</v>
      </c>
      <c r="O329" s="129" t="str">
        <f t="shared" ref="O329:O392" si="272">+IF(N329&gt;=1, "OK","Alarm")</f>
        <v>OK</v>
      </c>
    </row>
    <row r="330" spans="1:15" ht="14.25" customHeight="1" x14ac:dyDescent="0.25">
      <c r="A330" s="120" t="str">
        <f>IF(N330=MIN(N321:N344),1,"")</f>
        <v/>
      </c>
      <c r="B330" s="121">
        <f t="shared" si="263"/>
        <v>42322.374999999978</v>
      </c>
      <c r="C330" s="122">
        <f t="shared" si="266"/>
        <v>14</v>
      </c>
      <c r="D330" s="123">
        <v>1438.5991073479527</v>
      </c>
      <c r="E330" s="124">
        <v>40.719451904296875</v>
      </c>
      <c r="F330" s="125">
        <v>12.601327590945012</v>
      </c>
      <c r="G330" s="126">
        <v>2.3935861587524414</v>
      </c>
      <c r="H330" s="127">
        <f>HLOOKUP('Operational Worksheet'!E330,$B$773:$U$775,3)</f>
        <v>7.7875000000000005</v>
      </c>
      <c r="I330" s="127">
        <f t="shared" si="270"/>
        <v>1.1330467200170127</v>
      </c>
      <c r="J330" s="127">
        <f t="shared" si="271"/>
        <v>21.022664384952336</v>
      </c>
      <c r="K330" s="127">
        <f t="shared" si="267"/>
        <v>2.7120449462525742</v>
      </c>
      <c r="L330" s="127">
        <f t="shared" si="267"/>
        <v>50.319558491919814</v>
      </c>
      <c r="M330" s="127">
        <f t="shared" si="268"/>
        <v>53.03160343817239</v>
      </c>
      <c r="N330" s="128">
        <f t="shared" si="269"/>
        <v>6.8098367175823284</v>
      </c>
      <c r="O330" s="129" t="str">
        <f t="shared" si="272"/>
        <v>OK</v>
      </c>
    </row>
    <row r="331" spans="1:15" ht="14.25" customHeight="1" x14ac:dyDescent="0.25">
      <c r="A331" s="120" t="str">
        <f>IF(N331=MIN(N321:N344),1,"")</f>
        <v/>
      </c>
      <c r="B331" s="121">
        <f t="shared" si="263"/>
        <v>42322.416666666642</v>
      </c>
      <c r="C331" s="122">
        <f t="shared" si="266"/>
        <v>14</v>
      </c>
      <c r="D331" s="123">
        <v>1444.9770315094306</v>
      </c>
      <c r="E331" s="124">
        <v>40.719451904296875</v>
      </c>
      <c r="F331" s="125">
        <v>12.600928497963837</v>
      </c>
      <c r="G331" s="126">
        <v>2.3935861587524414</v>
      </c>
      <c r="H331" s="127">
        <f>HLOOKUP('Operational Worksheet'!E331,$B$773:$U$775,3)</f>
        <v>7.7875000000000005</v>
      </c>
      <c r="I331" s="127">
        <f t="shared" si="270"/>
        <v>1.1280456121141893</v>
      </c>
      <c r="J331" s="127">
        <f t="shared" si="271"/>
        <v>20.92921045500773</v>
      </c>
      <c r="K331" s="127">
        <f t="shared" si="267"/>
        <v>2.7000743635979489</v>
      </c>
      <c r="L331" s="127">
        <f t="shared" si="267"/>
        <v>50.095868458723388</v>
      </c>
      <c r="M331" s="127">
        <f t="shared" si="268"/>
        <v>52.795942822321337</v>
      </c>
      <c r="N331" s="128">
        <f t="shared" si="269"/>
        <v>6.7795753222884541</v>
      </c>
      <c r="O331" s="129" t="str">
        <f t="shared" si="272"/>
        <v>OK</v>
      </c>
    </row>
    <row r="332" spans="1:15" ht="14.25" customHeight="1" x14ac:dyDescent="0.25">
      <c r="A332" s="120" t="str">
        <f>IF(N332=MIN(N321:N344),1,"")</f>
        <v/>
      </c>
      <c r="B332" s="121">
        <f t="shared" si="263"/>
        <v>42322.458333333307</v>
      </c>
      <c r="C332" s="122">
        <f t="shared" si="266"/>
        <v>14</v>
      </c>
      <c r="D332" s="123">
        <v>1448.5798068683275</v>
      </c>
      <c r="E332" s="124">
        <v>40.612827397566207</v>
      </c>
      <c r="F332" s="125">
        <v>12.601619158461782</v>
      </c>
      <c r="G332" s="126">
        <v>2.3935861587524414</v>
      </c>
      <c r="H332" s="127">
        <f>HLOOKUP('Operational Worksheet'!E332,$B$773:$U$775,3)</f>
        <v>7.7875000000000005</v>
      </c>
      <c r="I332" s="128">
        <f t="shared" si="270"/>
        <v>1.1252400401216991</v>
      </c>
      <c r="J332" s="127">
        <f t="shared" si="271"/>
        <v>20.878301517741214</v>
      </c>
      <c r="K332" s="127">
        <f>I332*$G332</f>
        <v>2.6933589853093407</v>
      </c>
      <c r="L332" s="127">
        <f>J332*$G332</f>
        <v>49.974013531125458</v>
      </c>
      <c r="M332" s="127">
        <f>K332+L332</f>
        <v>52.667372516434796</v>
      </c>
      <c r="N332" s="128">
        <f t="shared" si="269"/>
        <v>6.7630654916770201</v>
      </c>
      <c r="O332" s="129" t="str">
        <f t="shared" si="272"/>
        <v>OK</v>
      </c>
    </row>
    <row r="333" spans="1:15" ht="14.25" customHeight="1" x14ac:dyDescent="0.25">
      <c r="A333" s="120" t="str">
        <f>IF(N333=MIN(N321:N344),1,"")</f>
        <v/>
      </c>
      <c r="B333" s="121">
        <f t="shared" si="263"/>
        <v>42322.499999999971</v>
      </c>
      <c r="C333" s="122">
        <f>DAY(B333)</f>
        <v>14</v>
      </c>
      <c r="D333" s="123">
        <v>1447.3760919634747</v>
      </c>
      <c r="E333" s="124">
        <v>40.503929138183594</v>
      </c>
      <c r="F333" s="125">
        <v>12.611961213223381</v>
      </c>
      <c r="G333" s="126">
        <v>2.3935861587524414</v>
      </c>
      <c r="H333" s="127">
        <f>HLOOKUP('Operational Worksheet'!E333,$B$773:$U$775,3)</f>
        <v>7.7875000000000005</v>
      </c>
      <c r="I333" s="127">
        <f t="shared" si="270"/>
        <v>1.1261758495601391</v>
      </c>
      <c r="J333" s="127">
        <f t="shared" si="271"/>
        <v>20.912813939516116</v>
      </c>
      <c r="K333" s="127">
        <f>I333*$G333</f>
        <v>2.6955989258284205</v>
      </c>
      <c r="L333" s="127">
        <f>J333*$G333</f>
        <v>50.056621986190891</v>
      </c>
      <c r="M333" s="127">
        <f>K333+L333</f>
        <v>52.752220912019311</v>
      </c>
      <c r="N333" s="128">
        <f>IF(D333&gt;0,M333/H333,"PO")</f>
        <v>6.773960951784181</v>
      </c>
      <c r="O333" s="129" t="str">
        <f t="shared" si="272"/>
        <v>OK</v>
      </c>
    </row>
    <row r="334" spans="1:15" ht="14.25" customHeight="1" x14ac:dyDescent="0.25">
      <c r="A334" s="120" t="str">
        <f>IF(N334=MIN(N321:N344),1,"")</f>
        <v/>
      </c>
      <c r="B334" s="121">
        <f t="shared" si="263"/>
        <v>42322.541666666635</v>
      </c>
      <c r="C334" s="122">
        <f t="shared" ref="C334:C338" si="273">DAY(B334)</f>
        <v>14</v>
      </c>
      <c r="D334" s="123">
        <v>1435.6833547387389</v>
      </c>
      <c r="E334" s="124">
        <v>40.503929138183594</v>
      </c>
      <c r="F334" s="125">
        <v>12.605832754556783</v>
      </c>
      <c r="G334" s="126">
        <v>2.4826211929321289</v>
      </c>
      <c r="H334" s="127">
        <f>HLOOKUP('Operational Worksheet'!E334,$B$773:$U$775,3)</f>
        <v>7.7875000000000005</v>
      </c>
      <c r="I334" s="127">
        <f t="shared" si="270"/>
        <v>1.1353478429765749</v>
      </c>
      <c r="J334" s="127">
        <f t="shared" si="271"/>
        <v>21.072890837020118</v>
      </c>
      <c r="K334" s="127">
        <f t="shared" ref="K334:L337" si="274">I334*$G334</f>
        <v>2.8186386163234238</v>
      </c>
      <c r="L334" s="127">
        <f t="shared" si="274"/>
        <v>52.316005388331412</v>
      </c>
      <c r="M334" s="127">
        <f t="shared" ref="M334:M337" si="275">K334+L334</f>
        <v>55.134644004654838</v>
      </c>
      <c r="N334" s="128">
        <f t="shared" ref="N334:N338" si="276">IF(D334&gt;0,M334/H334,"PO")</f>
        <v>7.0798900808545531</v>
      </c>
      <c r="O334" s="129" t="str">
        <f t="shared" si="272"/>
        <v>OK</v>
      </c>
    </row>
    <row r="335" spans="1:15" ht="14.25" customHeight="1" x14ac:dyDescent="0.25">
      <c r="A335" s="120" t="str">
        <f>IF(N335=MIN(N321:N344),1,"")</f>
        <v/>
      </c>
      <c r="B335" s="121">
        <f t="shared" si="263"/>
        <v>42322.583333333299</v>
      </c>
      <c r="C335" s="122">
        <f t="shared" si="273"/>
        <v>14</v>
      </c>
      <c r="D335" s="123">
        <v>1453.9010166370465</v>
      </c>
      <c r="E335" s="124">
        <v>40.503929138183594</v>
      </c>
      <c r="F335" s="125">
        <v>12.603416741700308</v>
      </c>
      <c r="G335" s="126">
        <v>2.4763073921203613</v>
      </c>
      <c r="H335" s="127">
        <f>HLOOKUP('Operational Worksheet'!E335,$B$773:$U$775,3)</f>
        <v>7.7875000000000005</v>
      </c>
      <c r="I335" s="127">
        <f t="shared" si="270"/>
        <v>1.1211217141661267</v>
      </c>
      <c r="J335" s="127">
        <f t="shared" si="271"/>
        <v>20.804855237013658</v>
      </c>
      <c r="K335" s="127">
        <f t="shared" si="274"/>
        <v>2.7762419882562304</v>
      </c>
      <c r="L335" s="127">
        <f t="shared" si="274"/>
        <v>51.519216815410935</v>
      </c>
      <c r="M335" s="127">
        <f t="shared" si="275"/>
        <v>54.295458803667167</v>
      </c>
      <c r="N335" s="128">
        <f t="shared" si="276"/>
        <v>6.9721295414018831</v>
      </c>
      <c r="O335" s="129" t="str">
        <f t="shared" si="272"/>
        <v>OK</v>
      </c>
    </row>
    <row r="336" spans="1:15" ht="14.25" customHeight="1" x14ac:dyDescent="0.25">
      <c r="A336" s="120" t="str">
        <f>IF(N336=MIN(N321:N344),1,"")</f>
        <v/>
      </c>
      <c r="B336" s="121">
        <f t="shared" si="263"/>
        <v>42322.624999999964</v>
      </c>
      <c r="C336" s="122">
        <f t="shared" si="273"/>
        <v>14</v>
      </c>
      <c r="D336" s="123">
        <v>1740.706154584841</v>
      </c>
      <c r="E336" s="124">
        <v>40.286220102059687</v>
      </c>
      <c r="F336" s="125">
        <v>12.598790345288212</v>
      </c>
      <c r="G336" s="126">
        <v>2.400648832321167</v>
      </c>
      <c r="H336" s="127">
        <f>HLOOKUP('Operational Worksheet'!E336,$B$773:$U$775,3)</f>
        <v>7.7875000000000005</v>
      </c>
      <c r="I336" s="127">
        <f t="shared" si="270"/>
        <v>0.93640158375194327</v>
      </c>
      <c r="J336" s="127">
        <f t="shared" si="271"/>
        <v>17.370592244446485</v>
      </c>
      <c r="K336" s="127">
        <f t="shared" si="274"/>
        <v>2.2479713686177942</v>
      </c>
      <c r="L336" s="127">
        <f t="shared" si="274"/>
        <v>41.700691988357576</v>
      </c>
      <c r="M336" s="127">
        <f t="shared" si="275"/>
        <v>43.948663356975374</v>
      </c>
      <c r="N336" s="128">
        <f t="shared" si="276"/>
        <v>5.6434880715217171</v>
      </c>
      <c r="O336" s="129" t="str">
        <f t="shared" si="272"/>
        <v>OK</v>
      </c>
    </row>
    <row r="337" spans="1:15" ht="14.25" customHeight="1" x14ac:dyDescent="0.25">
      <c r="A337" s="120" t="str">
        <f>IF(N337=MIN(N321:N344),1,"")</f>
        <v/>
      </c>
      <c r="B337" s="121">
        <f t="shared" si="263"/>
        <v>42322.666666666628</v>
      </c>
      <c r="C337" s="122">
        <f t="shared" si="273"/>
        <v>14</v>
      </c>
      <c r="D337" s="123">
        <v>1805.3847284327824</v>
      </c>
      <c r="E337" s="124">
        <v>39.578216552734375</v>
      </c>
      <c r="F337" s="125">
        <v>12.614063988704643</v>
      </c>
      <c r="G337" s="126">
        <v>2.400648832321167</v>
      </c>
      <c r="H337" s="127">
        <f>HLOOKUP('Operational Worksheet'!E337,$B$773:$U$775,3)</f>
        <v>7.7875000000000005</v>
      </c>
      <c r="I337" s="127">
        <f t="shared" si="270"/>
        <v>0.90285465160379952</v>
      </c>
      <c r="J337" s="127">
        <f t="shared" si="271"/>
        <v>16.768588487602401</v>
      </c>
      <c r="K337" s="127">
        <f t="shared" si="274"/>
        <v>2.1674369651283953</v>
      </c>
      <c r="L337" s="127">
        <f t="shared" si="274"/>
        <v>40.255492372436869</v>
      </c>
      <c r="M337" s="127">
        <f t="shared" si="275"/>
        <v>42.422929337565265</v>
      </c>
      <c r="N337" s="128">
        <f t="shared" si="276"/>
        <v>5.4475671701528423</v>
      </c>
      <c r="O337" s="129" t="str">
        <f t="shared" si="272"/>
        <v>OK</v>
      </c>
    </row>
    <row r="338" spans="1:15" ht="14.25" customHeight="1" x14ac:dyDescent="0.25">
      <c r="A338" s="120">
        <f>IF(N338=MIN(N321:N344),1,"")</f>
        <v>1</v>
      </c>
      <c r="B338" s="121">
        <f t="shared" si="263"/>
        <v>42322.708333333292</v>
      </c>
      <c r="C338" s="122">
        <f t="shared" si="273"/>
        <v>14</v>
      </c>
      <c r="D338" s="123">
        <v>1807.0733706285187</v>
      </c>
      <c r="E338" s="124">
        <v>39.578216552734375</v>
      </c>
      <c r="F338" s="125">
        <v>12.599515129735021</v>
      </c>
      <c r="G338" s="126">
        <v>2.400648832321167</v>
      </c>
      <c r="H338" s="127">
        <f>HLOOKUP('Operational Worksheet'!E338,$B$773:$U$775,3)</f>
        <v>7.7875000000000005</v>
      </c>
      <c r="I338" s="128">
        <f t="shared" si="270"/>
        <v>0.90201096784081836</v>
      </c>
      <c r="J338" s="127">
        <f t="shared" si="271"/>
        <v>16.733596323677034</v>
      </c>
      <c r="K338" s="127">
        <f>I338*$G338</f>
        <v>2.1654115766879465</v>
      </c>
      <c r="L338" s="127">
        <f>J338*$G338</f>
        <v>40.171488474969046</v>
      </c>
      <c r="M338" s="127">
        <f>K338+L338</f>
        <v>42.33690005165699</v>
      </c>
      <c r="N338" s="128">
        <f t="shared" si="276"/>
        <v>5.4365200708387782</v>
      </c>
      <c r="O338" s="129" t="str">
        <f t="shared" si="272"/>
        <v>OK</v>
      </c>
    </row>
    <row r="339" spans="1:15" ht="14.25" customHeight="1" x14ac:dyDescent="0.25">
      <c r="A339" s="120" t="str">
        <f>IF(N339=MIN(N321:N344),1,"")</f>
        <v/>
      </c>
      <c r="B339" s="121">
        <f>B338+1/24</f>
        <v>42322.749999999956</v>
      </c>
      <c r="C339" s="122">
        <f>DAY(B339)</f>
        <v>14</v>
      </c>
      <c r="D339" s="123">
        <v>1578.685234184815</v>
      </c>
      <c r="E339" s="124">
        <v>39.456280667274669</v>
      </c>
      <c r="F339" s="125">
        <v>12.608888623408504</v>
      </c>
      <c r="G339" s="126">
        <v>2.400648832321167</v>
      </c>
      <c r="H339" s="127">
        <f>HLOOKUP('Operational Worksheet'!E339,$B$773:$U$775,3)</f>
        <v>7.7875000000000005</v>
      </c>
      <c r="I339" s="127">
        <f t="shared" si="270"/>
        <v>1.0325047480675793</v>
      </c>
      <c r="J339" s="127">
        <f t="shared" si="271"/>
        <v>19.168693062367456</v>
      </c>
      <c r="K339" s="127">
        <f>I339*$G339</f>
        <v>2.4786813178144951</v>
      </c>
      <c r="L339" s="127">
        <f>J339*$G339</f>
        <v>46.017300617295291</v>
      </c>
      <c r="M339" s="127">
        <f>K339+L339</f>
        <v>48.495981935109789</v>
      </c>
      <c r="N339" s="128">
        <f>IF(D339&gt;0,M339/H339,"PO")</f>
        <v>6.2274134106079986</v>
      </c>
      <c r="O339" s="129" t="str">
        <f t="shared" si="272"/>
        <v>OK</v>
      </c>
    </row>
    <row r="340" spans="1:15" ht="14.25" customHeight="1" x14ac:dyDescent="0.25">
      <c r="A340" s="120" t="str">
        <f>IF(N340=MIN(N321:N344),1,"")</f>
        <v/>
      </c>
      <c r="B340" s="121">
        <f t="shared" ref="B340:B344" si="277">B339+1/24</f>
        <v>42322.791666666621</v>
      </c>
      <c r="C340" s="122">
        <f t="shared" ref="C340:C344" si="278">DAY(B340)</f>
        <v>14</v>
      </c>
      <c r="D340" s="123">
        <v>1455.6171312136382</v>
      </c>
      <c r="E340" s="124">
        <v>38.115451812744141</v>
      </c>
      <c r="F340" s="125">
        <v>12.610494840131047</v>
      </c>
      <c r="G340" s="126">
        <v>2.2217228412628174</v>
      </c>
      <c r="H340" s="127">
        <f>HLOOKUP('Operational Worksheet'!E340,$B$773:$U$775,3)</f>
        <v>8.5750000000000011</v>
      </c>
      <c r="I340" s="127">
        <f t="shared" si="270"/>
        <v>1.1197999563531984</v>
      </c>
      <c r="J340" s="127">
        <f t="shared" si="271"/>
        <v>20.791997405994081</v>
      </c>
      <c r="K340" s="127">
        <f t="shared" ref="K340:L343" si="279">I340*$G340</f>
        <v>2.4878851406750067</v>
      </c>
      <c r="L340" s="127">
        <f t="shared" si="279"/>
        <v>46.194055552374301</v>
      </c>
      <c r="M340" s="127">
        <f t="shared" ref="M340:M343" si="280">K340+L340</f>
        <v>48.681940693049306</v>
      </c>
      <c r="N340" s="128">
        <f t="shared" ref="N340:N344" si="281">IF(D340&gt;0,M340/H340,"PO")</f>
        <v>5.6771942499182861</v>
      </c>
      <c r="O340" s="129" t="str">
        <f t="shared" si="272"/>
        <v>OK</v>
      </c>
    </row>
    <row r="341" spans="1:15" ht="14.25" customHeight="1" x14ac:dyDescent="0.25">
      <c r="A341" s="120" t="str">
        <f>IF(N341=MIN(N321:N344),1,"")</f>
        <v/>
      </c>
      <c r="B341" s="121">
        <f t="shared" si="277"/>
        <v>42322.833333333285</v>
      </c>
      <c r="C341" s="122">
        <f t="shared" si="278"/>
        <v>14</v>
      </c>
      <c r="D341" s="123">
        <v>1444.3455738394052</v>
      </c>
      <c r="E341" s="124">
        <v>38.115451812744141</v>
      </c>
      <c r="F341" s="125">
        <v>12.60894983998784</v>
      </c>
      <c r="G341" s="126">
        <v>2.2217228412628174</v>
      </c>
      <c r="H341" s="127">
        <f>HLOOKUP('Operational Worksheet'!E341,$B$773:$U$775,3)</f>
        <v>8.5750000000000011</v>
      </c>
      <c r="I341" s="127">
        <f t="shared" si="270"/>
        <v>1.1285387856779194</v>
      </c>
      <c r="J341" s="127">
        <f t="shared" si="271"/>
        <v>20.95168923842013</v>
      </c>
      <c r="K341" s="127">
        <f t="shared" si="279"/>
        <v>2.5073003973916368</v>
      </c>
      <c r="L341" s="127">
        <f t="shared" si="279"/>
        <v>46.548846544038362</v>
      </c>
      <c r="M341" s="127">
        <f t="shared" si="280"/>
        <v>49.056146941430001</v>
      </c>
      <c r="N341" s="128">
        <f t="shared" si="281"/>
        <v>5.720833462557434</v>
      </c>
      <c r="O341" s="129" t="str">
        <f t="shared" si="272"/>
        <v>OK</v>
      </c>
    </row>
    <row r="342" spans="1:15" ht="14.25" customHeight="1" x14ac:dyDescent="0.25">
      <c r="A342" s="120" t="str">
        <f>IF(N342=MIN(N321:N344),1,"")</f>
        <v/>
      </c>
      <c r="B342" s="121">
        <f t="shared" si="277"/>
        <v>42322.874999999949</v>
      </c>
      <c r="C342" s="122">
        <f t="shared" si="278"/>
        <v>14</v>
      </c>
      <c r="D342" s="123">
        <v>1428.5147707170916</v>
      </c>
      <c r="E342" s="124">
        <v>38.115451812744141</v>
      </c>
      <c r="F342" s="125">
        <v>12.609766832390129</v>
      </c>
      <c r="G342" s="126">
        <v>2.2217228412628174</v>
      </c>
      <c r="H342" s="127">
        <f>HLOOKUP('Operational Worksheet'!E342,$B$773:$U$775,3)</f>
        <v>8.5750000000000011</v>
      </c>
      <c r="I342" s="127">
        <f t="shared" si="270"/>
        <v>1.141045254423072</v>
      </c>
      <c r="J342" s="127">
        <f t="shared" si="271"/>
        <v>21.18524849592178</v>
      </c>
      <c r="K342" s="127">
        <f t="shared" si="279"/>
        <v>2.5350863046662822</v>
      </c>
      <c r="L342" s="127">
        <f t="shared" si="279"/>
        <v>47.067750481218162</v>
      </c>
      <c r="M342" s="127">
        <f t="shared" si="280"/>
        <v>49.602836785884442</v>
      </c>
      <c r="N342" s="128">
        <f t="shared" si="281"/>
        <v>5.7845873802780687</v>
      </c>
      <c r="O342" s="129" t="str">
        <f t="shared" si="272"/>
        <v>OK</v>
      </c>
    </row>
    <row r="343" spans="1:15" ht="14.25" customHeight="1" x14ac:dyDescent="0.25">
      <c r="A343" s="120" t="str">
        <f>IF(N343=MIN(N321:N344),1,"")</f>
        <v/>
      </c>
      <c r="B343" s="121">
        <f t="shared" si="277"/>
        <v>42322.916666666613</v>
      </c>
      <c r="C343" s="122">
        <f t="shared" si="278"/>
        <v>14</v>
      </c>
      <c r="D343" s="123">
        <v>1435.7512207202933</v>
      </c>
      <c r="E343" s="124">
        <v>39.992243748252761</v>
      </c>
      <c r="F343" s="125">
        <v>12.609998756415216</v>
      </c>
      <c r="G343" s="126">
        <v>2.2217228412628174</v>
      </c>
      <c r="H343" s="127">
        <f>HLOOKUP('Operational Worksheet'!E343,$B$773:$U$775,3)</f>
        <v>7.7875000000000005</v>
      </c>
      <c r="I343" s="127">
        <f t="shared" si="270"/>
        <v>1.1352941766486921</v>
      </c>
      <c r="J343" s="127">
        <f t="shared" si="271"/>
        <v>21.078858634167528</v>
      </c>
      <c r="K343" s="127">
        <f t="shared" si="279"/>
        <v>2.5223090038130631</v>
      </c>
      <c r="L343" s="127">
        <f t="shared" si="279"/>
        <v>46.831381695279951</v>
      </c>
      <c r="M343" s="127">
        <f t="shared" si="280"/>
        <v>49.353690699093015</v>
      </c>
      <c r="N343" s="128">
        <f t="shared" si="281"/>
        <v>6.3375525777326498</v>
      </c>
      <c r="O343" s="129" t="str">
        <f t="shared" si="272"/>
        <v>OK</v>
      </c>
    </row>
    <row r="344" spans="1:15" ht="14.25" customHeight="1" x14ac:dyDescent="0.25">
      <c r="A344" s="130" t="str">
        <f>IF(N344=MIN(N321:N344),1,"")</f>
        <v/>
      </c>
      <c r="B344" s="131">
        <f t="shared" si="277"/>
        <v>42322.958333333278</v>
      </c>
      <c r="C344" s="132">
        <f t="shared" si="278"/>
        <v>14</v>
      </c>
      <c r="D344" s="123">
        <v>1442.8604797300018</v>
      </c>
      <c r="E344" s="124">
        <v>40.016338348388672</v>
      </c>
      <c r="F344" s="125">
        <v>12.602634363200004</v>
      </c>
      <c r="G344" s="126">
        <v>2.4622888565063477</v>
      </c>
      <c r="H344" s="133">
        <f>HLOOKUP('Operational Worksheet'!E344,$B$773:$U$775,3)</f>
        <v>7.7875000000000005</v>
      </c>
      <c r="I344" s="134">
        <f t="shared" si="270"/>
        <v>1.1297003576569074</v>
      </c>
      <c r="J344" s="133">
        <f t="shared" si="271"/>
        <v>20.962749272431324</v>
      </c>
      <c r="K344" s="133">
        <f>I344*$G344</f>
        <v>2.7816486018498385</v>
      </c>
      <c r="L344" s="133">
        <f>J344*$G344</f>
        <v>51.616343935244196</v>
      </c>
      <c r="M344" s="133">
        <f>K344+L344</f>
        <v>54.397992537094034</v>
      </c>
      <c r="N344" s="134">
        <f t="shared" si="281"/>
        <v>6.9852959919221869</v>
      </c>
      <c r="O344" s="135" t="str">
        <f t="shared" si="272"/>
        <v>OK</v>
      </c>
    </row>
    <row r="345" spans="1:15" ht="14.25" customHeight="1" x14ac:dyDescent="0.25">
      <c r="A345" s="110" t="str">
        <f>IF(N345=MIN(N345:N368),1,"")</f>
        <v/>
      </c>
      <c r="B345" s="111">
        <f>'[1]Turbidity Daily Data Sheet'!B30</f>
        <v>42323</v>
      </c>
      <c r="C345" s="112">
        <f>DAY(B345)</f>
        <v>15</v>
      </c>
      <c r="D345" s="123">
        <v>1440.3101544445994</v>
      </c>
      <c r="E345" s="124">
        <v>40.016338348388672</v>
      </c>
      <c r="F345" s="125">
        <v>12.60326200376023</v>
      </c>
      <c r="G345" s="126">
        <v>2.4622888565063477</v>
      </c>
      <c r="H345" s="117">
        <f>HLOOKUP('Operational Worksheet'!E345,$B$773:$U$775,3)</f>
        <v>7.7875000000000005</v>
      </c>
      <c r="I345" s="117">
        <f t="shared" si="270"/>
        <v>1.1317006930556197</v>
      </c>
      <c r="J345" s="117">
        <f t="shared" si="271"/>
        <v>21.000913390552654</v>
      </c>
      <c r="K345" s="117">
        <f>I345*$G345</f>
        <v>2.7865740054113628</v>
      </c>
      <c r="L345" s="117">
        <f>J345*$G345</f>
        <v>51.710315018012736</v>
      </c>
      <c r="M345" s="117">
        <f>K345+L345</f>
        <v>54.496889023424096</v>
      </c>
      <c r="N345" s="118">
        <f>IF(D345&gt;0,M345/H345,"PO")</f>
        <v>6.9979953802149719</v>
      </c>
      <c r="O345" s="119" t="str">
        <f t="shared" si="272"/>
        <v>OK</v>
      </c>
    </row>
    <row r="346" spans="1:15" ht="14.25" customHeight="1" x14ac:dyDescent="0.25">
      <c r="A346" s="120" t="str">
        <f>IF(N346=MIN(N345:N368),1,"")</f>
        <v/>
      </c>
      <c r="B346" s="121">
        <f>B345+1/24</f>
        <v>42323.041666666664</v>
      </c>
      <c r="C346" s="122">
        <f>DAY(B346)</f>
        <v>15</v>
      </c>
      <c r="D346" s="123">
        <v>1446.9320393999017</v>
      </c>
      <c r="E346" s="124">
        <v>40.016338348388672</v>
      </c>
      <c r="F346" s="125">
        <v>12.60140042842464</v>
      </c>
      <c r="G346" s="126">
        <v>2.4622888565063477</v>
      </c>
      <c r="H346" s="127">
        <f>HLOOKUP('Operational Worksheet'!E346,$B$773:$U$775,3)</f>
        <v>7.7875000000000005</v>
      </c>
      <c r="I346" s="127">
        <f t="shared" si="270"/>
        <v>1.1265214644607797</v>
      </c>
      <c r="J346" s="127">
        <f t="shared" si="271"/>
        <v>20.901714942162879</v>
      </c>
      <c r="K346" s="127">
        <f t="shared" ref="K346:L349" si="282">I346*$G346</f>
        <v>2.7738212485569895</v>
      </c>
      <c r="L346" s="127">
        <f t="shared" si="282"/>
        <v>51.466059783959878</v>
      </c>
      <c r="M346" s="127">
        <f t="shared" ref="M346:M349" si="283">K346+L346</f>
        <v>54.23988103251687</v>
      </c>
      <c r="N346" s="128">
        <f t="shared" ref="N346:N350" si="284">IF(D346&gt;0,M346/H346,"PO")</f>
        <v>6.964992748958827</v>
      </c>
      <c r="O346" s="129" t="str">
        <f t="shared" si="272"/>
        <v>OK</v>
      </c>
    </row>
    <row r="347" spans="1:15" ht="14.25" customHeight="1" x14ac:dyDescent="0.25">
      <c r="A347" s="120" t="str">
        <f>IF(N347=MIN(N345:N368),1,"")</f>
        <v/>
      </c>
      <c r="B347" s="121">
        <f t="shared" ref="B347:B362" si="285">B346+1/24</f>
        <v>42323.083333333328</v>
      </c>
      <c r="C347" s="122">
        <f t="shared" ref="C347" si="286">DAY(B347)</f>
        <v>15</v>
      </c>
      <c r="D347" s="123">
        <v>1447.2476354125263</v>
      </c>
      <c r="E347" s="124">
        <v>40.038951629860357</v>
      </c>
      <c r="F347" s="125">
        <v>12.617944990070242</v>
      </c>
      <c r="G347" s="126">
        <v>2.4622888565063477</v>
      </c>
      <c r="H347" s="127">
        <f>HLOOKUP('Operational Worksheet'!E347,$B$773:$U$775,3)</f>
        <v>7.7875000000000005</v>
      </c>
      <c r="I347" s="127">
        <f t="shared" si="270"/>
        <v>1.1262758080343187</v>
      </c>
      <c r="J347" s="127">
        <f t="shared" si="271"/>
        <v>20.924593162342003</v>
      </c>
      <c r="K347" s="127">
        <f t="shared" si="282"/>
        <v>2.7732163714755855</v>
      </c>
      <c r="L347" s="127">
        <f t="shared" si="282"/>
        <v>51.522392570563632</v>
      </c>
      <c r="M347" s="127">
        <f t="shared" si="283"/>
        <v>54.295608942039216</v>
      </c>
      <c r="N347" s="128">
        <f t="shared" si="284"/>
        <v>6.9721488208076039</v>
      </c>
      <c r="O347" s="129" t="str">
        <f t="shared" si="272"/>
        <v>OK</v>
      </c>
    </row>
    <row r="348" spans="1:15" ht="14.25" customHeight="1" x14ac:dyDescent="0.25">
      <c r="A348" s="120">
        <f>IF(N348=MIN(N345:N368),1,"")</f>
        <v>1</v>
      </c>
      <c r="B348" s="121">
        <f t="shared" si="285"/>
        <v>42323.124999999993</v>
      </c>
      <c r="C348" s="122">
        <f>DAY(B348)</f>
        <v>15</v>
      </c>
      <c r="D348" s="123">
        <v>1448.3573352116202</v>
      </c>
      <c r="E348" s="124">
        <v>40.797187805175781</v>
      </c>
      <c r="F348" s="125">
        <v>12.606917034463173</v>
      </c>
      <c r="G348" s="126">
        <v>2.3866300582885742</v>
      </c>
      <c r="H348" s="127">
        <f>HLOOKUP('Operational Worksheet'!E348,$B$773:$U$775,3)</f>
        <v>7.7875000000000005</v>
      </c>
      <c r="I348" s="127">
        <f t="shared" si="270"/>
        <v>1.1254128800762002</v>
      </c>
      <c r="J348" s="127">
        <f t="shared" si="271"/>
        <v>20.890287325600351</v>
      </c>
      <c r="K348" s="127">
        <f t="shared" si="282"/>
        <v>2.6859442075749738</v>
      </c>
      <c r="L348" s="127">
        <f t="shared" si="282"/>
        <v>49.857387657562626</v>
      </c>
      <c r="M348" s="127">
        <f t="shared" si="283"/>
        <v>52.543331865137603</v>
      </c>
      <c r="N348" s="128">
        <f t="shared" si="284"/>
        <v>6.747137318155711</v>
      </c>
      <c r="O348" s="129" t="str">
        <f t="shared" si="272"/>
        <v>OK</v>
      </c>
    </row>
    <row r="349" spans="1:15" ht="14.25" customHeight="1" x14ac:dyDescent="0.25">
      <c r="A349" s="120" t="str">
        <f>IF(N349=MIN(N345:N368),1,"")</f>
        <v/>
      </c>
      <c r="B349" s="121">
        <f t="shared" si="285"/>
        <v>42323.166666666657</v>
      </c>
      <c r="C349" s="122">
        <f t="shared" ref="C349:C350" si="287">DAY(B349)</f>
        <v>15</v>
      </c>
      <c r="D349" s="123">
        <v>1446.4813122923017</v>
      </c>
      <c r="E349" s="124">
        <v>40.797187805175781</v>
      </c>
      <c r="F349" s="125">
        <v>12.606967301078527</v>
      </c>
      <c r="G349" s="126">
        <v>2.3866300582885742</v>
      </c>
      <c r="H349" s="127">
        <f>HLOOKUP('Operational Worksheet'!E349,$B$773:$U$775,3)</f>
        <v>7.7875000000000005</v>
      </c>
      <c r="I349" s="127">
        <f t="shared" si="270"/>
        <v>1.1268724912988113</v>
      </c>
      <c r="J349" s="127">
        <f t="shared" si="271"/>
        <v>20.917464515762962</v>
      </c>
      <c r="K349" s="127">
        <f t="shared" si="282"/>
        <v>2.6894277595922729</v>
      </c>
      <c r="L349" s="127">
        <f t="shared" si="282"/>
        <v>49.922249556504539</v>
      </c>
      <c r="M349" s="127">
        <f t="shared" si="283"/>
        <v>52.611677316096809</v>
      </c>
      <c r="N349" s="128">
        <f t="shared" si="284"/>
        <v>6.7559136200445336</v>
      </c>
      <c r="O349" s="129" t="str">
        <f t="shared" si="272"/>
        <v>OK</v>
      </c>
    </row>
    <row r="350" spans="1:15" ht="14.25" customHeight="1" x14ac:dyDescent="0.25">
      <c r="A350" s="120" t="str">
        <f>IF(N350=MIN(N345:N368),1,"")</f>
        <v/>
      </c>
      <c r="B350" s="121">
        <f t="shared" si="285"/>
        <v>42323.208333333321</v>
      </c>
      <c r="C350" s="122">
        <f t="shared" si="287"/>
        <v>15</v>
      </c>
      <c r="D350" s="123">
        <v>1444.5799437204582</v>
      </c>
      <c r="E350" s="124">
        <v>40.797187805175781</v>
      </c>
      <c r="F350" s="125">
        <v>12.614627768501014</v>
      </c>
      <c r="G350" s="126">
        <v>2.3866300582885742</v>
      </c>
      <c r="H350" s="127">
        <f>HLOOKUP('Operational Worksheet'!E350,$B$773:$U$775,3)</f>
        <v>7.7875000000000005</v>
      </c>
      <c r="I350" s="128">
        <f t="shared" si="270"/>
        <v>1.1283556905836585</v>
      </c>
      <c r="J350" s="127">
        <f t="shared" si="271"/>
        <v>20.957723230207737</v>
      </c>
      <c r="K350" s="127">
        <f>I350*$G350</f>
        <v>2.6929676075879212</v>
      </c>
      <c r="L350" s="127">
        <f>J350*$G350</f>
        <v>50.018332214506501</v>
      </c>
      <c r="M350" s="127">
        <f>K350+L350</f>
        <v>52.711299822094425</v>
      </c>
      <c r="N350" s="128">
        <f t="shared" si="284"/>
        <v>6.768706237187085</v>
      </c>
      <c r="O350" s="129" t="str">
        <f t="shared" si="272"/>
        <v>OK</v>
      </c>
    </row>
    <row r="351" spans="1:15" ht="14.25" customHeight="1" x14ac:dyDescent="0.25">
      <c r="A351" s="120" t="str">
        <f>IF(N351=MIN(N345:N368),1,"")</f>
        <v/>
      </c>
      <c r="B351" s="121">
        <f t="shared" si="285"/>
        <v>42323.249999999985</v>
      </c>
      <c r="C351" s="122">
        <f>DAY(B351)</f>
        <v>15</v>
      </c>
      <c r="D351" s="123">
        <v>1444.0109352394811</v>
      </c>
      <c r="E351" s="124">
        <v>40.797187805175781</v>
      </c>
      <c r="F351" s="125">
        <v>12.61031063326244</v>
      </c>
      <c r="G351" s="126">
        <v>2.3866300582885742</v>
      </c>
      <c r="H351" s="127">
        <f>HLOOKUP('Operational Worksheet'!E351,$B$773:$U$775,3)</f>
        <v>7.7875000000000005</v>
      </c>
      <c r="I351" s="127">
        <f t="shared" si="270"/>
        <v>1.1288003159959961</v>
      </c>
      <c r="J351" s="127">
        <f t="shared" si="271"/>
        <v>20.958806322897143</v>
      </c>
      <c r="K351" s="127">
        <f>I351*$G351</f>
        <v>2.6940287639616849</v>
      </c>
      <c r="L351" s="127">
        <f>J351*$G351</f>
        <v>50.020917156074944</v>
      </c>
      <c r="M351" s="127">
        <f>K351+L351</f>
        <v>52.714945920036627</v>
      </c>
      <c r="N351" s="128">
        <f>IF(D351&gt;0,M351/H351,"PO")</f>
        <v>6.7691744359597585</v>
      </c>
      <c r="O351" s="129" t="str">
        <f t="shared" si="272"/>
        <v>OK</v>
      </c>
    </row>
    <row r="352" spans="1:15" ht="14.25" customHeight="1" x14ac:dyDescent="0.25">
      <c r="A352" s="120" t="str">
        <f>IF(N352=MIN(N345:N368),1,"")</f>
        <v/>
      </c>
      <c r="B352" s="121">
        <f t="shared" si="285"/>
        <v>42323.29166666665</v>
      </c>
      <c r="C352" s="122">
        <f t="shared" ref="C352:C356" si="288">DAY(B352)</f>
        <v>15</v>
      </c>
      <c r="D352" s="123">
        <v>1442.7086218004008</v>
      </c>
      <c r="E352" s="124">
        <v>41.113148884367654</v>
      </c>
      <c r="F352" s="125">
        <v>12.599302833042522</v>
      </c>
      <c r="G352" s="126">
        <v>2.3866300582885742</v>
      </c>
      <c r="H352" s="127">
        <f>HLOOKUP('Operational Worksheet'!E352,$B$773:$U$775,3)</f>
        <v>7</v>
      </c>
      <c r="I352" s="127">
        <f t="shared" si="270"/>
        <v>1.1298192686794042</v>
      </c>
      <c r="J352" s="127">
        <f t="shared" si="271"/>
        <v>20.959413662868879</v>
      </c>
      <c r="K352" s="127">
        <f t="shared" ref="K352:L355" si="289">I352*$G352</f>
        <v>2.6964606270638809</v>
      </c>
      <c r="L352" s="127">
        <f t="shared" si="289"/>
        <v>50.022366651907092</v>
      </c>
      <c r="M352" s="127">
        <f t="shared" ref="M352:M355" si="290">K352+L352</f>
        <v>52.71882727897097</v>
      </c>
      <c r="N352" s="128">
        <f t="shared" ref="N352:N356" si="291">IF(D352&gt;0,M352/H352,"PO")</f>
        <v>7.5312610398529953</v>
      </c>
      <c r="O352" s="129" t="str">
        <f t="shared" si="272"/>
        <v>OK</v>
      </c>
    </row>
    <row r="353" spans="1:15" ht="14.25" customHeight="1" x14ac:dyDescent="0.25">
      <c r="A353" s="120" t="str">
        <f>IF(N353=MIN(N345:N368),1,"")</f>
        <v/>
      </c>
      <c r="B353" s="121">
        <f t="shared" si="285"/>
        <v>42323.333333333314</v>
      </c>
      <c r="C353" s="122">
        <f t="shared" si="288"/>
        <v>15</v>
      </c>
      <c r="D353" s="123">
        <v>1441.5494020532997</v>
      </c>
      <c r="E353" s="124">
        <v>42.348281860351563</v>
      </c>
      <c r="F353" s="125">
        <v>12.601504909071044</v>
      </c>
      <c r="G353" s="126">
        <v>2.4486980438232422</v>
      </c>
      <c r="H353" s="127">
        <f>HLOOKUP('Operational Worksheet'!E353,$B$773:$U$775,3)</f>
        <v>7</v>
      </c>
      <c r="I353" s="127">
        <f t="shared" si="270"/>
        <v>1.1307278111164814</v>
      </c>
      <c r="J353" s="127">
        <f t="shared" si="271"/>
        <v>20.97993432531165</v>
      </c>
      <c r="K353" s="127">
        <f t="shared" si="289"/>
        <v>2.7688109791774642</v>
      </c>
      <c r="L353" s="127">
        <f t="shared" si="289"/>
        <v>51.37352414193073</v>
      </c>
      <c r="M353" s="127">
        <f t="shared" si="290"/>
        <v>54.142335121108196</v>
      </c>
      <c r="N353" s="128">
        <f t="shared" si="291"/>
        <v>7.7346193030154566</v>
      </c>
      <c r="O353" s="129" t="str">
        <f t="shared" si="272"/>
        <v>OK</v>
      </c>
    </row>
    <row r="354" spans="1:15" ht="14.25" customHeight="1" x14ac:dyDescent="0.25">
      <c r="A354" s="120" t="str">
        <f>IF(N354=MIN(N345:N368),1,"")</f>
        <v/>
      </c>
      <c r="B354" s="121">
        <f t="shared" si="285"/>
        <v>42323.374999999978</v>
      </c>
      <c r="C354" s="122">
        <f t="shared" si="288"/>
        <v>15</v>
      </c>
      <c r="D354" s="123">
        <v>1446.2768662003341</v>
      </c>
      <c r="E354" s="124">
        <v>42.348281860351563</v>
      </c>
      <c r="F354" s="125">
        <v>12.607827616422046</v>
      </c>
      <c r="G354" s="126">
        <v>2.3043370246887207</v>
      </c>
      <c r="H354" s="127">
        <f>HLOOKUP('Operational Worksheet'!E354,$B$773:$U$775,3)</f>
        <v>7</v>
      </c>
      <c r="I354" s="127">
        <f t="shared" si="270"/>
        <v>1.127031786301294</v>
      </c>
      <c r="J354" s="127">
        <f t="shared" si="271"/>
        <v>20.921849050181482</v>
      </c>
      <c r="K354" s="127">
        <f t="shared" si="289"/>
        <v>2.597061073175138</v>
      </c>
      <c r="L354" s="127">
        <f t="shared" si="289"/>
        <v>48.210991391281731</v>
      </c>
      <c r="M354" s="127">
        <f t="shared" si="290"/>
        <v>50.808052464456871</v>
      </c>
      <c r="N354" s="128">
        <f t="shared" si="291"/>
        <v>7.2582932092081247</v>
      </c>
      <c r="O354" s="129" t="str">
        <f t="shared" si="272"/>
        <v>OK</v>
      </c>
    </row>
    <row r="355" spans="1:15" ht="14.25" customHeight="1" x14ac:dyDescent="0.25">
      <c r="A355" s="120" t="str">
        <f>IF(N355=MIN(N345:N368),1,"")</f>
        <v/>
      </c>
      <c r="B355" s="121">
        <f t="shared" si="285"/>
        <v>42323.416666666642</v>
      </c>
      <c r="C355" s="122">
        <f t="shared" si="288"/>
        <v>15</v>
      </c>
      <c r="D355" s="123">
        <v>1445.9237420410593</v>
      </c>
      <c r="E355" s="124">
        <v>42.348281860351563</v>
      </c>
      <c r="F355" s="125">
        <v>12.605741541369584</v>
      </c>
      <c r="G355" s="126">
        <v>2.3043370246887207</v>
      </c>
      <c r="H355" s="127">
        <f>HLOOKUP('Operational Worksheet'!E355,$B$773:$U$775,3)</f>
        <v>7</v>
      </c>
      <c r="I355" s="127">
        <f t="shared" si="270"/>
        <v>1.1273070305209176</v>
      </c>
      <c r="J355" s="127">
        <f t="shared" si="271"/>
        <v>20.923496045912422</v>
      </c>
      <c r="K355" s="127">
        <f t="shared" si="289"/>
        <v>2.5976953286212483</v>
      </c>
      <c r="L355" s="127">
        <f t="shared" si="289"/>
        <v>48.214786624524045</v>
      </c>
      <c r="M355" s="127">
        <f t="shared" si="290"/>
        <v>50.812481953145294</v>
      </c>
      <c r="N355" s="128">
        <f t="shared" si="291"/>
        <v>7.2589259933064705</v>
      </c>
      <c r="O355" s="129" t="str">
        <f t="shared" si="272"/>
        <v>OK</v>
      </c>
    </row>
    <row r="356" spans="1:15" ht="14.25" customHeight="1" x14ac:dyDescent="0.25">
      <c r="A356" s="120" t="str">
        <f>IF(N356=MIN(N345:N368),1,"")</f>
        <v/>
      </c>
      <c r="B356" s="121">
        <f t="shared" si="285"/>
        <v>42323.458333333307</v>
      </c>
      <c r="C356" s="122">
        <f t="shared" si="288"/>
        <v>15</v>
      </c>
      <c r="D356" s="123">
        <v>1444.5533201803166</v>
      </c>
      <c r="E356" s="124">
        <v>42.348281860351563</v>
      </c>
      <c r="F356" s="125">
        <v>12.595021846151589</v>
      </c>
      <c r="G356" s="126">
        <v>2.3043370246887207</v>
      </c>
      <c r="H356" s="127">
        <f>HLOOKUP('Operational Worksheet'!E356,$B$773:$U$775,3)</f>
        <v>7</v>
      </c>
      <c r="I356" s="128">
        <f t="shared" si="270"/>
        <v>1.1283764865090165</v>
      </c>
      <c r="J356" s="127">
        <f t="shared" si="271"/>
        <v>20.9255359483654</v>
      </c>
      <c r="K356" s="127">
        <f>I356*$G356</f>
        <v>2.6001597156508995</v>
      </c>
      <c r="L356" s="127">
        <f>J356*$G356</f>
        <v>48.219487247273193</v>
      </c>
      <c r="M356" s="127">
        <f>K356+L356</f>
        <v>50.819646962924089</v>
      </c>
      <c r="N356" s="128">
        <f t="shared" si="291"/>
        <v>7.259949566132013</v>
      </c>
      <c r="O356" s="129" t="str">
        <f t="shared" si="272"/>
        <v>OK</v>
      </c>
    </row>
    <row r="357" spans="1:15" ht="14.25" customHeight="1" x14ac:dyDescent="0.25">
      <c r="A357" s="120" t="str">
        <f>IF(N357=MIN(N345:N368),1,"")</f>
        <v/>
      </c>
      <c r="B357" s="121">
        <f t="shared" si="285"/>
        <v>42323.499999999971</v>
      </c>
      <c r="C357" s="122">
        <f>DAY(B357)</f>
        <v>15</v>
      </c>
      <c r="D357" s="123">
        <v>1453.3749245241747</v>
      </c>
      <c r="E357" s="124">
        <v>42.348281860351563</v>
      </c>
      <c r="F357" s="125">
        <v>12.604192156127869</v>
      </c>
      <c r="G357" s="126">
        <v>2.3043370246887207</v>
      </c>
      <c r="H357" s="127">
        <f>HLOOKUP('Operational Worksheet'!E357,$B$773:$U$775,3)</f>
        <v>7</v>
      </c>
      <c r="I357" s="127">
        <f t="shared" si="270"/>
        <v>1.1215275373858891</v>
      </c>
      <c r="J357" s="127">
        <f t="shared" si="271"/>
        <v>20.813666634994785</v>
      </c>
      <c r="K357" s="127">
        <f>I357*$G357</f>
        <v>2.5843774286062677</v>
      </c>
      <c r="L357" s="127">
        <f>J357*$G357</f>
        <v>47.961702646546783</v>
      </c>
      <c r="M357" s="127">
        <f>K357+L357</f>
        <v>50.54608007515305</v>
      </c>
      <c r="N357" s="128">
        <f>IF(D357&gt;0,M357/H357,"PO")</f>
        <v>7.2208685821647212</v>
      </c>
      <c r="O357" s="129" t="str">
        <f t="shared" si="272"/>
        <v>OK</v>
      </c>
    </row>
    <row r="358" spans="1:15" ht="14.25" customHeight="1" x14ac:dyDescent="0.25">
      <c r="A358" s="120" t="str">
        <f>IF(N358=MIN(N345:N368),1,"")</f>
        <v/>
      </c>
      <c r="B358" s="121">
        <f t="shared" si="285"/>
        <v>42323.541666666635</v>
      </c>
      <c r="C358" s="122">
        <f t="shared" ref="C358:C362" si="292">DAY(B358)</f>
        <v>15</v>
      </c>
      <c r="D358" s="123">
        <v>1444.6138187597828</v>
      </c>
      <c r="E358" s="124">
        <v>42.348281860351563</v>
      </c>
      <c r="F358" s="125">
        <v>12.596345516199376</v>
      </c>
      <c r="G358" s="126">
        <v>2.3043370246887207</v>
      </c>
      <c r="H358" s="127">
        <f>HLOOKUP('Operational Worksheet'!E358,$B$773:$U$775,3)</f>
        <v>7</v>
      </c>
      <c r="I358" s="127">
        <f t="shared" si="270"/>
        <v>1.1283292315446445</v>
      </c>
      <c r="J358" s="127">
        <f t="shared" si="271"/>
        <v>20.926858684511512</v>
      </c>
      <c r="K358" s="127">
        <f t="shared" ref="K358:L361" si="293">I358*$G358</f>
        <v>2.6000508242868965</v>
      </c>
      <c r="L358" s="127">
        <f t="shared" si="293"/>
        <v>48.222535277148573</v>
      </c>
      <c r="M358" s="127">
        <f t="shared" ref="M358:M361" si="294">K358+L358</f>
        <v>50.822586101435469</v>
      </c>
      <c r="N358" s="128">
        <f t="shared" ref="N358:N362" si="295">IF(D358&gt;0,M358/H358,"PO")</f>
        <v>7.2603694430622099</v>
      </c>
      <c r="O358" s="129" t="str">
        <f t="shared" si="272"/>
        <v>OK</v>
      </c>
    </row>
    <row r="359" spans="1:15" ht="14.25" customHeight="1" x14ac:dyDescent="0.25">
      <c r="A359" s="120" t="str">
        <f>IF(N359=MIN(N345:N368),1,"")</f>
        <v/>
      </c>
      <c r="B359" s="121">
        <f t="shared" si="285"/>
        <v>42323.583333333299</v>
      </c>
      <c r="C359" s="122">
        <f t="shared" si="292"/>
        <v>15</v>
      </c>
      <c r="D359" s="123">
        <v>1446.7163259847034</v>
      </c>
      <c r="E359" s="124">
        <v>42.348281860351563</v>
      </c>
      <c r="F359" s="125">
        <v>12.602688743226167</v>
      </c>
      <c r="G359" s="126">
        <v>2.3043370246887207</v>
      </c>
      <c r="H359" s="127">
        <f>HLOOKUP('Operational Worksheet'!E359,$B$773:$U$775,3)</f>
        <v>7</v>
      </c>
      <c r="I359" s="127">
        <f t="shared" si="270"/>
        <v>1.1266894350490895</v>
      </c>
      <c r="J359" s="127">
        <f t="shared" si="271"/>
        <v>20.906968726682226</v>
      </c>
      <c r="K359" s="127">
        <f t="shared" si="293"/>
        <v>2.5962721805092346</v>
      </c>
      <c r="L359" s="127">
        <f t="shared" si="293"/>
        <v>48.176702110903051</v>
      </c>
      <c r="M359" s="127">
        <f t="shared" si="294"/>
        <v>50.772974291412282</v>
      </c>
      <c r="N359" s="128">
        <f t="shared" si="295"/>
        <v>7.2532820416303263</v>
      </c>
      <c r="O359" s="129" t="str">
        <f t="shared" si="272"/>
        <v>OK</v>
      </c>
    </row>
    <row r="360" spans="1:15" ht="14.25" customHeight="1" x14ac:dyDescent="0.25">
      <c r="A360" s="120" t="str">
        <f>IF(N360=MIN(N345:N368),1,"")</f>
        <v/>
      </c>
      <c r="B360" s="121">
        <f t="shared" si="285"/>
        <v>42323.624999999964</v>
      </c>
      <c r="C360" s="122">
        <f t="shared" si="292"/>
        <v>15</v>
      </c>
      <c r="D360" s="123">
        <v>1439.4648782649895</v>
      </c>
      <c r="E360" s="124">
        <v>42.13730226079624</v>
      </c>
      <c r="F360" s="125">
        <v>12.611111549809296</v>
      </c>
      <c r="G360" s="126">
        <v>2.4694585800170898</v>
      </c>
      <c r="H360" s="127">
        <f>HLOOKUP('Operational Worksheet'!E360,$B$773:$U$775,3)</f>
        <v>7</v>
      </c>
      <c r="I360" s="127">
        <f t="shared" si="270"/>
        <v>1.1323652453157911</v>
      </c>
      <c r="J360" s="127">
        <f t="shared" si="271"/>
        <v>21.026332893945433</v>
      </c>
      <c r="K360" s="127">
        <f t="shared" si="293"/>
        <v>2.7963290707582371</v>
      </c>
      <c r="L360" s="127">
        <f t="shared" si="293"/>
        <v>51.923658171249116</v>
      </c>
      <c r="M360" s="127">
        <f t="shared" si="294"/>
        <v>54.719987242007356</v>
      </c>
      <c r="N360" s="128">
        <f t="shared" si="295"/>
        <v>7.8171410345724794</v>
      </c>
      <c r="O360" s="129" t="str">
        <f t="shared" si="272"/>
        <v>OK</v>
      </c>
    </row>
    <row r="361" spans="1:15" ht="14.25" customHeight="1" x14ac:dyDescent="0.25">
      <c r="A361" s="120" t="str">
        <f>IF(N361=MIN(N345:N368),1,"")</f>
        <v/>
      </c>
      <c r="B361" s="121">
        <f t="shared" si="285"/>
        <v>42323.666666666628</v>
      </c>
      <c r="C361" s="122">
        <f t="shared" si="292"/>
        <v>15</v>
      </c>
      <c r="D361" s="123">
        <v>1446.3298229607983</v>
      </c>
      <c r="E361" s="124">
        <v>41.411972045898438</v>
      </c>
      <c r="F361" s="125">
        <v>12.606096030790916</v>
      </c>
      <c r="G361" s="126">
        <v>2.4694585800170898</v>
      </c>
      <c r="H361" s="127">
        <f>HLOOKUP('Operational Worksheet'!E361,$B$773:$U$775,3)</f>
        <v>7</v>
      </c>
      <c r="I361" s="127">
        <f t="shared" si="270"/>
        <v>1.126990520504658</v>
      </c>
      <c r="J361" s="127">
        <f t="shared" si="271"/>
        <v>20.918209659788108</v>
      </c>
      <c r="K361" s="127">
        <f t="shared" si="293"/>
        <v>2.7830564104581539</v>
      </c>
      <c r="L361" s="127">
        <f t="shared" si="293"/>
        <v>51.656652322960113</v>
      </c>
      <c r="M361" s="127">
        <f t="shared" si="294"/>
        <v>54.439708733418264</v>
      </c>
      <c r="N361" s="128">
        <f t="shared" si="295"/>
        <v>7.7771012476311805</v>
      </c>
      <c r="O361" s="129" t="str">
        <f t="shared" si="272"/>
        <v>OK</v>
      </c>
    </row>
    <row r="362" spans="1:15" ht="14.25" customHeight="1" x14ac:dyDescent="0.25">
      <c r="A362" s="120" t="str">
        <f>IF(N362=MIN(N345:N368),1,"")</f>
        <v/>
      </c>
      <c r="B362" s="121">
        <f t="shared" si="285"/>
        <v>42323.708333333292</v>
      </c>
      <c r="C362" s="122">
        <f t="shared" si="292"/>
        <v>15</v>
      </c>
      <c r="D362" s="123">
        <v>1453.4707373642791</v>
      </c>
      <c r="E362" s="124">
        <v>41.411972045898438</v>
      </c>
      <c r="F362" s="125">
        <v>12.60757160642625</v>
      </c>
      <c r="G362" s="126">
        <v>2.4694585800170898</v>
      </c>
      <c r="H362" s="127">
        <f>HLOOKUP('Operational Worksheet'!E362,$B$773:$U$775,3)</f>
        <v>7</v>
      </c>
      <c r="I362" s="128">
        <f t="shared" si="270"/>
        <v>1.12145360625274</v>
      </c>
      <c r="J362" s="127">
        <f t="shared" si="271"/>
        <v>20.817874813422875</v>
      </c>
      <c r="K362" s="127">
        <f>I362*$G362</f>
        <v>2.7693832300519361</v>
      </c>
      <c r="L362" s="127">
        <f>J362*$G362</f>
        <v>51.40887957572879</v>
      </c>
      <c r="M362" s="127">
        <f>K362+L362</f>
        <v>54.178262805780726</v>
      </c>
      <c r="N362" s="128">
        <f t="shared" si="295"/>
        <v>7.7397518293972469</v>
      </c>
      <c r="O362" s="129" t="str">
        <f t="shared" si="272"/>
        <v>OK</v>
      </c>
    </row>
    <row r="363" spans="1:15" ht="14.25" customHeight="1" x14ac:dyDescent="0.25">
      <c r="A363" s="120" t="str">
        <f>IF(N363=MIN(N345:N368),1,"")</f>
        <v/>
      </c>
      <c r="B363" s="121">
        <f>B362+1/24</f>
        <v>42323.749999999956</v>
      </c>
      <c r="C363" s="122">
        <f>DAY(B363)</f>
        <v>15</v>
      </c>
      <c r="D363" s="123">
        <v>1445.0689562239916</v>
      </c>
      <c r="E363" s="124">
        <v>41.411972045898438</v>
      </c>
      <c r="F363" s="125">
        <v>12.595133819014114</v>
      </c>
      <c r="G363" s="126">
        <v>2.3591279983520508</v>
      </c>
      <c r="H363" s="127">
        <f>HLOOKUP('Operational Worksheet'!E363,$B$773:$U$775,3)</f>
        <v>7</v>
      </c>
      <c r="I363" s="127">
        <f t="shared" si="270"/>
        <v>1.1279738541053701</v>
      </c>
      <c r="J363" s="127">
        <f t="shared" si="271"/>
        <v>20.91825517075765</v>
      </c>
      <c r="K363" s="127">
        <f>I363*$G363</f>
        <v>2.6610347006290498</v>
      </c>
      <c r="L363" s="127">
        <f>J363*$G363</f>
        <v>49.34884145000693</v>
      </c>
      <c r="M363" s="127">
        <f>K363+L363</f>
        <v>52.009876150635982</v>
      </c>
      <c r="N363" s="128">
        <f>IF(D363&gt;0,M363/H363,"PO")</f>
        <v>7.4299823072337121</v>
      </c>
      <c r="O363" s="129" t="str">
        <f t="shared" si="272"/>
        <v>OK</v>
      </c>
    </row>
    <row r="364" spans="1:15" ht="14.25" customHeight="1" x14ac:dyDescent="0.25">
      <c r="A364" s="120" t="str">
        <f>IF(N364=MIN(N345:N368),1,"")</f>
        <v/>
      </c>
      <c r="B364" s="121">
        <f t="shared" ref="B364:B368" si="296">B363+1/24</f>
        <v>42323.791666666621</v>
      </c>
      <c r="C364" s="122">
        <f t="shared" ref="C364:C368" si="297">DAY(B364)</f>
        <v>15</v>
      </c>
      <c r="D364" s="123">
        <v>1450.6017842032002</v>
      </c>
      <c r="E364" s="124">
        <v>41.411972045898438</v>
      </c>
      <c r="F364" s="125">
        <v>12.615725707009956</v>
      </c>
      <c r="G364" s="126">
        <v>2.4348931312561035</v>
      </c>
      <c r="H364" s="127">
        <f>HLOOKUP('Operational Worksheet'!E364,$B$773:$U$775,3)</f>
        <v>7</v>
      </c>
      <c r="I364" s="127">
        <f t="shared" si="270"/>
        <v>1.123671580822811</v>
      </c>
      <c r="J364" s="127">
        <f t="shared" si="271"/>
        <v>20.872538574364935</v>
      </c>
      <c r="K364" s="127">
        <f t="shared" ref="K364:L367" si="298">I364*$G364</f>
        <v>2.7360202139331502</v>
      </c>
      <c r="L364" s="127">
        <f t="shared" si="298"/>
        <v>50.822400806599241</v>
      </c>
      <c r="M364" s="127">
        <f t="shared" ref="M364:M367" si="299">K364+L364</f>
        <v>53.558421020532393</v>
      </c>
      <c r="N364" s="128">
        <f t="shared" ref="N364:N368" si="300">IF(D364&gt;0,M364/H364,"PO")</f>
        <v>7.6512030029331992</v>
      </c>
      <c r="O364" s="129" t="str">
        <f t="shared" si="272"/>
        <v>OK</v>
      </c>
    </row>
    <row r="365" spans="1:15" ht="14.25" customHeight="1" x14ac:dyDescent="0.25">
      <c r="A365" s="120" t="str">
        <f>IF(N365=MIN(N345:N368),1,"")</f>
        <v/>
      </c>
      <c r="B365" s="121">
        <f t="shared" si="296"/>
        <v>42323.833333333285</v>
      </c>
      <c r="C365" s="122">
        <f t="shared" si="297"/>
        <v>15</v>
      </c>
      <c r="D365" s="123">
        <v>1446.2380976426391</v>
      </c>
      <c r="E365" s="124">
        <v>41.411972045898438</v>
      </c>
      <c r="F365" s="125">
        <v>12.606663512617025</v>
      </c>
      <c r="G365" s="126">
        <v>2.4348931312561035</v>
      </c>
      <c r="H365" s="127">
        <f>HLOOKUP('Operational Worksheet'!E365,$B$773:$U$775,3)</f>
        <v>7</v>
      </c>
      <c r="I365" s="127">
        <f t="shared" si="270"/>
        <v>1.1270619980602723</v>
      </c>
      <c r="J365" s="127">
        <f t="shared" si="271"/>
        <v>20.920478086974736</v>
      </c>
      <c r="K365" s="127">
        <f t="shared" si="298"/>
        <v>2.744275517576737</v>
      </c>
      <c r="L365" s="127">
        <f t="shared" si="298"/>
        <v>50.939128396568613</v>
      </c>
      <c r="M365" s="127">
        <f t="shared" si="299"/>
        <v>53.683403914145352</v>
      </c>
      <c r="N365" s="128">
        <f t="shared" si="300"/>
        <v>7.6690577020207646</v>
      </c>
      <c r="O365" s="129" t="str">
        <f t="shared" si="272"/>
        <v>OK</v>
      </c>
    </row>
    <row r="366" spans="1:15" ht="14.25" customHeight="1" x14ac:dyDescent="0.25">
      <c r="A366" s="120" t="str">
        <f>IF(N366=MIN(N345:N368),1,"")</f>
        <v/>
      </c>
      <c r="B366" s="121">
        <f t="shared" si="296"/>
        <v>42323.874999999949</v>
      </c>
      <c r="C366" s="122">
        <f t="shared" si="297"/>
        <v>15</v>
      </c>
      <c r="D366" s="123">
        <v>1456.9348279579701</v>
      </c>
      <c r="E366" s="124">
        <v>41.411972045898438</v>
      </c>
      <c r="F366" s="125">
        <v>12.598517341853448</v>
      </c>
      <c r="G366" s="126">
        <v>2.2767276763916016</v>
      </c>
      <c r="H366" s="127">
        <f>HLOOKUP('Operational Worksheet'!E366,$B$773:$U$775,3)</f>
        <v>7</v>
      </c>
      <c r="I366" s="127">
        <f t="shared" si="270"/>
        <v>1.118787174773354</v>
      </c>
      <c r="J366" s="127">
        <f t="shared" si="271"/>
        <v>20.753462021926861</v>
      </c>
      <c r="K366" s="127">
        <f t="shared" si="298"/>
        <v>2.5471737247984629</v>
      </c>
      <c r="L366" s="127">
        <f t="shared" si="298"/>
        <v>47.249981366262894</v>
      </c>
      <c r="M366" s="127">
        <f t="shared" si="299"/>
        <v>49.797155091061356</v>
      </c>
      <c r="N366" s="128">
        <f t="shared" si="300"/>
        <v>7.1138792987230506</v>
      </c>
      <c r="O366" s="129" t="str">
        <f t="shared" si="272"/>
        <v>OK</v>
      </c>
    </row>
    <row r="367" spans="1:15" ht="14.25" customHeight="1" x14ac:dyDescent="0.25">
      <c r="A367" s="120" t="str">
        <f>IF(N367=MIN(N345:N368),1,"")</f>
        <v/>
      </c>
      <c r="B367" s="121">
        <f t="shared" si="296"/>
        <v>42323.916666666613</v>
      </c>
      <c r="C367" s="122">
        <f t="shared" si="297"/>
        <v>15</v>
      </c>
      <c r="D367" s="123">
        <v>1440.1541863325901</v>
      </c>
      <c r="E367" s="124">
        <v>41.411972045898438</v>
      </c>
      <c r="F367" s="125">
        <v>12.597092759790305</v>
      </c>
      <c r="G367" s="126">
        <v>2.3729324340820313</v>
      </c>
      <c r="H367" s="127">
        <f>HLOOKUP('Operational Worksheet'!E367,$B$773:$U$775,3)</f>
        <v>7</v>
      </c>
      <c r="I367" s="127">
        <f t="shared" si="270"/>
        <v>1.1318232557798966</v>
      </c>
      <c r="J367" s="127">
        <f t="shared" si="271"/>
        <v>20.99290680846217</v>
      </c>
      <c r="K367" s="127">
        <f t="shared" si="298"/>
        <v>2.6857401132884395</v>
      </c>
      <c r="L367" s="127">
        <f t="shared" si="298"/>
        <v>49.814749451461381</v>
      </c>
      <c r="M367" s="127">
        <f t="shared" si="299"/>
        <v>52.50048956474982</v>
      </c>
      <c r="N367" s="128">
        <f t="shared" si="300"/>
        <v>7.5000699378214026</v>
      </c>
      <c r="O367" s="129" t="str">
        <f t="shared" si="272"/>
        <v>OK</v>
      </c>
    </row>
    <row r="368" spans="1:15" ht="14.25" customHeight="1" x14ac:dyDescent="0.25">
      <c r="A368" s="130" t="str">
        <f>IF(N368=MIN(N345:N368),1,"")</f>
        <v/>
      </c>
      <c r="B368" s="131">
        <f t="shared" si="296"/>
        <v>42323.958333333278</v>
      </c>
      <c r="C368" s="132">
        <f t="shared" si="297"/>
        <v>15</v>
      </c>
      <c r="D368" s="123">
        <v>1439.9044858030904</v>
      </c>
      <c r="E368" s="124">
        <v>41.025127044779651</v>
      </c>
      <c r="F368" s="125">
        <v>12.61078760644372</v>
      </c>
      <c r="G368" s="126">
        <v>2.3729324340820313</v>
      </c>
      <c r="H368" s="133">
        <f>HLOOKUP('Operational Worksheet'!E368,$B$773:$U$775,3)</f>
        <v>7</v>
      </c>
      <c r="I368" s="134">
        <f t="shared" si="270"/>
        <v>1.1320195305113492</v>
      </c>
      <c r="J368" s="133">
        <f t="shared" si="271"/>
        <v>21.019373544478174</v>
      </c>
      <c r="K368" s="133">
        <f>I368*$G368</f>
        <v>2.6862058599646939</v>
      </c>
      <c r="L368" s="133">
        <f>J368*$G368</f>
        <v>49.877553227778044</v>
      </c>
      <c r="M368" s="133">
        <f>K368+L368</f>
        <v>52.563759087742739</v>
      </c>
      <c r="N368" s="134">
        <f t="shared" si="300"/>
        <v>7.5091084411061058</v>
      </c>
      <c r="O368" s="135" t="str">
        <f t="shared" si="272"/>
        <v>OK</v>
      </c>
    </row>
    <row r="369" spans="1:15" ht="14.25" customHeight="1" x14ac:dyDescent="0.25">
      <c r="A369" s="110" t="str">
        <f>IF(N369=MIN(N369:N392),1,"")</f>
        <v/>
      </c>
      <c r="B369" s="111">
        <f>'[1]Turbidity Daily Data Sheet'!B31</f>
        <v>42324</v>
      </c>
      <c r="C369" s="112">
        <f>DAY(B369)</f>
        <v>16</v>
      </c>
      <c r="D369" s="123">
        <v>1439.731122161628</v>
      </c>
      <c r="E369" s="124">
        <v>40.04107666015625</v>
      </c>
      <c r="F369" s="125">
        <v>12.611143255032815</v>
      </c>
      <c r="G369" s="126">
        <v>2.3729324340820313</v>
      </c>
      <c r="H369" s="117">
        <f>HLOOKUP('Operational Worksheet'!E369,$B$773:$U$775,3)</f>
        <v>7.7875000000000005</v>
      </c>
      <c r="I369" s="117">
        <f t="shared" si="270"/>
        <v>1.1321558413995387</v>
      </c>
      <c r="J369" s="117">
        <f t="shared" si="271"/>
        <v>21.022497427600189</v>
      </c>
      <c r="K369" s="117">
        <f>I369*$G369</f>
        <v>2.6865293164923973</v>
      </c>
      <c r="L369" s="117">
        <f>J369*$G369</f>
        <v>49.884965991358555</v>
      </c>
      <c r="M369" s="117">
        <f>K369+L369</f>
        <v>52.571495307850952</v>
      </c>
      <c r="N369" s="118">
        <f>IF(D369&gt;0,M369/H369,"PO")</f>
        <v>6.7507538116020482</v>
      </c>
      <c r="O369" s="119" t="str">
        <f t="shared" si="272"/>
        <v>OK</v>
      </c>
    </row>
    <row r="370" spans="1:15" ht="14.25" customHeight="1" x14ac:dyDescent="0.25">
      <c r="A370" s="120" t="str">
        <f>IF(N370=MIN(N369:N392),1,"")</f>
        <v/>
      </c>
      <c r="B370" s="121">
        <f>B369+1/24</f>
        <v>42324.041666666664</v>
      </c>
      <c r="C370" s="122">
        <f>DAY(B370)</f>
        <v>16</v>
      </c>
      <c r="D370" s="123">
        <v>1438.8839427507028</v>
      </c>
      <c r="E370" s="124">
        <v>40.04107666015625</v>
      </c>
      <c r="F370" s="125">
        <v>12.597608564954525</v>
      </c>
      <c r="G370" s="126">
        <v>2.3729324340820313</v>
      </c>
      <c r="H370" s="127">
        <f>HLOOKUP('Operational Worksheet'!E370,$B$773:$U$775,3)</f>
        <v>7.7875000000000005</v>
      </c>
      <c r="I370" s="127">
        <f t="shared" si="270"/>
        <v>1.1328224268622682</v>
      </c>
      <c r="J370" s="127">
        <f t="shared" si="271"/>
        <v>21.012299642521736</v>
      </c>
      <c r="K370" s="127">
        <f t="shared" ref="K370:L373" si="301">I370*$G370</f>
        <v>2.6881110787569957</v>
      </c>
      <c r="L370" s="127">
        <f t="shared" si="301"/>
        <v>49.860767336390097</v>
      </c>
      <c r="M370" s="127">
        <f t="shared" ref="M370:M373" si="302">K370+L370</f>
        <v>52.548878415147094</v>
      </c>
      <c r="N370" s="128">
        <f t="shared" ref="N370:N374" si="303">IF(D370&gt;0,M370/H370,"PO")</f>
        <v>6.7478495557171225</v>
      </c>
      <c r="O370" s="129" t="str">
        <f t="shared" si="272"/>
        <v>OK</v>
      </c>
    </row>
    <row r="371" spans="1:15" ht="14.25" customHeight="1" x14ac:dyDescent="0.25">
      <c r="A371" s="120">
        <f>IF(N371=MIN(N369:N392),1,"")</f>
        <v>1</v>
      </c>
      <c r="B371" s="121">
        <f t="shared" ref="B371:B386" si="304">B370+1/24</f>
        <v>42324.083333333328</v>
      </c>
      <c r="C371" s="122">
        <f t="shared" ref="C371" si="305">DAY(B371)</f>
        <v>16</v>
      </c>
      <c r="D371" s="123">
        <v>1450.7091107322365</v>
      </c>
      <c r="E371" s="124">
        <v>40.04107666015625</v>
      </c>
      <c r="F371" s="125">
        <v>12.603725024458866</v>
      </c>
      <c r="G371" s="126">
        <v>2.3729324340820313</v>
      </c>
      <c r="H371" s="127">
        <f>HLOOKUP('Operational Worksheet'!E371,$B$773:$U$775,3)</f>
        <v>7.7875000000000005</v>
      </c>
      <c r="I371" s="127">
        <f t="shared" si="270"/>
        <v>1.1235884492220964</v>
      </c>
      <c r="J371" s="127">
        <f t="shared" si="271"/>
        <v>20.851140890287315</v>
      </c>
      <c r="K371" s="127">
        <f t="shared" si="301"/>
        <v>2.6661994737190442</v>
      </c>
      <c r="L371" s="127">
        <f t="shared" si="301"/>
        <v>49.47834850617685</v>
      </c>
      <c r="M371" s="127">
        <f t="shared" si="302"/>
        <v>52.144547979895897</v>
      </c>
      <c r="N371" s="128">
        <f t="shared" si="303"/>
        <v>6.6959291145933735</v>
      </c>
      <c r="O371" s="129" t="str">
        <f t="shared" si="272"/>
        <v>OK</v>
      </c>
    </row>
    <row r="372" spans="1:15" ht="14.25" customHeight="1" x14ac:dyDescent="0.25">
      <c r="A372" s="120" t="str">
        <f>IF(N372=MIN(N369:N392),1,"")</f>
        <v/>
      </c>
      <c r="B372" s="121">
        <f t="shared" si="304"/>
        <v>42324.124999999993</v>
      </c>
      <c r="C372" s="122">
        <f>DAY(B372)</f>
        <v>16</v>
      </c>
      <c r="D372" s="123">
        <v>1447.8763593177114</v>
      </c>
      <c r="E372" s="124">
        <v>40.04107666015625</v>
      </c>
      <c r="F372" s="125">
        <v>12.604241618735511</v>
      </c>
      <c r="G372" s="126">
        <v>2.3729324340820313</v>
      </c>
      <c r="H372" s="127">
        <f>HLOOKUP('Operational Worksheet'!E372,$B$773:$U$775,3)</f>
        <v>7.7875000000000005</v>
      </c>
      <c r="I372" s="127">
        <f t="shared" si="270"/>
        <v>1.1257867355249254</v>
      </c>
      <c r="J372" s="127">
        <f t="shared" si="271"/>
        <v>20.892792185114576</v>
      </c>
      <c r="K372" s="127">
        <f t="shared" si="301"/>
        <v>2.6714158585864252</v>
      </c>
      <c r="L372" s="127">
        <f t="shared" si="301"/>
        <v>49.57718421459397</v>
      </c>
      <c r="M372" s="127">
        <f t="shared" si="302"/>
        <v>52.248600073180398</v>
      </c>
      <c r="N372" s="128">
        <f t="shared" si="303"/>
        <v>6.7092905390921853</v>
      </c>
      <c r="O372" s="129" t="str">
        <f t="shared" si="272"/>
        <v>OK</v>
      </c>
    </row>
    <row r="373" spans="1:15" ht="14.25" customHeight="1" x14ac:dyDescent="0.25">
      <c r="A373" s="120" t="str">
        <f>IF(N373=MIN(N369:N392),1,"")</f>
        <v/>
      </c>
      <c r="B373" s="121">
        <f t="shared" si="304"/>
        <v>42324.166666666657</v>
      </c>
      <c r="C373" s="122">
        <f t="shared" ref="C373:C374" si="306">DAY(B373)</f>
        <v>16</v>
      </c>
      <c r="D373" s="123">
        <v>1452.9061621216138</v>
      </c>
      <c r="E373" s="124">
        <v>41.535390817403446</v>
      </c>
      <c r="F373" s="125">
        <v>12.603514115453651</v>
      </c>
      <c r="G373" s="126">
        <v>2.3729324340820313</v>
      </c>
      <c r="H373" s="127">
        <f>HLOOKUP('Operational Worksheet'!E373,$B$773:$U$775,3)</f>
        <v>7</v>
      </c>
      <c r="I373" s="127">
        <f t="shared" si="270"/>
        <v>1.1218893845283058</v>
      </c>
      <c r="J373" s="127">
        <f t="shared" si="271"/>
        <v>20.819261880559669</v>
      </c>
      <c r="K373" s="127">
        <f t="shared" si="301"/>
        <v>2.6621677079995445</v>
      </c>
      <c r="L373" s="127">
        <f t="shared" si="301"/>
        <v>49.402701770027704</v>
      </c>
      <c r="M373" s="127">
        <f t="shared" si="302"/>
        <v>52.064869478027248</v>
      </c>
      <c r="N373" s="128">
        <f t="shared" si="303"/>
        <v>7.4378384968610352</v>
      </c>
      <c r="O373" s="129" t="str">
        <f t="shared" si="272"/>
        <v>OK</v>
      </c>
    </row>
    <row r="374" spans="1:15" ht="14.25" customHeight="1" x14ac:dyDescent="0.25">
      <c r="A374" s="120" t="str">
        <f>IF(N374=MIN(N369:N392),1,"")</f>
        <v/>
      </c>
      <c r="B374" s="121">
        <f t="shared" si="304"/>
        <v>42324.208333333321</v>
      </c>
      <c r="C374" s="122">
        <f t="shared" si="306"/>
        <v>16</v>
      </c>
      <c r="D374" s="123">
        <v>1442.00106802754</v>
      </c>
      <c r="E374" s="124">
        <v>41.790031433105469</v>
      </c>
      <c r="F374" s="125">
        <v>12.614931352925378</v>
      </c>
      <c r="G374" s="126">
        <v>2.3729324340820313</v>
      </c>
      <c r="H374" s="127">
        <f>HLOOKUP('Operational Worksheet'!E374,$B$773:$U$775,3)</f>
        <v>7</v>
      </c>
      <c r="I374" s="128">
        <f t="shared" si="270"/>
        <v>1.1303736426697775</v>
      </c>
      <c r="J374" s="127">
        <f t="shared" si="271"/>
        <v>20.995709308616604</v>
      </c>
      <c r="K374" s="127">
        <f>I374*$G374</f>
        <v>2.6823002793225674</v>
      </c>
      <c r="L374" s="127">
        <f>J374*$G374</f>
        <v>49.821399594974359</v>
      </c>
      <c r="M374" s="127">
        <f>K374+L374</f>
        <v>52.503699874296927</v>
      </c>
      <c r="N374" s="128">
        <f t="shared" si="303"/>
        <v>7.50052855347099</v>
      </c>
      <c r="O374" s="129" t="str">
        <f t="shared" si="272"/>
        <v>OK</v>
      </c>
    </row>
    <row r="375" spans="1:15" ht="14.25" customHeight="1" x14ac:dyDescent="0.25">
      <c r="A375" s="120" t="str">
        <f>IF(N375=MIN(N369:N392),1,"")</f>
        <v/>
      </c>
      <c r="B375" s="121">
        <f t="shared" si="304"/>
        <v>42324.249999999985</v>
      </c>
      <c r="C375" s="122">
        <f>DAY(B375)</f>
        <v>16</v>
      </c>
      <c r="D375" s="123">
        <v>1451.8393716530195</v>
      </c>
      <c r="E375" s="124">
        <v>41.790031433105469</v>
      </c>
      <c r="F375" s="125">
        <v>12.611490771015074</v>
      </c>
      <c r="G375" s="126">
        <v>2.407390832901001</v>
      </c>
      <c r="H375" s="127">
        <f>HLOOKUP('Operational Worksheet'!E375,$B$773:$U$775,3)</f>
        <v>7</v>
      </c>
      <c r="I375" s="127">
        <f t="shared" si="270"/>
        <v>1.1227137325420045</v>
      </c>
      <c r="J375" s="127">
        <f t="shared" si="271"/>
        <v>20.84774558495025</v>
      </c>
      <c r="K375" s="127">
        <f>I375*$G375</f>
        <v>2.7028107476936878</v>
      </c>
      <c r="L375" s="127">
        <f>J375*$G375</f>
        <v>50.188671607861551</v>
      </c>
      <c r="M375" s="127">
        <f>K375+L375</f>
        <v>52.89148235555524</v>
      </c>
      <c r="N375" s="128">
        <f>IF(D375&gt;0,M375/H375,"PO")</f>
        <v>7.5559260507936061</v>
      </c>
      <c r="O375" s="129" t="str">
        <f t="shared" si="272"/>
        <v>OK</v>
      </c>
    </row>
    <row r="376" spans="1:15" ht="14.25" customHeight="1" x14ac:dyDescent="0.25">
      <c r="A376" s="120" t="str">
        <f>IF(N376=MIN(N369:N392),1,"")</f>
        <v/>
      </c>
      <c r="B376" s="121">
        <f t="shared" si="304"/>
        <v>42324.29166666665</v>
      </c>
      <c r="C376" s="122">
        <f t="shared" ref="C376:C380" si="307">DAY(B376)</f>
        <v>16</v>
      </c>
      <c r="D376" s="123">
        <v>1439.9436994355435</v>
      </c>
      <c r="E376" s="124">
        <v>42.409902504803817</v>
      </c>
      <c r="F376" s="125">
        <v>12.593456217698387</v>
      </c>
      <c r="G376" s="126">
        <v>2.407390832901001</v>
      </c>
      <c r="H376" s="127">
        <f>HLOOKUP('Operational Worksheet'!E376,$B$773:$U$775,3)</f>
        <v>7</v>
      </c>
      <c r="I376" s="127">
        <f t="shared" si="270"/>
        <v>1.1319887025020203</v>
      </c>
      <c r="J376" s="127">
        <f t="shared" si="271"/>
        <v>20.989914351737518</v>
      </c>
      <c r="K376" s="127">
        <f t="shared" ref="K376:L379" si="308">I376*$G376</f>
        <v>2.7251392253508619</v>
      </c>
      <c r="L376" s="127">
        <f t="shared" si="308"/>
        <v>50.530927393750055</v>
      </c>
      <c r="M376" s="127">
        <f t="shared" ref="M376:M379" si="309">K376+L376</f>
        <v>53.25606661910092</v>
      </c>
      <c r="N376" s="128">
        <f t="shared" ref="N376:N380" si="310">IF(D376&gt;0,M376/H376,"PO")</f>
        <v>7.6080095170144171</v>
      </c>
      <c r="O376" s="129" t="str">
        <f t="shared" si="272"/>
        <v>OK</v>
      </c>
    </row>
    <row r="377" spans="1:15" ht="14.25" customHeight="1" x14ac:dyDescent="0.25">
      <c r="A377" s="120" t="str">
        <f>IF(N377=MIN(N369:N392),1,"")</f>
        <v/>
      </c>
      <c r="B377" s="121">
        <f t="shared" si="304"/>
        <v>42324.333333333314</v>
      </c>
      <c r="C377" s="122">
        <f t="shared" si="307"/>
        <v>16</v>
      </c>
      <c r="D377" s="123">
        <v>1433.8633898401079</v>
      </c>
      <c r="E377" s="124">
        <v>42.846555862447119</v>
      </c>
      <c r="F377" s="125">
        <v>12.60292664947985</v>
      </c>
      <c r="G377" s="126">
        <v>2.407390832901001</v>
      </c>
      <c r="H377" s="127">
        <f>HLOOKUP('Operational Worksheet'!E377,$B$773:$U$775,3)</f>
        <v>6.6499999999999995</v>
      </c>
      <c r="I377" s="127">
        <f t="shared" si="270"/>
        <v>1.1367889099823962</v>
      </c>
      <c r="J377" s="127">
        <f t="shared" si="271"/>
        <v>21.094773862748895</v>
      </c>
      <c r="K377" s="127">
        <f t="shared" si="308"/>
        <v>2.736695200835142</v>
      </c>
      <c r="L377" s="127">
        <f t="shared" si="308"/>
        <v>50.783365219301324</v>
      </c>
      <c r="M377" s="127">
        <f t="shared" si="309"/>
        <v>53.520060420136467</v>
      </c>
      <c r="N377" s="128">
        <f t="shared" si="310"/>
        <v>8.0481293864866874</v>
      </c>
      <c r="O377" s="129" t="str">
        <f t="shared" si="272"/>
        <v>OK</v>
      </c>
    </row>
    <row r="378" spans="1:15" ht="14.25" customHeight="1" x14ac:dyDescent="0.25">
      <c r="A378" s="120" t="str">
        <f>IF(N378=MIN(N369:N392),1,"")</f>
        <v/>
      </c>
      <c r="B378" s="121">
        <f t="shared" si="304"/>
        <v>42324.374999999978</v>
      </c>
      <c r="C378" s="122">
        <f t="shared" si="307"/>
        <v>16</v>
      </c>
      <c r="D378" s="123">
        <v>1444.8284878430927</v>
      </c>
      <c r="E378" s="124">
        <v>42.192817687988281</v>
      </c>
      <c r="F378" s="125">
        <v>12.621733915458417</v>
      </c>
      <c r="G378" s="126">
        <v>2.407390832901001</v>
      </c>
      <c r="H378" s="127">
        <f>HLOOKUP('Operational Worksheet'!E378,$B$773:$U$775,3)</f>
        <v>7</v>
      </c>
      <c r="I378" s="127">
        <f t="shared" si="270"/>
        <v>1.1281615871468176</v>
      </c>
      <c r="J378" s="127">
        <f t="shared" si="271"/>
        <v>20.965922012184123</v>
      </c>
      <c r="K378" s="127">
        <f t="shared" si="308"/>
        <v>2.7159258629282923</v>
      </c>
      <c r="L378" s="127">
        <f t="shared" si="308"/>
        <v>50.473168455449368</v>
      </c>
      <c r="M378" s="127">
        <f t="shared" si="309"/>
        <v>53.189094318377663</v>
      </c>
      <c r="N378" s="128">
        <f t="shared" si="310"/>
        <v>7.598442045482523</v>
      </c>
      <c r="O378" s="129" t="str">
        <f t="shared" si="272"/>
        <v>OK</v>
      </c>
    </row>
    <row r="379" spans="1:15" ht="14.25" customHeight="1" x14ac:dyDescent="0.25">
      <c r="A379" s="120" t="str">
        <f>IF(N379=MIN(N369:N392),1,"")</f>
        <v/>
      </c>
      <c r="B379" s="121">
        <f t="shared" si="304"/>
        <v>42324.416666666642</v>
      </c>
      <c r="C379" s="122">
        <f t="shared" si="307"/>
        <v>16</v>
      </c>
      <c r="D379" s="123">
        <v>1443.1762681428502</v>
      </c>
      <c r="E379" s="124">
        <v>41.612189525238492</v>
      </c>
      <c r="F379" s="125">
        <v>12.59689567338431</v>
      </c>
      <c r="G379" s="126">
        <v>2.407390832901001</v>
      </c>
      <c r="H379" s="127">
        <f>HLOOKUP('Operational Worksheet'!E379,$B$773:$U$775,3)</f>
        <v>7</v>
      </c>
      <c r="I379" s="127">
        <f t="shared" si="270"/>
        <v>1.1294531624314774</v>
      </c>
      <c r="J379" s="127">
        <f t="shared" si="271"/>
        <v>20.948618878709159</v>
      </c>
      <c r="K379" s="127">
        <f t="shared" si="308"/>
        <v>2.7190351894285838</v>
      </c>
      <c r="L379" s="127">
        <f t="shared" si="308"/>
        <v>50.431513050541277</v>
      </c>
      <c r="M379" s="127">
        <f t="shared" si="309"/>
        <v>53.150548239969858</v>
      </c>
      <c r="N379" s="128">
        <f t="shared" si="310"/>
        <v>7.5929354628528367</v>
      </c>
      <c r="O379" s="129" t="str">
        <f t="shared" si="272"/>
        <v>OK</v>
      </c>
    </row>
    <row r="380" spans="1:15" ht="14.25" customHeight="1" x14ac:dyDescent="0.25">
      <c r="A380" s="120" t="str">
        <f>IF(N380=MIN(N369:N392),1,"")</f>
        <v/>
      </c>
      <c r="B380" s="121">
        <f t="shared" si="304"/>
        <v>42324.458333333307</v>
      </c>
      <c r="C380" s="122">
        <f t="shared" si="307"/>
        <v>16</v>
      </c>
      <c r="D380" s="123">
        <v>1440.7701281967545</v>
      </c>
      <c r="E380" s="124">
        <v>40.443862915039062</v>
      </c>
      <c r="F380" s="125">
        <v>12.621962624571616</v>
      </c>
      <c r="G380" s="126">
        <v>2.407390832901001</v>
      </c>
      <c r="H380" s="127">
        <f>HLOOKUP('Operational Worksheet'!E380,$B$773:$U$775,3)</f>
        <v>7.7875000000000005</v>
      </c>
      <c r="I380" s="128">
        <f t="shared" si="270"/>
        <v>1.1313393914128984</v>
      </c>
      <c r="J380" s="127">
        <f t="shared" si="271"/>
        <v>21.025359775390235</v>
      </c>
      <c r="K380" s="127">
        <f>I380*$G380</f>
        <v>2.7235760797872088</v>
      </c>
      <c r="L380" s="127">
        <f>J380*$G380</f>
        <v>50.616258381719902</v>
      </c>
      <c r="M380" s="127">
        <f>K380+L380</f>
        <v>53.33983446150711</v>
      </c>
      <c r="N380" s="128">
        <f t="shared" si="310"/>
        <v>6.8494169452978628</v>
      </c>
      <c r="O380" s="129" t="str">
        <f t="shared" si="272"/>
        <v>OK</v>
      </c>
    </row>
    <row r="381" spans="1:15" ht="14.25" customHeight="1" x14ac:dyDescent="0.25">
      <c r="A381" s="120" t="str">
        <f>IF(N381=MIN(N369:N392),1,"")</f>
        <v/>
      </c>
      <c r="B381" s="121">
        <f t="shared" si="304"/>
        <v>42324.499999999971</v>
      </c>
      <c r="C381" s="122">
        <f>DAY(B381)</f>
        <v>16</v>
      </c>
      <c r="D381" s="123">
        <v>1434.6742375142171</v>
      </c>
      <c r="E381" s="124">
        <v>40.443862915039062</v>
      </c>
      <c r="F381" s="125">
        <v>12.606367285602369</v>
      </c>
      <c r="G381" s="126">
        <v>2.407390832901001</v>
      </c>
      <c r="H381" s="127">
        <f>HLOOKUP('Operational Worksheet'!E381,$B$773:$U$775,3)</f>
        <v>7.7875000000000005</v>
      </c>
      <c r="I381" s="127">
        <f t="shared" si="270"/>
        <v>1.1361464208238752</v>
      </c>
      <c r="J381" s="127">
        <f t="shared" si="271"/>
        <v>21.088607221293238</v>
      </c>
      <c r="K381" s="127">
        <f>I381*$G381</f>
        <v>2.73514847832468</v>
      </c>
      <c r="L381" s="127">
        <f>J381*$G381</f>
        <v>50.768519703191188</v>
      </c>
      <c r="M381" s="127">
        <f>K381+L381</f>
        <v>53.50366818151587</v>
      </c>
      <c r="N381" s="128">
        <f>IF(D381&gt;0,M381/H381,"PO")</f>
        <v>6.870454983180208</v>
      </c>
      <c r="O381" s="129" t="str">
        <f t="shared" si="272"/>
        <v>OK</v>
      </c>
    </row>
    <row r="382" spans="1:15" ht="14.25" customHeight="1" x14ac:dyDescent="0.25">
      <c r="A382" s="120" t="str">
        <f>IF(N382=MIN(N369:N392),1,"")</f>
        <v/>
      </c>
      <c r="B382" s="121">
        <f t="shared" si="304"/>
        <v>42324.541666666635</v>
      </c>
      <c r="C382" s="122">
        <f t="shared" ref="C382:C386" si="311">DAY(B382)</f>
        <v>16</v>
      </c>
      <c r="D382" s="123">
        <v>1447.7623886807062</v>
      </c>
      <c r="E382" s="124">
        <v>40.09989478934795</v>
      </c>
      <c r="F382" s="125">
        <v>12.617892297966923</v>
      </c>
      <c r="G382" s="126">
        <v>2.407390832901001</v>
      </c>
      <c r="H382" s="127">
        <f>HLOOKUP('Operational Worksheet'!E382,$B$773:$U$775,3)</f>
        <v>7.7875000000000005</v>
      </c>
      <c r="I382" s="127">
        <f t="shared" si="270"/>
        <v>1.1258753596198616</v>
      </c>
      <c r="J382" s="127">
        <f t="shared" si="271"/>
        <v>20.917066054407154</v>
      </c>
      <c r="K382" s="127">
        <f t="shared" ref="K382:L385" si="312">I382*$G382</f>
        <v>2.7104220197379725</v>
      </c>
      <c r="L382" s="127">
        <f t="shared" si="312"/>
        <v>50.355553070564497</v>
      </c>
      <c r="M382" s="127">
        <f t="shared" ref="M382:M385" si="313">K382+L382</f>
        <v>53.065975090302473</v>
      </c>
      <c r="N382" s="128">
        <f t="shared" ref="N382:N386" si="314">IF(D382&gt;0,M382/H382,"PO")</f>
        <v>6.8142504128799315</v>
      </c>
      <c r="O382" s="129" t="str">
        <f t="shared" si="272"/>
        <v>OK</v>
      </c>
    </row>
    <row r="383" spans="1:15" ht="14.25" customHeight="1" x14ac:dyDescent="0.25">
      <c r="A383" s="120" t="str">
        <f>IF(N383=MIN(N369:N392),1,"")</f>
        <v/>
      </c>
      <c r="B383" s="121">
        <f t="shared" si="304"/>
        <v>42324.583333333299</v>
      </c>
      <c r="C383" s="122">
        <f t="shared" si="311"/>
        <v>16</v>
      </c>
      <c r="D383" s="123">
        <v>1452.4862291561496</v>
      </c>
      <c r="E383" s="124">
        <v>41.5321044921875</v>
      </c>
      <c r="F383" s="125">
        <v>12.609589551771341</v>
      </c>
      <c r="G383" s="126">
        <v>2.146385669708252</v>
      </c>
      <c r="H383" s="127">
        <f>HLOOKUP('Operational Worksheet'!E383,$B$773:$U$775,3)</f>
        <v>7</v>
      </c>
      <c r="I383" s="127">
        <f t="shared" si="270"/>
        <v>1.1222137375766932</v>
      </c>
      <c r="J383" s="127">
        <f t="shared" si="271"/>
        <v>20.835319686186015</v>
      </c>
      <c r="K383" s="127">
        <f t="shared" si="312"/>
        <v>2.4087034846843509</v>
      </c>
      <c r="L383" s="127">
        <f t="shared" si="312"/>
        <v>44.720631598219896</v>
      </c>
      <c r="M383" s="127">
        <f t="shared" si="313"/>
        <v>47.129335082904248</v>
      </c>
      <c r="N383" s="128">
        <f t="shared" si="314"/>
        <v>6.7327621547006071</v>
      </c>
      <c r="O383" s="129" t="str">
        <f t="shared" si="272"/>
        <v>OK</v>
      </c>
    </row>
    <row r="384" spans="1:15" ht="14.25" customHeight="1" x14ac:dyDescent="0.25">
      <c r="A384" s="120" t="str">
        <f>IF(N384=MIN(N369:N392),1,"")</f>
        <v/>
      </c>
      <c r="B384" s="121">
        <f t="shared" si="304"/>
        <v>42324.624999999964</v>
      </c>
      <c r="C384" s="122">
        <f t="shared" si="311"/>
        <v>16</v>
      </c>
      <c r="D384" s="123">
        <v>1451.531824956917</v>
      </c>
      <c r="E384" s="124">
        <v>41.840493412882914</v>
      </c>
      <c r="F384" s="125">
        <v>12.613688333706598</v>
      </c>
      <c r="G384" s="126">
        <v>2.4417421817779541</v>
      </c>
      <c r="H384" s="127">
        <f>HLOOKUP('Operational Worksheet'!E384,$B$773:$U$775,3)</f>
        <v>7</v>
      </c>
      <c r="I384" s="127">
        <f t="shared" si="270"/>
        <v>1.1229516101366777</v>
      </c>
      <c r="J384" s="127">
        <f t="shared" si="271"/>
        <v>20.855796256340685</v>
      </c>
      <c r="K384" s="127">
        <f t="shared" si="312"/>
        <v>2.7419583145661979</v>
      </c>
      <c r="L384" s="127">
        <f t="shared" si="312"/>
        <v>50.924477453673795</v>
      </c>
      <c r="M384" s="127">
        <f t="shared" si="313"/>
        <v>53.666435768239992</v>
      </c>
      <c r="N384" s="128">
        <f t="shared" si="314"/>
        <v>7.6666336811771414</v>
      </c>
      <c r="O384" s="129" t="str">
        <f t="shared" si="272"/>
        <v>OK</v>
      </c>
    </row>
    <row r="385" spans="1:15" ht="14.25" customHeight="1" x14ac:dyDescent="0.25">
      <c r="A385" s="120" t="str">
        <f>IF(N385=MIN(N369:N392),1,"")</f>
        <v/>
      </c>
      <c r="B385" s="121">
        <f t="shared" si="304"/>
        <v>42324.666666666628</v>
      </c>
      <c r="C385" s="122">
        <f t="shared" si="311"/>
        <v>16</v>
      </c>
      <c r="D385" s="123">
        <v>1442.776409589452</v>
      </c>
      <c r="E385" s="124">
        <v>41.949028015136719</v>
      </c>
      <c r="F385" s="125">
        <v>12.609917863674593</v>
      </c>
      <c r="G385" s="126">
        <v>2.4417421817779541</v>
      </c>
      <c r="H385" s="127">
        <f>HLOOKUP('Operational Worksheet'!E385,$B$773:$U$775,3)</f>
        <v>7</v>
      </c>
      <c r="I385" s="127">
        <f t="shared" si="270"/>
        <v>1.1297661849515708</v>
      </c>
      <c r="J385" s="127">
        <f t="shared" si="271"/>
        <v>20.976086572853458</v>
      </c>
      <c r="K385" s="127">
        <f t="shared" si="312"/>
        <v>2.7585977493426039</v>
      </c>
      <c r="L385" s="127">
        <f t="shared" si="312"/>
        <v>51.218195393562446</v>
      </c>
      <c r="M385" s="127">
        <f t="shared" si="313"/>
        <v>53.976793142905052</v>
      </c>
      <c r="N385" s="128">
        <f t="shared" si="314"/>
        <v>7.7109704489864361</v>
      </c>
      <c r="O385" s="129" t="str">
        <f t="shared" si="272"/>
        <v>OK</v>
      </c>
    </row>
    <row r="386" spans="1:15" ht="14.25" customHeight="1" x14ac:dyDescent="0.25">
      <c r="A386" s="120" t="str">
        <f>IF(N386=MIN(N369:N392),1,"")</f>
        <v/>
      </c>
      <c r="B386" s="121">
        <f t="shared" si="304"/>
        <v>42324.708333333292</v>
      </c>
      <c r="C386" s="122">
        <f t="shared" si="311"/>
        <v>16</v>
      </c>
      <c r="D386" s="123">
        <v>1439.8897623778851</v>
      </c>
      <c r="E386" s="124">
        <v>41.869186044461031</v>
      </c>
      <c r="F386" s="125">
        <v>12.602246215409737</v>
      </c>
      <c r="G386" s="126">
        <v>2.4417421817779541</v>
      </c>
      <c r="H386" s="127">
        <f>HLOOKUP('Operational Worksheet'!E386,$B$773:$U$775,3)</f>
        <v>7</v>
      </c>
      <c r="I386" s="128">
        <f t="shared" si="270"/>
        <v>1.1320311058453254</v>
      </c>
      <c r="J386" s="127">
        <f t="shared" si="271"/>
        <v>21.005351734034875</v>
      </c>
      <c r="K386" s="127">
        <f>I386*$G386</f>
        <v>2.764128102227275</v>
      </c>
      <c r="L386" s="127">
        <f>J386*$G386</f>
        <v>51.289653372075648</v>
      </c>
      <c r="M386" s="127">
        <f>K386+L386</f>
        <v>54.053781474302923</v>
      </c>
      <c r="N386" s="128">
        <f t="shared" si="314"/>
        <v>7.721968782043275</v>
      </c>
      <c r="O386" s="129" t="str">
        <f t="shared" si="272"/>
        <v>OK</v>
      </c>
    </row>
    <row r="387" spans="1:15" ht="14.25" customHeight="1" x14ac:dyDescent="0.25">
      <c r="A387" s="120" t="str">
        <f>IF(N387=MIN(N369:N392),1,"")</f>
        <v/>
      </c>
      <c r="B387" s="121">
        <f>B386+1/24</f>
        <v>42324.749999999956</v>
      </c>
      <c r="C387" s="122">
        <f>DAY(B387)</f>
        <v>16</v>
      </c>
      <c r="D387" s="123">
        <v>1431.6325744687781</v>
      </c>
      <c r="E387" s="124">
        <v>39.72308349609375</v>
      </c>
      <c r="F387" s="125">
        <v>12.597815311777429</v>
      </c>
      <c r="G387" s="126">
        <v>2.4417421817779541</v>
      </c>
      <c r="H387" s="127">
        <f>HLOOKUP('Operational Worksheet'!E387,$B$773:$U$775,3)</f>
        <v>7.7875000000000005</v>
      </c>
      <c r="I387" s="127">
        <f t="shared" si="270"/>
        <v>1.1385602905863106</v>
      </c>
      <c r="J387" s="127">
        <f t="shared" si="271"/>
        <v>21.119075723381567</v>
      </c>
      <c r="K387" s="127">
        <f>I387*$G387</f>
        <v>2.7800706880219592</v>
      </c>
      <c r="L387" s="127">
        <f>J387*$G387</f>
        <v>51.567338033943528</v>
      </c>
      <c r="M387" s="127">
        <f>K387+L387</f>
        <v>54.347408721965486</v>
      </c>
      <c r="N387" s="128">
        <f>IF(D387&gt;0,M387/H387,"PO")</f>
        <v>6.9788004779409931</v>
      </c>
      <c r="O387" s="129" t="str">
        <f t="shared" si="272"/>
        <v>OK</v>
      </c>
    </row>
    <row r="388" spans="1:15" ht="14.25" customHeight="1" x14ac:dyDescent="0.25">
      <c r="A388" s="120" t="str">
        <f>IF(N388=MIN(N369:N392),1,"")</f>
        <v/>
      </c>
      <c r="B388" s="121">
        <f t="shared" ref="B388:B392" si="315">B387+1/24</f>
        <v>42324.791666666621</v>
      </c>
      <c r="C388" s="122">
        <f t="shared" ref="C388:C392" si="316">DAY(B388)</f>
        <v>16</v>
      </c>
      <c r="D388" s="123">
        <v>1442.3092273884536</v>
      </c>
      <c r="E388" s="124">
        <v>39.72308349609375</v>
      </c>
      <c r="F388" s="125">
        <v>12.622618544851555</v>
      </c>
      <c r="G388" s="126">
        <v>2.4417421817779541</v>
      </c>
      <c r="H388" s="127">
        <f>HLOOKUP('Operational Worksheet'!E388,$B$773:$U$775,3)</f>
        <v>7.7875000000000005</v>
      </c>
      <c r="I388" s="127">
        <f t="shared" si="270"/>
        <v>1.1301321305080967</v>
      </c>
      <c r="J388" s="127">
        <f t="shared" si="271"/>
        <v>21.004014903583951</v>
      </c>
      <c r="K388" s="127">
        <f t="shared" ref="K388:L391" si="317">I388*$G388</f>
        <v>2.7594912940442078</v>
      </c>
      <c r="L388" s="127">
        <f t="shared" si="317"/>
        <v>51.286389176773739</v>
      </c>
      <c r="M388" s="127">
        <f t="shared" ref="M388:M391" si="318">K388+L388</f>
        <v>54.045880470817949</v>
      </c>
      <c r="N388" s="128">
        <f t="shared" ref="N388:N392" si="319">IF(D388&gt;0,M388/H388,"PO")</f>
        <v>6.9400809593345674</v>
      </c>
      <c r="O388" s="129" t="str">
        <f t="shared" si="272"/>
        <v>OK</v>
      </c>
    </row>
    <row r="389" spans="1:15" ht="14.25" customHeight="1" x14ac:dyDescent="0.25">
      <c r="A389" s="120" t="str">
        <f>IF(N389=MIN(N369:N392),1,"")</f>
        <v/>
      </c>
      <c r="B389" s="121">
        <f t="shared" si="315"/>
        <v>42324.833333333285</v>
      </c>
      <c r="C389" s="122">
        <f t="shared" si="316"/>
        <v>16</v>
      </c>
      <c r="D389" s="123">
        <v>1442.495573677473</v>
      </c>
      <c r="E389" s="124">
        <v>39.72308349609375</v>
      </c>
      <c r="F389" s="125">
        <v>12.607753236928239</v>
      </c>
      <c r="G389" s="126">
        <v>2.4417421817779541</v>
      </c>
      <c r="H389" s="127">
        <f>HLOOKUP('Operational Worksheet'!E389,$B$773:$U$775,3)</f>
        <v>7.7875000000000005</v>
      </c>
      <c r="I389" s="127">
        <f t="shared" si="270"/>
        <v>1.1299861363487629</v>
      </c>
      <c r="J389" s="127">
        <f t="shared" si="271"/>
        <v>20.97656888574501</v>
      </c>
      <c r="K389" s="127">
        <f t="shared" si="317"/>
        <v>2.7591348139470688</v>
      </c>
      <c r="L389" s="127">
        <f t="shared" si="317"/>
        <v>51.21937307729457</v>
      </c>
      <c r="M389" s="127">
        <f t="shared" si="318"/>
        <v>53.978507891241641</v>
      </c>
      <c r="N389" s="128">
        <f t="shared" si="319"/>
        <v>6.9314295847501297</v>
      </c>
      <c r="O389" s="129" t="str">
        <f t="shared" si="272"/>
        <v>OK</v>
      </c>
    </row>
    <row r="390" spans="1:15" ht="14.25" customHeight="1" x14ac:dyDescent="0.25">
      <c r="A390" s="120" t="str">
        <f>IF(N390=MIN(N369:N392),1,"")</f>
        <v/>
      </c>
      <c r="B390" s="121">
        <f t="shared" si="315"/>
        <v>42324.874999999949</v>
      </c>
      <c r="C390" s="122">
        <f t="shared" si="316"/>
        <v>16</v>
      </c>
      <c r="D390" s="123">
        <v>1444.5564036740432</v>
      </c>
      <c r="E390" s="124">
        <v>39.72308349609375</v>
      </c>
      <c r="F390" s="125">
        <v>12.617153950027687</v>
      </c>
      <c r="G390" s="126">
        <v>2.4417421817779541</v>
      </c>
      <c r="H390" s="127">
        <f>HLOOKUP('Operational Worksheet'!E390,$B$773:$U$775,3)</f>
        <v>7.7875000000000005</v>
      </c>
      <c r="I390" s="127">
        <f t="shared" si="270"/>
        <v>1.1283740779206024</v>
      </c>
      <c r="J390" s="127">
        <f t="shared" si="271"/>
        <v>20.962261773268384</v>
      </c>
      <c r="K390" s="127">
        <f t="shared" si="317"/>
        <v>2.7551985828835388</v>
      </c>
      <c r="L390" s="127">
        <f t="shared" si="317"/>
        <v>51.184438797260952</v>
      </c>
      <c r="M390" s="127">
        <f t="shared" si="318"/>
        <v>53.939637380144489</v>
      </c>
      <c r="N390" s="128">
        <f t="shared" si="319"/>
        <v>6.9264381868564344</v>
      </c>
      <c r="O390" s="129" t="str">
        <f t="shared" si="272"/>
        <v>OK</v>
      </c>
    </row>
    <row r="391" spans="1:15" ht="14.25" customHeight="1" x14ac:dyDescent="0.25">
      <c r="A391" s="120" t="str">
        <f>IF(N391=MIN(N369:N392),1,"")</f>
        <v/>
      </c>
      <c r="B391" s="121">
        <f t="shared" si="315"/>
        <v>42324.916666666613</v>
      </c>
      <c r="C391" s="122">
        <f t="shared" si="316"/>
        <v>16</v>
      </c>
      <c r="D391" s="123">
        <v>1444.228882383135</v>
      </c>
      <c r="E391" s="124">
        <v>39.72308349609375</v>
      </c>
      <c r="F391" s="125">
        <v>12.603921356808282</v>
      </c>
      <c r="G391" s="126">
        <v>2.4417421817779541</v>
      </c>
      <c r="H391" s="127">
        <f>HLOOKUP('Operational Worksheet'!E391,$B$773:$U$775,3)</f>
        <v>7.7875000000000005</v>
      </c>
      <c r="I391" s="127">
        <f t="shared" si="270"/>
        <v>1.1286299698634488</v>
      </c>
      <c r="J391" s="127">
        <f t="shared" si="271"/>
        <v>20.945025837196283</v>
      </c>
      <c r="K391" s="127">
        <f t="shared" si="317"/>
        <v>2.7558234050343642</v>
      </c>
      <c r="L391" s="127">
        <f t="shared" si="317"/>
        <v>51.142353085111274</v>
      </c>
      <c r="M391" s="127">
        <f t="shared" si="318"/>
        <v>53.898176490145637</v>
      </c>
      <c r="N391" s="128">
        <f t="shared" si="319"/>
        <v>6.9211141560379623</v>
      </c>
      <c r="O391" s="129" t="str">
        <f t="shared" si="272"/>
        <v>OK</v>
      </c>
    </row>
    <row r="392" spans="1:15" ht="14.25" customHeight="1" x14ac:dyDescent="0.25">
      <c r="A392" s="130" t="str">
        <f>IF(N392=MIN(N369:N392),1,"")</f>
        <v/>
      </c>
      <c r="B392" s="131">
        <f t="shared" si="315"/>
        <v>42324.958333333278</v>
      </c>
      <c r="C392" s="132">
        <f t="shared" si="316"/>
        <v>16</v>
      </c>
      <c r="D392" s="123">
        <v>1462.9875247729763</v>
      </c>
      <c r="E392" s="124">
        <v>39.72308349609375</v>
      </c>
      <c r="F392" s="125">
        <v>12.613172438243874</v>
      </c>
      <c r="G392" s="126">
        <v>2.4762005805969238</v>
      </c>
      <c r="H392" s="133">
        <f>HLOOKUP('Operational Worksheet'!E392,$B$773:$U$775,3)</f>
        <v>7.7875000000000005</v>
      </c>
      <c r="I392" s="134">
        <f t="shared" si="270"/>
        <v>1.1141585094875914</v>
      </c>
      <c r="J392" s="133">
        <f t="shared" si="271"/>
        <v>20.691641821404314</v>
      </c>
      <c r="K392" s="133">
        <f>I392*$G392</f>
        <v>2.7588799480701773</v>
      </c>
      <c r="L392" s="133">
        <f>J392*$G392</f>
        <v>51.236655491664955</v>
      </c>
      <c r="M392" s="133">
        <f>K392+L392</f>
        <v>53.995535439735136</v>
      </c>
      <c r="N392" s="134">
        <f t="shared" si="319"/>
        <v>6.9336161078311562</v>
      </c>
      <c r="O392" s="135" t="str">
        <f t="shared" si="272"/>
        <v>OK</v>
      </c>
    </row>
    <row r="393" spans="1:15" ht="14.25" customHeight="1" x14ac:dyDescent="0.25">
      <c r="A393" s="110" t="str">
        <f>IF(N393=MIN(N393:N416),1,"")</f>
        <v/>
      </c>
      <c r="B393" s="111">
        <f>'[1]Turbidity Daily Data Sheet'!B32</f>
        <v>42325</v>
      </c>
      <c r="C393" s="112">
        <f>DAY(B393)</f>
        <v>17</v>
      </c>
      <c r="D393" s="123">
        <v>1441.1562051951564</v>
      </c>
      <c r="E393" s="124">
        <v>39.72308349609375</v>
      </c>
      <c r="F393" s="125">
        <v>12.609986663058217</v>
      </c>
      <c r="G393" s="126">
        <v>2.4762005805969238</v>
      </c>
      <c r="H393" s="117">
        <f>HLOOKUP('Operational Worksheet'!E393,$B$773:$U$775,3)</f>
        <v>7.7875000000000005</v>
      </c>
      <c r="I393" s="117">
        <f t="shared" ref="I393:I456" si="320">$G$768/D393*$H$768</f>
        <v>1.1310363124580731</v>
      </c>
      <c r="J393" s="117">
        <f t="shared" ref="J393:J456" si="321">$G$769*F393/D393*$H$769</f>
        <v>20.999783286671189</v>
      </c>
      <c r="K393" s="117">
        <f>I393*$G393</f>
        <v>2.8006727735848842</v>
      </c>
      <c r="L393" s="117">
        <f>J393*$G393</f>
        <v>51.999675566864774</v>
      </c>
      <c r="M393" s="117">
        <f>K393+L393</f>
        <v>54.800348340449659</v>
      </c>
      <c r="N393" s="118">
        <f>IF(D393&gt;0,M393/H393,"PO")</f>
        <v>7.0369628687575805</v>
      </c>
      <c r="O393" s="119" t="str">
        <f t="shared" ref="O393:O456" si="322">+IF(N393&gt;=1, "OK","Alarm")</f>
        <v>OK</v>
      </c>
    </row>
    <row r="394" spans="1:15" ht="14.25" customHeight="1" x14ac:dyDescent="0.25">
      <c r="A394" s="120" t="str">
        <f>IF(N394=MIN(N393:N416),1,"")</f>
        <v/>
      </c>
      <c r="B394" s="121">
        <f>B393+1/24</f>
        <v>42325.041666666664</v>
      </c>
      <c r="C394" s="122">
        <f>DAY(B394)</f>
        <v>17</v>
      </c>
      <c r="D394" s="123">
        <v>1454.2983633540243</v>
      </c>
      <c r="E394" s="124">
        <v>39.670015988129578</v>
      </c>
      <c r="F394" s="125">
        <v>12.617587771480796</v>
      </c>
      <c r="G394" s="126">
        <v>2.4762005805969238</v>
      </c>
      <c r="H394" s="127">
        <f>HLOOKUP('Operational Worksheet'!E394,$B$773:$U$775,3)</f>
        <v>7.7875000000000005</v>
      </c>
      <c r="I394" s="127">
        <f t="shared" si="320"/>
        <v>1.1208153987334193</v>
      </c>
      <c r="J394" s="127">
        <f t="shared" si="321"/>
        <v>20.822557058865517</v>
      </c>
      <c r="K394" s="127">
        <f t="shared" ref="K394:L397" si="323">I394*$G394</f>
        <v>2.7753637410856653</v>
      </c>
      <c r="L394" s="127">
        <f t="shared" si="323"/>
        <v>51.560827878675369</v>
      </c>
      <c r="M394" s="127">
        <f t="shared" ref="M394:M397" si="324">K394+L394</f>
        <v>54.336191619761031</v>
      </c>
      <c r="N394" s="128">
        <f t="shared" ref="N394:N398" si="325">IF(D394&gt;0,M394/H394,"PO")</f>
        <v>6.9773600795840807</v>
      </c>
      <c r="O394" s="129" t="str">
        <f t="shared" si="322"/>
        <v>OK</v>
      </c>
    </row>
    <row r="395" spans="1:15" ht="14.25" customHeight="1" x14ac:dyDescent="0.25">
      <c r="A395" s="120" t="str">
        <f>IF(N395=MIN(N393:N416),1,"")</f>
        <v/>
      </c>
      <c r="B395" s="121">
        <f t="shared" ref="B395:B410" si="326">B394+1/24</f>
        <v>42325.083333333328</v>
      </c>
      <c r="C395" s="122">
        <f t="shared" ref="C395" si="327">DAY(B395)</f>
        <v>17</v>
      </c>
      <c r="D395" s="123">
        <v>1444.6149133208544</v>
      </c>
      <c r="E395" s="124">
        <v>39.080028533935547</v>
      </c>
      <c r="F395" s="125">
        <v>12.60736232458191</v>
      </c>
      <c r="G395" s="126">
        <v>2.4762005805969238</v>
      </c>
      <c r="H395" s="127">
        <f>HLOOKUP('Operational Worksheet'!E395,$B$773:$U$775,3)</f>
        <v>8.5750000000000011</v>
      </c>
      <c r="I395" s="127">
        <f t="shared" si="320"/>
        <v>1.1283283766280563</v>
      </c>
      <c r="J395" s="127">
        <f t="shared" si="321"/>
        <v>20.945145519397144</v>
      </c>
      <c r="K395" s="127">
        <f t="shared" si="323"/>
        <v>2.7939673813103774</v>
      </c>
      <c r="L395" s="127">
        <f t="shared" si="323"/>
        <v>51.864381495818265</v>
      </c>
      <c r="M395" s="127">
        <f t="shared" si="324"/>
        <v>54.658348877128645</v>
      </c>
      <c r="N395" s="128">
        <f t="shared" si="325"/>
        <v>6.3741514725514445</v>
      </c>
      <c r="O395" s="129" t="str">
        <f t="shared" si="322"/>
        <v>OK</v>
      </c>
    </row>
    <row r="396" spans="1:15" ht="14.25" customHeight="1" x14ac:dyDescent="0.25">
      <c r="A396" s="120" t="str">
        <f>IF(N396=MIN(N393:N416),1,"")</f>
        <v/>
      </c>
      <c r="B396" s="121">
        <f t="shared" si="326"/>
        <v>42325.124999999993</v>
      </c>
      <c r="C396" s="122">
        <f>DAY(B396)</f>
        <v>17</v>
      </c>
      <c r="D396" s="123">
        <v>1442.9673241421215</v>
      </c>
      <c r="E396" s="124">
        <v>39.080028533935547</v>
      </c>
      <c r="F396" s="125">
        <v>12.607561018863013</v>
      </c>
      <c r="G396" s="126">
        <v>2.4762005805969238</v>
      </c>
      <c r="H396" s="127">
        <f>HLOOKUP('Operational Worksheet'!E396,$B$773:$U$775,3)</f>
        <v>8.5750000000000011</v>
      </c>
      <c r="I396" s="127">
        <f t="shared" si="320"/>
        <v>1.1296167090748739</v>
      </c>
      <c r="J396" s="127">
        <f t="shared" si="321"/>
        <v>20.969391294609128</v>
      </c>
      <c r="K396" s="127">
        <f t="shared" si="323"/>
        <v>2.7971575508631892</v>
      </c>
      <c r="L396" s="127">
        <f t="shared" si="323"/>
        <v>51.924418898475203</v>
      </c>
      <c r="M396" s="127">
        <f t="shared" si="324"/>
        <v>54.721576449338393</v>
      </c>
      <c r="N396" s="128">
        <f t="shared" si="325"/>
        <v>6.3815249503601619</v>
      </c>
      <c r="O396" s="129" t="str">
        <f t="shared" si="322"/>
        <v>OK</v>
      </c>
    </row>
    <row r="397" spans="1:15" ht="14.25" customHeight="1" x14ac:dyDescent="0.25">
      <c r="A397" s="120" t="str">
        <f>IF(N397=MIN(N393:N416),1,"")</f>
        <v/>
      </c>
      <c r="B397" s="121">
        <f t="shared" si="326"/>
        <v>42325.166666666657</v>
      </c>
      <c r="C397" s="122">
        <f t="shared" ref="C397:C398" si="328">DAY(B397)</f>
        <v>17</v>
      </c>
      <c r="D397" s="123">
        <v>1439.5004086324316</v>
      </c>
      <c r="E397" s="124">
        <v>39.080028533935547</v>
      </c>
      <c r="F397" s="125">
        <v>12.612523632100315</v>
      </c>
      <c r="G397" s="126">
        <v>2.4762005805969238</v>
      </c>
      <c r="H397" s="127">
        <f>HLOOKUP('Operational Worksheet'!E397,$B$773:$U$775,3)</f>
        <v>8.5750000000000011</v>
      </c>
      <c r="I397" s="127">
        <f t="shared" si="320"/>
        <v>1.1323372957903839</v>
      </c>
      <c r="J397" s="127">
        <f t="shared" si="321"/>
        <v>21.028168200242618</v>
      </c>
      <c r="K397" s="127">
        <f t="shared" si="323"/>
        <v>2.8038942692676994</v>
      </c>
      <c r="L397" s="127">
        <f t="shared" si="323"/>
        <v>52.069962306330538</v>
      </c>
      <c r="M397" s="127">
        <f t="shared" si="324"/>
        <v>54.873856575598239</v>
      </c>
      <c r="N397" s="128">
        <f t="shared" si="325"/>
        <v>6.3992835656674325</v>
      </c>
      <c r="O397" s="129" t="str">
        <f t="shared" si="322"/>
        <v>OK</v>
      </c>
    </row>
    <row r="398" spans="1:15" ht="14.25" customHeight="1" x14ac:dyDescent="0.25">
      <c r="A398" s="120" t="str">
        <f>IF(N398=MIN(N393:N416),1,"")</f>
        <v/>
      </c>
      <c r="B398" s="121">
        <f t="shared" si="326"/>
        <v>42325.208333333321</v>
      </c>
      <c r="C398" s="122">
        <f t="shared" si="328"/>
        <v>17</v>
      </c>
      <c r="D398" s="123">
        <v>1439.7405568733673</v>
      </c>
      <c r="E398" s="124">
        <v>39.080028533935547</v>
      </c>
      <c r="F398" s="125">
        <v>12.602883176316888</v>
      </c>
      <c r="G398" s="126">
        <v>2.4762005805969238</v>
      </c>
      <c r="H398" s="127">
        <f>HLOOKUP('Operational Worksheet'!E398,$B$773:$U$775,3)</f>
        <v>8.5750000000000011</v>
      </c>
      <c r="I398" s="128">
        <f t="shared" si="320"/>
        <v>1.1321484223100671</v>
      </c>
      <c r="J398" s="127">
        <f t="shared" si="321"/>
        <v>21.008590387178284</v>
      </c>
      <c r="K398" s="127">
        <f>I398*$G398</f>
        <v>2.8034265806460792</v>
      </c>
      <c r="L398" s="127">
        <f>J398*$G398</f>
        <v>52.021483714253819</v>
      </c>
      <c r="M398" s="127">
        <f>K398+L398</f>
        <v>54.824910294899901</v>
      </c>
      <c r="N398" s="128">
        <f t="shared" si="325"/>
        <v>6.3935755445947402</v>
      </c>
      <c r="O398" s="129" t="str">
        <f t="shared" si="322"/>
        <v>OK</v>
      </c>
    </row>
    <row r="399" spans="1:15" ht="14.25" customHeight="1" x14ac:dyDescent="0.25">
      <c r="A399" s="120">
        <f>IF(N399=MIN(N393:N416),1,"")</f>
        <v>1</v>
      </c>
      <c r="B399" s="121">
        <f t="shared" si="326"/>
        <v>42325.249999999985</v>
      </c>
      <c r="C399" s="122">
        <f>DAY(B399)</f>
        <v>17</v>
      </c>
      <c r="D399" s="123">
        <v>1444.0807041939859</v>
      </c>
      <c r="E399" s="124">
        <v>39.080028533935547</v>
      </c>
      <c r="F399" s="125">
        <v>12.597093379141986</v>
      </c>
      <c r="G399" s="126">
        <v>2.4762005805969238</v>
      </c>
      <c r="H399" s="127">
        <f>HLOOKUP('Operational Worksheet'!E399,$B$773:$U$775,3)</f>
        <v>8.5750000000000011</v>
      </c>
      <c r="I399" s="127">
        <f t="shared" si="320"/>
        <v>1.12874577941943</v>
      </c>
      <c r="J399" s="127">
        <f t="shared" si="321"/>
        <v>20.935827216675772</v>
      </c>
      <c r="K399" s="127">
        <f>I399*$G399</f>
        <v>2.7950009543447201</v>
      </c>
      <c r="L399" s="127">
        <f>J399*$G399</f>
        <v>51.841307509209429</v>
      </c>
      <c r="M399" s="127">
        <f>K399+L399</f>
        <v>54.636308463554151</v>
      </c>
      <c r="N399" s="128">
        <f>IF(D399&gt;0,M399/H399,"PO")</f>
        <v>6.3715811619305125</v>
      </c>
      <c r="O399" s="129" t="str">
        <f t="shared" si="322"/>
        <v>OK</v>
      </c>
    </row>
    <row r="400" spans="1:15" ht="14.25" customHeight="1" x14ac:dyDescent="0.25">
      <c r="A400" s="120" t="str">
        <f>IF(N400=MIN(N393:N416),1,"")</f>
        <v/>
      </c>
      <c r="B400" s="121">
        <f t="shared" si="326"/>
        <v>42325.29166666665</v>
      </c>
      <c r="C400" s="122">
        <f t="shared" ref="C400:C404" si="329">DAY(B400)</f>
        <v>17</v>
      </c>
      <c r="D400" s="123">
        <v>1409.0723636236112</v>
      </c>
      <c r="E400" s="124">
        <v>39.070833321807093</v>
      </c>
      <c r="F400" s="125">
        <v>12.616908473320276</v>
      </c>
      <c r="G400" s="126">
        <v>2.4898979663848877</v>
      </c>
      <c r="H400" s="127">
        <f>HLOOKUP('Operational Worksheet'!E400,$B$773:$U$775,3)</f>
        <v>8.5750000000000011</v>
      </c>
      <c r="I400" s="127">
        <f t="shared" si="320"/>
        <v>1.1567894184002339</v>
      </c>
      <c r="J400" s="127">
        <f t="shared" si="321"/>
        <v>21.48972694212684</v>
      </c>
      <c r="K400" s="127">
        <f t="shared" ref="K400:L403" si="330">I400*$G400</f>
        <v>2.8802876204102992</v>
      </c>
      <c r="L400" s="127">
        <f t="shared" si="330"/>
        <v>53.507227411368149</v>
      </c>
      <c r="M400" s="127">
        <f t="shared" ref="M400:M403" si="331">K400+L400</f>
        <v>56.387515031778449</v>
      </c>
      <c r="N400" s="128">
        <f t="shared" ref="N400:N404" si="332">IF(D400&gt;0,M400/H400,"PO")</f>
        <v>6.5758035022482151</v>
      </c>
      <c r="O400" s="129" t="str">
        <f t="shared" si="322"/>
        <v>OK</v>
      </c>
    </row>
    <row r="401" spans="1:15" ht="14.25" customHeight="1" x14ac:dyDescent="0.25">
      <c r="A401" s="120" t="str">
        <f>IF(N401=MIN(N393:N416),1,"")</f>
        <v/>
      </c>
      <c r="B401" s="121">
        <f t="shared" si="326"/>
        <v>42325.333333333314</v>
      </c>
      <c r="C401" s="122">
        <f t="shared" si="329"/>
        <v>17</v>
      </c>
      <c r="D401" s="123">
        <v>1426.1367265478839</v>
      </c>
      <c r="E401" s="124">
        <v>40.088352134275731</v>
      </c>
      <c r="F401" s="125">
        <v>12.612201095684178</v>
      </c>
      <c r="G401" s="126">
        <v>2.4898979663848877</v>
      </c>
      <c r="H401" s="127">
        <f>HLOOKUP('Operational Worksheet'!E401,$B$773:$U$775,3)</f>
        <v>7.7875000000000005</v>
      </c>
      <c r="I401" s="127">
        <f t="shared" si="320"/>
        <v>1.142947916323275</v>
      </c>
      <c r="J401" s="127">
        <f t="shared" si="321"/>
        <v>21.224670865122487</v>
      </c>
      <c r="K401" s="127">
        <f t="shared" si="330"/>
        <v>2.8458236925371669</v>
      </c>
      <c r="L401" s="127">
        <f t="shared" si="330"/>
        <v>52.847264824257053</v>
      </c>
      <c r="M401" s="127">
        <f t="shared" si="331"/>
        <v>55.693088516794219</v>
      </c>
      <c r="N401" s="128">
        <f t="shared" si="332"/>
        <v>7.1516004515947627</v>
      </c>
      <c r="O401" s="129" t="str">
        <f t="shared" si="322"/>
        <v>OK</v>
      </c>
    </row>
    <row r="402" spans="1:15" ht="14.25" customHeight="1" x14ac:dyDescent="0.25">
      <c r="A402" s="120" t="str">
        <f>IF(N402=MIN(N393:N416),1,"")</f>
        <v/>
      </c>
      <c r="B402" s="121">
        <f t="shared" si="326"/>
        <v>42325.374999999978</v>
      </c>
      <c r="C402" s="122">
        <f t="shared" si="329"/>
        <v>17</v>
      </c>
      <c r="D402" s="123">
        <v>1424.2455485113485</v>
      </c>
      <c r="E402" s="124">
        <v>40.790912937311575</v>
      </c>
      <c r="F402" s="125">
        <v>12.617866336955846</v>
      </c>
      <c r="G402" s="126">
        <v>2.4898979663848877</v>
      </c>
      <c r="H402" s="127">
        <f>HLOOKUP('Operational Worksheet'!E402,$B$773:$U$775,3)</f>
        <v>7.7875000000000005</v>
      </c>
      <c r="I402" s="127">
        <f t="shared" si="320"/>
        <v>1.144465574565924</v>
      </c>
      <c r="J402" s="127">
        <f t="shared" si="321"/>
        <v>21.262400462017474</v>
      </c>
      <c r="K402" s="127">
        <f t="shared" si="330"/>
        <v>2.8496025067092061</v>
      </c>
      <c r="L402" s="127">
        <f t="shared" si="330"/>
        <v>52.941207670838409</v>
      </c>
      <c r="M402" s="127">
        <f t="shared" si="331"/>
        <v>55.790810177547613</v>
      </c>
      <c r="N402" s="128">
        <f t="shared" si="332"/>
        <v>7.164148979460367</v>
      </c>
      <c r="O402" s="129" t="str">
        <f t="shared" si="322"/>
        <v>OK</v>
      </c>
    </row>
    <row r="403" spans="1:15" ht="14.25" customHeight="1" x14ac:dyDescent="0.25">
      <c r="A403" s="120" t="str">
        <f>IF(N403=MIN(N393:N416),1,"")</f>
        <v/>
      </c>
      <c r="B403" s="121">
        <f t="shared" si="326"/>
        <v>42325.416666666642</v>
      </c>
      <c r="C403" s="122">
        <f t="shared" si="329"/>
        <v>17</v>
      </c>
      <c r="D403" s="123">
        <v>1436.4545909277849</v>
      </c>
      <c r="E403" s="124">
        <v>41.30950927734375</v>
      </c>
      <c r="F403" s="125">
        <v>12.590970673473935</v>
      </c>
      <c r="G403" s="126">
        <v>2.3524930477142334</v>
      </c>
      <c r="H403" s="127">
        <f>HLOOKUP('Operational Worksheet'!E403,$B$773:$U$775,3)</f>
        <v>7</v>
      </c>
      <c r="I403" s="127">
        <f t="shared" si="320"/>
        <v>1.1347382717801102</v>
      </c>
      <c r="J403" s="127">
        <f t="shared" si="321"/>
        <v>21.036745475413792</v>
      </c>
      <c r="K403" s="127">
        <f t="shared" si="330"/>
        <v>2.6694638953379735</v>
      </c>
      <c r="L403" s="127">
        <f t="shared" si="330"/>
        <v>49.488797477444798</v>
      </c>
      <c r="M403" s="127">
        <f t="shared" si="331"/>
        <v>52.158261372782775</v>
      </c>
      <c r="N403" s="128">
        <f t="shared" si="332"/>
        <v>7.4511801961118254</v>
      </c>
      <c r="O403" s="129" t="str">
        <f t="shared" si="322"/>
        <v>OK</v>
      </c>
    </row>
    <row r="404" spans="1:15" ht="14.25" customHeight="1" x14ac:dyDescent="0.25">
      <c r="A404" s="120" t="str">
        <f>IF(N404=MIN(N393:N416),1,"")</f>
        <v/>
      </c>
      <c r="B404" s="121">
        <f t="shared" si="326"/>
        <v>42325.458333333307</v>
      </c>
      <c r="C404" s="122">
        <f t="shared" si="329"/>
        <v>17</v>
      </c>
      <c r="D404" s="123">
        <v>1432.9837229300858</v>
      </c>
      <c r="E404" s="124">
        <v>41.30950927734375</v>
      </c>
      <c r="F404" s="125">
        <v>12.584958572151603</v>
      </c>
      <c r="G404" s="126">
        <v>2.3524930477142334</v>
      </c>
      <c r="H404" s="127">
        <f>HLOOKUP('Operational Worksheet'!E404,$B$773:$U$775,3)</f>
        <v>7</v>
      </c>
      <c r="I404" s="128">
        <f t="shared" si="320"/>
        <v>1.1374867515362046</v>
      </c>
      <c r="J404" s="127">
        <f t="shared" si="321"/>
        <v>21.077629905945184</v>
      </c>
      <c r="K404" s="127">
        <f>I404*$G404</f>
        <v>2.6759296748559689</v>
      </c>
      <c r="L404" s="127">
        <f>J404*$G404</f>
        <v>49.584977816029657</v>
      </c>
      <c r="M404" s="127">
        <f>K404+L404</f>
        <v>52.260907490885629</v>
      </c>
      <c r="N404" s="128">
        <f t="shared" si="332"/>
        <v>7.4658439272693755</v>
      </c>
      <c r="O404" s="129" t="str">
        <f t="shared" si="322"/>
        <v>OK</v>
      </c>
    </row>
    <row r="405" spans="1:15" ht="14.25" customHeight="1" x14ac:dyDescent="0.25">
      <c r="A405" s="120" t="str">
        <f>IF(N405=MIN(N393:N416),1,"")</f>
        <v/>
      </c>
      <c r="B405" s="121">
        <f t="shared" si="326"/>
        <v>42325.499999999971</v>
      </c>
      <c r="C405" s="122">
        <f>DAY(B405)</f>
        <v>17</v>
      </c>
      <c r="D405" s="123">
        <v>1423.8410453540923</v>
      </c>
      <c r="E405" s="124">
        <v>41.30950927734375</v>
      </c>
      <c r="F405" s="125">
        <v>12.604746175549979</v>
      </c>
      <c r="G405" s="126">
        <v>2.3524930477142334</v>
      </c>
      <c r="H405" s="127">
        <f>HLOOKUP('Operational Worksheet'!E405,$B$773:$U$775,3)</f>
        <v>7</v>
      </c>
      <c r="I405" s="127">
        <f t="shared" si="320"/>
        <v>1.1447907091304832</v>
      </c>
      <c r="J405" s="127">
        <f t="shared" si="321"/>
        <v>21.24632585921611</v>
      </c>
      <c r="K405" s="127">
        <f>I405*$G405</f>
        <v>2.6931121843173087</v>
      </c>
      <c r="L405" s="127">
        <f>J405*$G405</f>
        <v>49.981833873277033</v>
      </c>
      <c r="M405" s="127">
        <f>K405+L405</f>
        <v>52.67494605759434</v>
      </c>
      <c r="N405" s="128">
        <f>IF(D405&gt;0,M405/H405,"PO")</f>
        <v>7.5249922939420486</v>
      </c>
      <c r="O405" s="129" t="str">
        <f t="shared" si="322"/>
        <v>OK</v>
      </c>
    </row>
    <row r="406" spans="1:15" ht="14.25" customHeight="1" x14ac:dyDescent="0.25">
      <c r="A406" s="120" t="str">
        <f>IF(N406=MIN(N393:N416),1,"")</f>
        <v/>
      </c>
      <c r="B406" s="121">
        <f t="shared" si="326"/>
        <v>42325.541666666635</v>
      </c>
      <c r="C406" s="122">
        <f t="shared" ref="C406:C410" si="333">DAY(B406)</f>
        <v>17</v>
      </c>
      <c r="D406" s="123">
        <v>1429.3945173663931</v>
      </c>
      <c r="E406" s="124">
        <v>41.30950927734375</v>
      </c>
      <c r="F406" s="125">
        <v>12.611430370720042</v>
      </c>
      <c r="G406" s="126">
        <v>2.4765214920043945</v>
      </c>
      <c r="H406" s="127">
        <f>HLOOKUP('Operational Worksheet'!E406,$B$773:$U$775,3)</f>
        <v>7</v>
      </c>
      <c r="I406" s="127">
        <f t="shared" si="320"/>
        <v>1.1403429775309444</v>
      </c>
      <c r="J406" s="127">
        <f t="shared" si="321"/>
        <v>21.175002787540233</v>
      </c>
      <c r="K406" s="127">
        <f t="shared" ref="K406:L409" si="334">I406*$G406</f>
        <v>2.824083892111668</v>
      </c>
      <c r="L406" s="127">
        <f t="shared" si="334"/>
        <v>52.440349496596355</v>
      </c>
      <c r="M406" s="127">
        <f t="shared" ref="M406:M409" si="335">K406+L406</f>
        <v>55.264433388708021</v>
      </c>
      <c r="N406" s="128">
        <f t="shared" ref="N406:N410" si="336">IF(D406&gt;0,M406/H406,"PO")</f>
        <v>7.8949190555297175</v>
      </c>
      <c r="O406" s="129" t="str">
        <f t="shared" si="322"/>
        <v>OK</v>
      </c>
    </row>
    <row r="407" spans="1:15" ht="14.25" customHeight="1" x14ac:dyDescent="0.25">
      <c r="A407" s="120" t="str">
        <f>IF(N407=MIN(N393:N416),1,"")</f>
        <v/>
      </c>
      <c r="B407" s="121">
        <f t="shared" si="326"/>
        <v>42325.583333333299</v>
      </c>
      <c r="C407" s="122">
        <f t="shared" si="333"/>
        <v>17</v>
      </c>
      <c r="D407" s="123">
        <v>1428.8016570363807</v>
      </c>
      <c r="E407" s="124">
        <v>41.30950927734375</v>
      </c>
      <c r="F407" s="125">
        <v>12.590999836529411</v>
      </c>
      <c r="G407" s="126">
        <v>2.7926385402679443</v>
      </c>
      <c r="H407" s="127">
        <f>HLOOKUP('Operational Worksheet'!E407,$B$773:$U$775,3)</f>
        <v>7</v>
      </c>
      <c r="I407" s="127">
        <f t="shared" si="320"/>
        <v>1.1408161461549147</v>
      </c>
      <c r="J407" s="127">
        <f t="shared" si="321"/>
        <v>21.149471278154568</v>
      </c>
      <c r="K407" s="127">
        <f t="shared" si="334"/>
        <v>3.1858871371121626</v>
      </c>
      <c r="L407" s="127">
        <f t="shared" si="334"/>
        <v>59.062828597664385</v>
      </c>
      <c r="M407" s="127">
        <f t="shared" si="335"/>
        <v>62.248715734776546</v>
      </c>
      <c r="N407" s="128">
        <f t="shared" si="336"/>
        <v>8.8926736763966492</v>
      </c>
      <c r="O407" s="129" t="str">
        <f t="shared" si="322"/>
        <v>OK</v>
      </c>
    </row>
    <row r="408" spans="1:15" ht="14.25" customHeight="1" x14ac:dyDescent="0.25">
      <c r="A408" s="120" t="str">
        <f>IF(N408=MIN(N393:N416),1,"")</f>
        <v/>
      </c>
      <c r="B408" s="121">
        <f t="shared" si="326"/>
        <v>42325.624999999964</v>
      </c>
      <c r="C408" s="122">
        <f t="shared" si="333"/>
        <v>17</v>
      </c>
      <c r="D408" s="123">
        <v>1440.8899736344945</v>
      </c>
      <c r="E408" s="124">
        <v>41.30950927734375</v>
      </c>
      <c r="F408" s="125">
        <v>12.615912719959079</v>
      </c>
      <c r="G408" s="126">
        <v>2.7926385402679443</v>
      </c>
      <c r="H408" s="127">
        <f>HLOOKUP('Operational Worksheet'!E408,$B$773:$U$775,3)</f>
        <v>7</v>
      </c>
      <c r="I408" s="127">
        <f t="shared" si="320"/>
        <v>1.131245292718982</v>
      </c>
      <c r="J408" s="127">
        <f t="shared" si="321"/>
        <v>21.01353405321311</v>
      </c>
      <c r="K408" s="127">
        <f t="shared" si="334"/>
        <v>3.1591592029437212</v>
      </c>
      <c r="L408" s="127">
        <f t="shared" si="334"/>
        <v>58.6832050642358</v>
      </c>
      <c r="M408" s="127">
        <f t="shared" si="335"/>
        <v>61.842364267179519</v>
      </c>
      <c r="N408" s="128">
        <f t="shared" si="336"/>
        <v>8.8346234667399308</v>
      </c>
      <c r="O408" s="129" t="str">
        <f t="shared" si="322"/>
        <v>OK</v>
      </c>
    </row>
    <row r="409" spans="1:15" ht="14.25" customHeight="1" x14ac:dyDescent="0.25">
      <c r="A409" s="120" t="str">
        <f>IF(N409=MIN(N393:N416),1,"")</f>
        <v/>
      </c>
      <c r="B409" s="121">
        <f t="shared" si="326"/>
        <v>42325.666666666628</v>
      </c>
      <c r="C409" s="122">
        <f t="shared" si="333"/>
        <v>17</v>
      </c>
      <c r="D409" s="123">
        <v>1454.7039123148097</v>
      </c>
      <c r="E409" s="124">
        <v>39.223653111835908</v>
      </c>
      <c r="F409" s="125">
        <v>12.607403710252624</v>
      </c>
      <c r="G409" s="126">
        <v>2.7925312519073486</v>
      </c>
      <c r="H409" s="127">
        <f>HLOOKUP('Operational Worksheet'!E409,$B$773:$U$775,3)</f>
        <v>7.7875000000000005</v>
      </c>
      <c r="I409" s="127">
        <f t="shared" si="320"/>
        <v>1.1205029327282476</v>
      </c>
      <c r="J409" s="127">
        <f t="shared" si="321"/>
        <v>20.799950181242291</v>
      </c>
      <c r="K409" s="127">
        <f t="shared" si="334"/>
        <v>3.1290394574974689</v>
      </c>
      <c r="L409" s="127">
        <f t="shared" si="334"/>
        <v>58.084510919235022</v>
      </c>
      <c r="M409" s="127">
        <f t="shared" si="335"/>
        <v>61.213550376732492</v>
      </c>
      <c r="N409" s="128">
        <f t="shared" si="336"/>
        <v>7.860488009853289</v>
      </c>
      <c r="O409" s="129" t="str">
        <f t="shared" si="322"/>
        <v>OK</v>
      </c>
    </row>
    <row r="410" spans="1:15" ht="14.25" customHeight="1" x14ac:dyDescent="0.25">
      <c r="A410" s="120" t="str">
        <f>IF(N410=MIN(N393:N416),1,"")</f>
        <v/>
      </c>
      <c r="B410" s="121">
        <f t="shared" si="326"/>
        <v>42325.708333333292</v>
      </c>
      <c r="C410" s="122">
        <f t="shared" si="333"/>
        <v>17</v>
      </c>
      <c r="D410" s="123">
        <v>1440.1623939463122</v>
      </c>
      <c r="E410" s="124">
        <v>38.458179473876953</v>
      </c>
      <c r="F410" s="125">
        <v>12.603183069200142</v>
      </c>
      <c r="G410" s="126">
        <v>2.7925312519073486</v>
      </c>
      <c r="H410" s="127">
        <f>HLOOKUP('Operational Worksheet'!E410,$B$773:$U$775,3)</f>
        <v>8.5750000000000011</v>
      </c>
      <c r="I410" s="128">
        <f t="shared" si="320"/>
        <v>1.1318168054183788</v>
      </c>
      <c r="J410" s="127">
        <f t="shared" si="321"/>
        <v>21.002936539119172</v>
      </c>
      <c r="K410" s="127">
        <f>I410*$G410</f>
        <v>3.1606338005647614</v>
      </c>
      <c r="L410" s="127">
        <f>J410*$G410</f>
        <v>58.65135666731706</v>
      </c>
      <c r="M410" s="127">
        <f>K410+L410</f>
        <v>61.81199046788182</v>
      </c>
      <c r="N410" s="128">
        <f t="shared" si="336"/>
        <v>7.2083953898404447</v>
      </c>
      <c r="O410" s="129" t="str">
        <f t="shared" si="322"/>
        <v>OK</v>
      </c>
    </row>
    <row r="411" spans="1:15" ht="14.25" customHeight="1" x14ac:dyDescent="0.25">
      <c r="A411" s="120" t="str">
        <f>IF(N411=MIN(N393:N416),1,"")</f>
        <v/>
      </c>
      <c r="B411" s="121">
        <f>B410+1/24</f>
        <v>42325.749999999956</v>
      </c>
      <c r="C411" s="122">
        <f>DAY(B411)</f>
        <v>17</v>
      </c>
      <c r="D411" s="123">
        <v>1450.2432263792375</v>
      </c>
      <c r="E411" s="124">
        <v>38.458179473876953</v>
      </c>
      <c r="F411" s="125">
        <v>12.596930062442759</v>
      </c>
      <c r="G411" s="126">
        <v>2.7925312519073486</v>
      </c>
      <c r="H411" s="127">
        <f>HLOOKUP('Operational Worksheet'!E411,$B$773:$U$775,3)</f>
        <v>8.5750000000000011</v>
      </c>
      <c r="I411" s="127">
        <f t="shared" si="320"/>
        <v>1.1239493971432322</v>
      </c>
      <c r="J411" s="127">
        <f t="shared" si="321"/>
        <v>20.84659428152834</v>
      </c>
      <c r="K411" s="127">
        <f>I411*$G411</f>
        <v>3.1386638170848999</v>
      </c>
      <c r="L411" s="127">
        <f>J411*$G411</f>
        <v>58.214766027000913</v>
      </c>
      <c r="M411" s="127">
        <f>K411+L411</f>
        <v>61.353429844085809</v>
      </c>
      <c r="N411" s="128">
        <f>IF(D411&gt;0,M411/H411,"PO")</f>
        <v>7.1549189322549038</v>
      </c>
      <c r="O411" s="129" t="str">
        <f t="shared" si="322"/>
        <v>OK</v>
      </c>
    </row>
    <row r="412" spans="1:15" ht="14.25" customHeight="1" x14ac:dyDescent="0.25">
      <c r="A412" s="120" t="str">
        <f>IF(N412=MIN(N393:N416),1,"")</f>
        <v/>
      </c>
      <c r="B412" s="121">
        <f t="shared" ref="B412:B416" si="337">B411+1/24</f>
        <v>42325.791666666621</v>
      </c>
      <c r="C412" s="122">
        <f t="shared" ref="C412:C416" si="338">DAY(B412)</f>
        <v>17</v>
      </c>
      <c r="D412" s="123">
        <v>1442.9630846371847</v>
      </c>
      <c r="E412" s="124">
        <v>38.458179473876953</v>
      </c>
      <c r="F412" s="125">
        <v>12.608129787461719</v>
      </c>
      <c r="G412" s="126">
        <v>2.7925312519073486</v>
      </c>
      <c r="H412" s="127">
        <f>HLOOKUP('Operational Worksheet'!E412,$B$773:$U$775,3)</f>
        <v>8.5750000000000011</v>
      </c>
      <c r="I412" s="127">
        <f t="shared" si="320"/>
        <v>1.1296200279509183</v>
      </c>
      <c r="J412" s="127">
        <f t="shared" si="321"/>
        <v>20.97039890491482</v>
      </c>
      <c r="K412" s="127">
        <f t="shared" ref="K412:L415" si="339">I412*$G412</f>
        <v>3.1544992308333919</v>
      </c>
      <c r="L412" s="127">
        <f t="shared" si="339"/>
        <v>58.560494306938274</v>
      </c>
      <c r="M412" s="127">
        <f t="shared" ref="M412:M415" si="340">K412+L412</f>
        <v>61.714993537771669</v>
      </c>
      <c r="N412" s="128">
        <f t="shared" ref="N412:N416" si="341">IF(D412&gt;0,M412/H412,"PO")</f>
        <v>7.1970837944923218</v>
      </c>
      <c r="O412" s="129" t="str">
        <f t="shared" si="322"/>
        <v>OK</v>
      </c>
    </row>
    <row r="413" spans="1:15" ht="14.25" customHeight="1" x14ac:dyDescent="0.25">
      <c r="A413" s="120" t="str">
        <f>IF(N413=MIN(N393:N416),1,"")</f>
        <v/>
      </c>
      <c r="B413" s="121">
        <f t="shared" si="337"/>
        <v>42325.833333333285</v>
      </c>
      <c r="C413" s="122">
        <f t="shared" si="338"/>
        <v>17</v>
      </c>
      <c r="D413" s="123">
        <v>1441.882039819877</v>
      </c>
      <c r="E413" s="124">
        <v>38.458179473876953</v>
      </c>
      <c r="F413" s="125">
        <v>12.610158736168463</v>
      </c>
      <c r="G413" s="126">
        <v>2.7925312519073486</v>
      </c>
      <c r="H413" s="127">
        <f>HLOOKUP('Operational Worksheet'!E413,$B$773:$U$775,3)</f>
        <v>8.5750000000000011</v>
      </c>
      <c r="I413" s="127">
        <f t="shared" si="320"/>
        <v>1.1304669556766398</v>
      </c>
      <c r="J413" s="127">
        <f t="shared" si="321"/>
        <v>20.989498538025344</v>
      </c>
      <c r="K413" s="127">
        <f t="shared" si="339"/>
        <v>3.1568643029755763</v>
      </c>
      <c r="L413" s="127">
        <f t="shared" si="339"/>
        <v>58.613830629299379</v>
      </c>
      <c r="M413" s="127">
        <f t="shared" si="340"/>
        <v>61.770694932274957</v>
      </c>
      <c r="N413" s="128">
        <f t="shared" si="341"/>
        <v>7.2035795839387697</v>
      </c>
      <c r="O413" s="129" t="str">
        <f t="shared" si="322"/>
        <v>OK</v>
      </c>
    </row>
    <row r="414" spans="1:15" ht="14.25" customHeight="1" x14ac:dyDescent="0.25">
      <c r="A414" s="120" t="str">
        <f>IF(N414=MIN(N393:N416),1,"")</f>
        <v/>
      </c>
      <c r="B414" s="121">
        <f t="shared" si="337"/>
        <v>42325.874999999949</v>
      </c>
      <c r="C414" s="122">
        <f t="shared" si="338"/>
        <v>17</v>
      </c>
      <c r="D414" s="123">
        <v>1444.6428155834676</v>
      </c>
      <c r="E414" s="124">
        <v>38.281773827195067</v>
      </c>
      <c r="F414" s="125">
        <v>12.608028706309435</v>
      </c>
      <c r="G414" s="126">
        <v>2.7925312519073486</v>
      </c>
      <c r="H414" s="127">
        <f>HLOOKUP('Operational Worksheet'!E414,$B$773:$U$775,3)</f>
        <v>8.5750000000000011</v>
      </c>
      <c r="I414" s="127">
        <f t="shared" si="320"/>
        <v>1.1283065837569473</v>
      </c>
      <c r="J414" s="127">
        <f t="shared" si="321"/>
        <v>20.945848045436353</v>
      </c>
      <c r="K414" s="127">
        <f t="shared" si="339"/>
        <v>3.1508313968740915</v>
      </c>
      <c r="L414" s="127">
        <f t="shared" si="339"/>
        <v>58.491935264583468</v>
      </c>
      <c r="M414" s="127">
        <f t="shared" si="340"/>
        <v>61.642766661457557</v>
      </c>
      <c r="N414" s="128">
        <f t="shared" si="341"/>
        <v>7.1886608351553996</v>
      </c>
      <c r="O414" s="129" t="str">
        <f t="shared" si="322"/>
        <v>OK</v>
      </c>
    </row>
    <row r="415" spans="1:15" ht="14.25" customHeight="1" x14ac:dyDescent="0.25">
      <c r="A415" s="120" t="str">
        <f>IF(N415=MIN(N393:N416),1,"")</f>
        <v/>
      </c>
      <c r="B415" s="121">
        <f t="shared" si="337"/>
        <v>42325.916666666613</v>
      </c>
      <c r="C415" s="122">
        <f t="shared" si="338"/>
        <v>17</v>
      </c>
      <c r="D415" s="123">
        <v>1449.4343406249066</v>
      </c>
      <c r="E415" s="124">
        <v>37.772731781005859</v>
      </c>
      <c r="F415" s="125">
        <v>12.604626358745252</v>
      </c>
      <c r="G415" s="126">
        <v>2.7925312519073486</v>
      </c>
      <c r="H415" s="127">
        <f>HLOOKUP('Operational Worksheet'!E415,$B$773:$U$775,3)</f>
        <v>8.5750000000000011</v>
      </c>
      <c r="I415" s="127">
        <f t="shared" si="320"/>
        <v>1.1245766395304562</v>
      </c>
      <c r="J415" s="127">
        <f t="shared" si="321"/>
        <v>20.870971808178769</v>
      </c>
      <c r="K415" s="127">
        <f t="shared" si="339"/>
        <v>3.1404154110537439</v>
      </c>
      <c r="L415" s="127">
        <f t="shared" si="339"/>
        <v>58.282841032016435</v>
      </c>
      <c r="M415" s="127">
        <f t="shared" si="340"/>
        <v>61.42325644307018</v>
      </c>
      <c r="N415" s="128">
        <f t="shared" si="341"/>
        <v>7.1630619758682412</v>
      </c>
      <c r="O415" s="129" t="str">
        <f t="shared" si="322"/>
        <v>OK</v>
      </c>
    </row>
    <row r="416" spans="1:15" ht="14.25" customHeight="1" x14ac:dyDescent="0.25">
      <c r="A416" s="130" t="str">
        <f>IF(N416=MIN(N393:N416),1,"")</f>
        <v/>
      </c>
      <c r="B416" s="131">
        <f t="shared" si="337"/>
        <v>42325.958333333278</v>
      </c>
      <c r="C416" s="132">
        <f t="shared" si="338"/>
        <v>17</v>
      </c>
      <c r="D416" s="123">
        <v>1455.9778118497636</v>
      </c>
      <c r="E416" s="124">
        <v>37.772731781005859</v>
      </c>
      <c r="F416" s="125">
        <v>12.604468266611333</v>
      </c>
      <c r="G416" s="126">
        <v>2.7925312519073486</v>
      </c>
      <c r="H416" s="133">
        <f>HLOOKUP('Operational Worksheet'!E416,$B$773:$U$775,3)</f>
        <v>8.5750000000000011</v>
      </c>
      <c r="I416" s="134">
        <f t="shared" si="320"/>
        <v>1.1195225550375303</v>
      </c>
      <c r="J416" s="133">
        <f t="shared" si="321"/>
        <v>20.776912665609117</v>
      </c>
      <c r="K416" s="133">
        <f>I416*$G416</f>
        <v>3.1263017221574683</v>
      </c>
      <c r="L416" s="133">
        <f>J416*$G416</f>
        <v>58.020177936863078</v>
      </c>
      <c r="M416" s="133">
        <f>K416+L416</f>
        <v>61.146479659020549</v>
      </c>
      <c r="N416" s="134">
        <f t="shared" si="341"/>
        <v>7.1307847998857774</v>
      </c>
      <c r="O416" s="135" t="str">
        <f t="shared" si="322"/>
        <v>OK</v>
      </c>
    </row>
    <row r="417" spans="1:15" ht="14.25" customHeight="1" x14ac:dyDescent="0.25">
      <c r="A417" s="110" t="str">
        <f>IF(N417=MIN(N417:N440),1,"")</f>
        <v/>
      </c>
      <c r="B417" s="111">
        <f>'[1]Turbidity Daily Data Sheet'!B33</f>
        <v>42326</v>
      </c>
      <c r="C417" s="112">
        <f>DAY(B417)</f>
        <v>18</v>
      </c>
      <c r="D417" s="123">
        <v>1445.2407449058132</v>
      </c>
      <c r="E417" s="124">
        <v>37.772731781005859</v>
      </c>
      <c r="F417" s="125">
        <v>12.598425158241465</v>
      </c>
      <c r="G417" s="126">
        <v>2.8130779266357422</v>
      </c>
      <c r="H417" s="117">
        <f>HLOOKUP('Operational Worksheet'!E417,$B$773:$U$775,3)</f>
        <v>8.5750000000000011</v>
      </c>
      <c r="I417" s="117">
        <f t="shared" si="320"/>
        <v>1.1278397773834059</v>
      </c>
      <c r="J417" s="117">
        <f t="shared" si="321"/>
        <v>20.921234393893329</v>
      </c>
      <c r="K417" s="117">
        <f>I417*$G417</f>
        <v>3.1727011825390283</v>
      </c>
      <c r="L417" s="117">
        <f>J417*$G417</f>
        <v>58.853062671433825</v>
      </c>
      <c r="M417" s="117">
        <f>K417+L417</f>
        <v>62.025763853972855</v>
      </c>
      <c r="N417" s="118">
        <f>IF(D417&gt;0,M417/H417,"PO")</f>
        <v>7.2333252307840059</v>
      </c>
      <c r="O417" s="119" t="str">
        <f t="shared" si="322"/>
        <v>OK</v>
      </c>
    </row>
    <row r="418" spans="1:15" ht="14.25" customHeight="1" x14ac:dyDescent="0.25">
      <c r="A418" s="120" t="str">
        <f>IF(N418=MIN(N417:N440),1,"")</f>
        <v/>
      </c>
      <c r="B418" s="121">
        <f>B417+1/24</f>
        <v>42326.041666666664</v>
      </c>
      <c r="C418" s="122">
        <f>DAY(B418)</f>
        <v>18</v>
      </c>
      <c r="D418" s="123">
        <v>1446.4093455322034</v>
      </c>
      <c r="E418" s="124">
        <v>37.772731781005859</v>
      </c>
      <c r="F418" s="125">
        <v>12.604292172633441</v>
      </c>
      <c r="G418" s="126">
        <v>2.8130779266357422</v>
      </c>
      <c r="H418" s="127">
        <f>HLOOKUP('Operational Worksheet'!E418,$B$773:$U$775,3)</f>
        <v>8.5750000000000011</v>
      </c>
      <c r="I418" s="127">
        <f t="shared" si="320"/>
        <v>1.1269285593562346</v>
      </c>
      <c r="J418" s="127">
        <f t="shared" si="321"/>
        <v>20.914066483157104</v>
      </c>
      <c r="K418" s="127">
        <f t="shared" ref="K418:L421" si="342">I418*$G418</f>
        <v>3.1701378552204402</v>
      </c>
      <c r="L418" s="127">
        <f t="shared" si="342"/>
        <v>58.832898779961653</v>
      </c>
      <c r="M418" s="127">
        <f t="shared" ref="M418:M421" si="343">K418+L418</f>
        <v>62.003036635182092</v>
      </c>
      <c r="N418" s="128">
        <f t="shared" ref="N418:N422" si="344">IF(D418&gt;0,M418/H418,"PO")</f>
        <v>7.2306748262603016</v>
      </c>
      <c r="O418" s="129" t="str">
        <f t="shared" si="322"/>
        <v>OK</v>
      </c>
    </row>
    <row r="419" spans="1:15" ht="14.25" customHeight="1" x14ac:dyDescent="0.25">
      <c r="A419" s="120" t="str">
        <f>IF(N419=MIN(N417:N440),1,"")</f>
        <v/>
      </c>
      <c r="B419" s="121">
        <f t="shared" ref="B419:B434" si="345">B418+1/24</f>
        <v>42326.083333333328</v>
      </c>
      <c r="C419" s="122">
        <f t="shared" ref="C419" si="346">DAY(B419)</f>
        <v>18</v>
      </c>
      <c r="D419" s="123">
        <v>1441.7902307984612</v>
      </c>
      <c r="E419" s="124">
        <v>37.772731781005859</v>
      </c>
      <c r="F419" s="125">
        <v>12.605718007893504</v>
      </c>
      <c r="G419" s="126">
        <v>2.8131847381591797</v>
      </c>
      <c r="H419" s="127">
        <f>HLOOKUP('Operational Worksheet'!E419,$B$773:$U$775,3)</f>
        <v>8.5750000000000011</v>
      </c>
      <c r="I419" s="127">
        <f t="shared" si="320"/>
        <v>1.13053894053458</v>
      </c>
      <c r="J419" s="127">
        <f t="shared" si="321"/>
        <v>20.9834430645226</v>
      </c>
      <c r="K419" s="127">
        <f t="shared" si="342"/>
        <v>3.1804148934065291</v>
      </c>
      <c r="L419" s="127">
        <f t="shared" si="342"/>
        <v>59.030301783147067</v>
      </c>
      <c r="M419" s="127">
        <f t="shared" si="343"/>
        <v>62.210716676553595</v>
      </c>
      <c r="N419" s="128">
        <f t="shared" si="344"/>
        <v>7.254894073067474</v>
      </c>
      <c r="O419" s="129" t="str">
        <f t="shared" si="322"/>
        <v>OK</v>
      </c>
    </row>
    <row r="420" spans="1:15" ht="14.25" customHeight="1" x14ac:dyDescent="0.25">
      <c r="A420" s="120" t="str">
        <f>IF(N420=MIN(N417:N440),1,"")</f>
        <v/>
      </c>
      <c r="B420" s="121">
        <f t="shared" si="345"/>
        <v>42326.124999999993</v>
      </c>
      <c r="C420" s="122">
        <f>DAY(B420)</f>
        <v>18</v>
      </c>
      <c r="D420" s="123">
        <v>1439.6548342097149</v>
      </c>
      <c r="E420" s="124">
        <v>37.772731781005859</v>
      </c>
      <c r="F420" s="125">
        <v>12.609127514367984</v>
      </c>
      <c r="G420" s="126">
        <v>2.7513313293457031</v>
      </c>
      <c r="H420" s="127">
        <f>HLOOKUP('Operational Worksheet'!E420,$B$773:$U$775,3)</f>
        <v>8.5750000000000011</v>
      </c>
      <c r="I420" s="127">
        <f t="shared" si="320"/>
        <v>1.1322158348426437</v>
      </c>
      <c r="J420" s="127">
        <f t="shared" si="321"/>
        <v>21.020251045866249</v>
      </c>
      <c r="K420" s="127">
        <f t="shared" si="342"/>
        <v>3.1151008979838659</v>
      </c>
      <c r="L420" s="127">
        <f t="shared" si="342"/>
        <v>57.833675253203594</v>
      </c>
      <c r="M420" s="127">
        <f t="shared" si="343"/>
        <v>60.94877615118746</v>
      </c>
      <c r="N420" s="128">
        <f t="shared" si="344"/>
        <v>7.1077289972230266</v>
      </c>
      <c r="O420" s="129" t="str">
        <f t="shared" si="322"/>
        <v>OK</v>
      </c>
    </row>
    <row r="421" spans="1:15" ht="14.25" customHeight="1" x14ac:dyDescent="0.25">
      <c r="A421" s="120" t="str">
        <f>IF(N421=MIN(N417:N440),1,"")</f>
        <v/>
      </c>
      <c r="B421" s="121">
        <f t="shared" si="345"/>
        <v>42326.166666666657</v>
      </c>
      <c r="C421" s="122">
        <f t="shared" ref="C421:C422" si="347">DAY(B421)</f>
        <v>18</v>
      </c>
      <c r="D421" s="123">
        <v>1439.9401538500927</v>
      </c>
      <c r="E421" s="124">
        <v>37.772731781005859</v>
      </c>
      <c r="F421" s="125">
        <v>12.60564483323879</v>
      </c>
      <c r="G421" s="126">
        <v>2.7444825172424316</v>
      </c>
      <c r="H421" s="127">
        <f>HLOOKUP('Operational Worksheet'!E421,$B$773:$U$775,3)</f>
        <v>8.5750000000000011</v>
      </c>
      <c r="I421" s="127">
        <f t="shared" si="320"/>
        <v>1.1319914898141621</v>
      </c>
      <c r="J421" s="127">
        <f t="shared" si="321"/>
        <v>21.010281239037305</v>
      </c>
      <c r="K421" s="127">
        <f t="shared" si="342"/>
        <v>3.106730853462182</v>
      </c>
      <c r="L421" s="127">
        <f t="shared" si="342"/>
        <v>57.662349542884535</v>
      </c>
      <c r="M421" s="127">
        <f t="shared" si="343"/>
        <v>60.769080396346716</v>
      </c>
      <c r="N421" s="128">
        <f t="shared" si="344"/>
        <v>7.086773224063756</v>
      </c>
      <c r="O421" s="129" t="str">
        <f t="shared" si="322"/>
        <v>OK</v>
      </c>
    </row>
    <row r="422" spans="1:15" ht="14.25" customHeight="1" x14ac:dyDescent="0.25">
      <c r="A422" s="120" t="str">
        <f>IF(N422=MIN(N417:N440),1,"")</f>
        <v/>
      </c>
      <c r="B422" s="121">
        <f t="shared" si="345"/>
        <v>42326.208333333321</v>
      </c>
      <c r="C422" s="122">
        <f t="shared" si="347"/>
        <v>18</v>
      </c>
      <c r="D422" s="123">
        <v>1436.6474485362617</v>
      </c>
      <c r="E422" s="124">
        <v>37.84497412120735</v>
      </c>
      <c r="F422" s="125">
        <v>12.611870836338671</v>
      </c>
      <c r="G422" s="126">
        <v>2.7444825172424316</v>
      </c>
      <c r="H422" s="127">
        <f>HLOOKUP('Operational Worksheet'!E422,$B$773:$U$775,3)</f>
        <v>8.5750000000000011</v>
      </c>
      <c r="I422" s="128">
        <f t="shared" si="320"/>
        <v>1.1345859428913732</v>
      </c>
      <c r="J422" s="127">
        <f t="shared" si="321"/>
        <v>21.068836364866044</v>
      </c>
      <c r="K422" s="127">
        <f>I422*$G422</f>
        <v>3.1138512845743938</v>
      </c>
      <c r="L422" s="127">
        <f>J422*$G422</f>
        <v>57.823053062016442</v>
      </c>
      <c r="M422" s="127">
        <f>K422+L422</f>
        <v>60.936904346590836</v>
      </c>
      <c r="N422" s="128">
        <f t="shared" si="344"/>
        <v>7.1063445302146739</v>
      </c>
      <c r="O422" s="129" t="str">
        <f t="shared" si="322"/>
        <v>OK</v>
      </c>
    </row>
    <row r="423" spans="1:15" ht="14.25" customHeight="1" x14ac:dyDescent="0.25">
      <c r="A423" s="120" t="str">
        <f>IF(N423=MIN(N417:N440),1,"")</f>
        <v/>
      </c>
      <c r="B423" s="121">
        <f t="shared" si="345"/>
        <v>42326.249999999985</v>
      </c>
      <c r="C423" s="122">
        <f>DAY(B423)</f>
        <v>18</v>
      </c>
      <c r="D423" s="123">
        <v>1455.8102446914538</v>
      </c>
      <c r="E423" s="124">
        <v>38.00592041015625</v>
      </c>
      <c r="F423" s="125">
        <v>12.613843908870551</v>
      </c>
      <c r="G423" s="126">
        <v>2.7444825172424316</v>
      </c>
      <c r="H423" s="127">
        <f>HLOOKUP('Operational Worksheet'!E423,$B$773:$U$775,3)</f>
        <v>8.5750000000000011</v>
      </c>
      <c r="I423" s="127">
        <f t="shared" si="320"/>
        <v>1.1196514146975687</v>
      </c>
      <c r="J423" s="127">
        <f t="shared" si="321"/>
        <v>20.794760506514685</v>
      </c>
      <c r="K423" s="127">
        <f>I423*$G423</f>
        <v>3.0728637330432331</v>
      </c>
      <c r="L423" s="127">
        <f>J423*$G423</f>
        <v>57.070856660372925</v>
      </c>
      <c r="M423" s="127">
        <f>K423+L423</f>
        <v>60.14372039341616</v>
      </c>
      <c r="N423" s="128">
        <f>IF(D423&gt;0,M423/H423,"PO")</f>
        <v>7.0138449438386186</v>
      </c>
      <c r="O423" s="129" t="str">
        <f t="shared" si="322"/>
        <v>OK</v>
      </c>
    </row>
    <row r="424" spans="1:15" ht="14.25" customHeight="1" x14ac:dyDescent="0.25">
      <c r="A424" s="120" t="str">
        <f>IF(N424=MIN(N417:N440),1,"")</f>
        <v/>
      </c>
      <c r="B424" s="121">
        <f t="shared" si="345"/>
        <v>42326.29166666665</v>
      </c>
      <c r="C424" s="122">
        <f t="shared" ref="C424:C428" si="348">DAY(B424)</f>
        <v>18</v>
      </c>
      <c r="D424" s="123">
        <v>1274.5278507001922</v>
      </c>
      <c r="E424" s="124">
        <v>38.00592041015625</v>
      </c>
      <c r="F424" s="125">
        <v>12.632518944913402</v>
      </c>
      <c r="G424" s="126">
        <v>2.7444825172424316</v>
      </c>
      <c r="H424" s="127">
        <f>HLOOKUP('Operational Worksheet'!E424,$B$773:$U$775,3)</f>
        <v>8.5750000000000011</v>
      </c>
      <c r="I424" s="127">
        <f t="shared" si="320"/>
        <v>1.2789049679098976</v>
      </c>
      <c r="J424" s="127">
        <f t="shared" si="321"/>
        <v>23.78766807734819</v>
      </c>
      <c r="K424" s="127">
        <f t="shared" ref="K424:L427" si="349">I424*$G424</f>
        <v>3.5099323256432071</v>
      </c>
      <c r="L424" s="127">
        <f t="shared" si="349"/>
        <v>65.284839164247998</v>
      </c>
      <c r="M424" s="127">
        <f t="shared" ref="M424:M427" si="350">K424+L424</f>
        <v>68.794771489891204</v>
      </c>
      <c r="N424" s="128">
        <f t="shared" ref="N424:N428" si="351">IF(D424&gt;0,M424/H424,"PO")</f>
        <v>8.0227138763721513</v>
      </c>
      <c r="O424" s="129" t="str">
        <f t="shared" si="322"/>
        <v>OK</v>
      </c>
    </row>
    <row r="425" spans="1:15" ht="14.25" customHeight="1" x14ac:dyDescent="0.25">
      <c r="A425" s="120" t="str">
        <f>IF(N425=MIN(N417:N440),1,"")</f>
        <v/>
      </c>
      <c r="B425" s="121">
        <f t="shared" si="345"/>
        <v>42326.333333333314</v>
      </c>
      <c r="C425" s="122">
        <f t="shared" si="348"/>
        <v>18</v>
      </c>
      <c r="D425" s="123">
        <v>891.85213888531928</v>
      </c>
      <c r="E425" s="124">
        <v>38.480468274150866</v>
      </c>
      <c r="F425" s="125">
        <v>12.615684952761306</v>
      </c>
      <c r="G425" s="126">
        <v>2.8268826007843018</v>
      </c>
      <c r="H425" s="127">
        <f>HLOOKUP('Operational Worksheet'!E425,$B$773:$U$775,3)</f>
        <v>8.5750000000000011</v>
      </c>
      <c r="I425" s="127">
        <f t="shared" si="320"/>
        <v>1.8276572190960423</v>
      </c>
      <c r="J425" s="127">
        <f t="shared" si="321"/>
        <v>33.949174494854745</v>
      </c>
      <c r="K425" s="127">
        <f t="shared" si="349"/>
        <v>5.1665723928604246</v>
      </c>
      <c r="L425" s="127">
        <f t="shared" si="349"/>
        <v>95.970330690495061</v>
      </c>
      <c r="M425" s="127">
        <f t="shared" si="350"/>
        <v>101.13690308335549</v>
      </c>
      <c r="N425" s="128">
        <f t="shared" si="351"/>
        <v>11.794391030128919</v>
      </c>
      <c r="O425" s="129" t="str">
        <f t="shared" si="322"/>
        <v>OK</v>
      </c>
    </row>
    <row r="426" spans="1:15" ht="14.25" customHeight="1" x14ac:dyDescent="0.25">
      <c r="A426" s="120" t="str">
        <f>IF(N426=MIN(N417:N440),1,"")</f>
        <v/>
      </c>
      <c r="B426" s="121">
        <f t="shared" si="345"/>
        <v>42326.374999999978</v>
      </c>
      <c r="C426" s="122">
        <f t="shared" si="348"/>
        <v>18</v>
      </c>
      <c r="D426" s="123">
        <v>1329.7891123670429</v>
      </c>
      <c r="E426" s="124">
        <v>38.497043609619141</v>
      </c>
      <c r="F426" s="125">
        <v>12.595872916058948</v>
      </c>
      <c r="G426" s="126">
        <v>2.6894779205322266</v>
      </c>
      <c r="H426" s="127">
        <f>HLOOKUP('Operational Worksheet'!E426,$B$773:$U$775,3)</f>
        <v>8.5750000000000011</v>
      </c>
      <c r="I426" s="127">
        <f t="shared" si="320"/>
        <v>1.2257582686164257</v>
      </c>
      <c r="J426" s="127">
        <f t="shared" si="321"/>
        <v>22.732999328541268</v>
      </c>
      <c r="K426" s="127">
        <f t="shared" si="349"/>
        <v>3.2966497993536867</v>
      </c>
      <c r="L426" s="127">
        <f t="shared" si="349"/>
        <v>61.139899761585674</v>
      </c>
      <c r="M426" s="127">
        <f t="shared" si="350"/>
        <v>64.436549560939355</v>
      </c>
      <c r="N426" s="128">
        <f t="shared" si="351"/>
        <v>7.5144664211007983</v>
      </c>
      <c r="O426" s="129" t="str">
        <f t="shared" si="322"/>
        <v>OK</v>
      </c>
    </row>
    <row r="427" spans="1:15" ht="14.25" customHeight="1" x14ac:dyDescent="0.25">
      <c r="A427" s="120" t="str">
        <f>IF(N427=MIN(N417:N440),1,"")</f>
        <v/>
      </c>
      <c r="B427" s="121">
        <f t="shared" si="345"/>
        <v>42326.416666666642</v>
      </c>
      <c r="C427" s="122">
        <f t="shared" si="348"/>
        <v>18</v>
      </c>
      <c r="D427" s="123">
        <v>1351.0621945532039</v>
      </c>
      <c r="E427" s="124">
        <v>38.497043609619141</v>
      </c>
      <c r="F427" s="125">
        <v>12.603960419220044</v>
      </c>
      <c r="G427" s="126">
        <v>2.4626097679138184</v>
      </c>
      <c r="H427" s="127">
        <f>HLOOKUP('Operational Worksheet'!E427,$B$773:$U$775,3)</f>
        <v>8.5750000000000011</v>
      </c>
      <c r="I427" s="127">
        <f t="shared" si="320"/>
        <v>1.2064581531267262</v>
      </c>
      <c r="J427" s="127">
        <f t="shared" si="321"/>
        <v>22.389424504718388</v>
      </c>
      <c r="K427" s="127">
        <f t="shared" si="349"/>
        <v>2.9710356324691412</v>
      </c>
      <c r="L427" s="127">
        <f t="shared" si="349"/>
        <v>55.136415483288509</v>
      </c>
      <c r="M427" s="127">
        <f t="shared" si="350"/>
        <v>58.107451115757648</v>
      </c>
      <c r="N427" s="128">
        <f t="shared" si="351"/>
        <v>6.7763791388638648</v>
      </c>
      <c r="O427" s="129" t="str">
        <f t="shared" si="322"/>
        <v>OK</v>
      </c>
    </row>
    <row r="428" spans="1:15" ht="14.25" customHeight="1" x14ac:dyDescent="0.25">
      <c r="A428" s="120" t="str">
        <f>IF(N428=MIN(N417:N440),1,"")</f>
        <v/>
      </c>
      <c r="B428" s="121">
        <f t="shared" si="345"/>
        <v>42326.458333333307</v>
      </c>
      <c r="C428" s="122">
        <f t="shared" si="348"/>
        <v>18</v>
      </c>
      <c r="D428" s="123">
        <v>1346.0607580028573</v>
      </c>
      <c r="E428" s="124">
        <v>40.07660159234527</v>
      </c>
      <c r="F428" s="125">
        <v>12.605440383445963</v>
      </c>
      <c r="G428" s="126">
        <v>2.6893706321716309</v>
      </c>
      <c r="H428" s="127">
        <f>HLOOKUP('Operational Worksheet'!E428,$B$773:$U$775,3)</f>
        <v>7.7875000000000005</v>
      </c>
      <c r="I428" s="128">
        <f t="shared" si="320"/>
        <v>1.2109408808696138</v>
      </c>
      <c r="J428" s="127">
        <f t="shared" si="321"/>
        <v>22.475253617196746</v>
      </c>
      <c r="K428" s="127">
        <f>I428*$G428</f>
        <v>3.2566688423067847</v>
      </c>
      <c r="L428" s="127">
        <f>J428*$G428</f>
        <v>60.444287028698142</v>
      </c>
      <c r="M428" s="127">
        <f>K428+L428</f>
        <v>63.700955871004929</v>
      </c>
      <c r="N428" s="128">
        <f t="shared" si="351"/>
        <v>8.1798980251691713</v>
      </c>
      <c r="O428" s="129" t="str">
        <f t="shared" si="322"/>
        <v>OK</v>
      </c>
    </row>
    <row r="429" spans="1:15" ht="14.25" customHeight="1" x14ac:dyDescent="0.25">
      <c r="A429" s="120" t="str">
        <f>IF(N429=MIN(N417:N440),1,"")</f>
        <v/>
      </c>
      <c r="B429" s="121">
        <f t="shared" si="345"/>
        <v>42326.499999999971</v>
      </c>
      <c r="C429" s="122">
        <f>DAY(B429)</f>
        <v>18</v>
      </c>
      <c r="D429" s="123">
        <v>1352.2686232386711</v>
      </c>
      <c r="E429" s="124">
        <v>40.253067016601563</v>
      </c>
      <c r="F429" s="125">
        <v>12.601725107940197</v>
      </c>
      <c r="G429" s="126">
        <v>2.6893706321716309</v>
      </c>
      <c r="H429" s="127">
        <f>HLOOKUP('Operational Worksheet'!E429,$B$773:$U$775,3)</f>
        <v>7.7875000000000005</v>
      </c>
      <c r="I429" s="127">
        <f t="shared" si="320"/>
        <v>1.2053818094929725</v>
      </c>
      <c r="J429" s="127">
        <f t="shared" si="321"/>
        <v>22.365482522712114</v>
      </c>
      <c r="K429" s="127">
        <f>I429*$G429</f>
        <v>3.2417184390042997</v>
      </c>
      <c r="L429" s="127">
        <f>J429*$G429</f>
        <v>60.149071870929838</v>
      </c>
      <c r="M429" s="127">
        <f>K429+L429</f>
        <v>63.39079030993414</v>
      </c>
      <c r="N429" s="128">
        <f>IF(D429&gt;0,M429/H429,"PO")</f>
        <v>8.140069381692987</v>
      </c>
      <c r="O429" s="129" t="str">
        <f t="shared" si="322"/>
        <v>OK</v>
      </c>
    </row>
    <row r="430" spans="1:15" ht="14.25" customHeight="1" x14ac:dyDescent="0.25">
      <c r="A430" s="120" t="str">
        <f>IF(N430=MIN(N417:N440),1,"")</f>
        <v/>
      </c>
      <c r="B430" s="121">
        <f t="shared" si="345"/>
        <v>42326.541666666635</v>
      </c>
      <c r="C430" s="122">
        <f t="shared" ref="C430:C434" si="352">DAY(B430)</f>
        <v>18</v>
      </c>
      <c r="D430" s="123">
        <v>1352.7189365970378</v>
      </c>
      <c r="E430" s="124">
        <v>40.253067016601563</v>
      </c>
      <c r="F430" s="125">
        <v>12.601637949931416</v>
      </c>
      <c r="G430" s="126">
        <v>2.6893706321716309</v>
      </c>
      <c r="H430" s="127">
        <f>HLOOKUP('Operational Worksheet'!E430,$B$773:$U$775,3)</f>
        <v>7.7875000000000005</v>
      </c>
      <c r="I430" s="127">
        <f t="shared" si="320"/>
        <v>1.2049805439262227</v>
      </c>
      <c r="J430" s="127">
        <f t="shared" si="321"/>
        <v>22.357882529476836</v>
      </c>
      <c r="K430" s="127">
        <f t="shared" ref="K430:L433" si="353">I430*$G430</f>
        <v>3.2406392871733809</v>
      </c>
      <c r="L430" s="127">
        <f t="shared" si="353"/>
        <v>60.128632672318176</v>
      </c>
      <c r="M430" s="127">
        <f t="shared" ref="M430:M433" si="354">K430+L430</f>
        <v>63.369271959491556</v>
      </c>
      <c r="N430" s="128">
        <f t="shared" ref="N430:N434" si="355">IF(D430&gt;0,M430/H430,"PO")</f>
        <v>8.1373061906249191</v>
      </c>
      <c r="O430" s="129" t="str">
        <f t="shared" si="322"/>
        <v>OK</v>
      </c>
    </row>
    <row r="431" spans="1:15" ht="14.25" customHeight="1" x14ac:dyDescent="0.25">
      <c r="A431" s="120" t="str">
        <f>IF(N431=MIN(N417:N440),1,"")</f>
        <v/>
      </c>
      <c r="B431" s="121">
        <f t="shared" si="345"/>
        <v>42326.583333333299</v>
      </c>
      <c r="C431" s="122">
        <f t="shared" si="352"/>
        <v>18</v>
      </c>
      <c r="D431" s="123">
        <v>1528.1790441841215</v>
      </c>
      <c r="E431" s="124">
        <v>40.253067016601563</v>
      </c>
      <c r="F431" s="125">
        <v>12.600882561336629</v>
      </c>
      <c r="G431" s="126">
        <v>2.6893706321716309</v>
      </c>
      <c r="H431" s="127">
        <f>HLOOKUP('Operational Worksheet'!E431,$B$773:$U$775,3)</f>
        <v>7.7875000000000005</v>
      </c>
      <c r="I431" s="127">
        <f t="shared" si="320"/>
        <v>1.0666289439077079</v>
      </c>
      <c r="J431" s="127">
        <f t="shared" si="321"/>
        <v>19.789643276618712</v>
      </c>
      <c r="K431" s="127">
        <f t="shared" si="353"/>
        <v>2.8685605571696313</v>
      </c>
      <c r="L431" s="127">
        <f t="shared" si="353"/>
        <v>53.22168544929113</v>
      </c>
      <c r="M431" s="127">
        <f t="shared" si="354"/>
        <v>56.09024600646076</v>
      </c>
      <c r="N431" s="128">
        <f t="shared" si="355"/>
        <v>7.2025998082132592</v>
      </c>
      <c r="O431" s="129" t="str">
        <f t="shared" si="322"/>
        <v>OK</v>
      </c>
    </row>
    <row r="432" spans="1:15" ht="14.25" customHeight="1" x14ac:dyDescent="0.25">
      <c r="A432" s="120">
        <f>IF(N432=MIN(N417:N440),1,"")</f>
        <v>1</v>
      </c>
      <c r="B432" s="121">
        <f t="shared" si="345"/>
        <v>42326.624999999964</v>
      </c>
      <c r="C432" s="122">
        <f t="shared" si="352"/>
        <v>18</v>
      </c>
      <c r="D432" s="123">
        <v>1715.1932965266931</v>
      </c>
      <c r="E432" s="124">
        <v>40.253067016601563</v>
      </c>
      <c r="F432" s="125">
        <v>12.593836357747394</v>
      </c>
      <c r="G432" s="126">
        <v>2.6893706321716309</v>
      </c>
      <c r="H432" s="127">
        <f>HLOOKUP('Operational Worksheet'!E432,$B$773:$U$775,3)</f>
        <v>7.7875000000000005</v>
      </c>
      <c r="I432" s="127">
        <f t="shared" si="320"/>
        <v>0.95033020668911694</v>
      </c>
      <c r="J432" s="127">
        <f t="shared" si="321"/>
        <v>17.622041387288828</v>
      </c>
      <c r="K432" s="127">
        <f t="shared" si="353"/>
        <v>2.5557901487353072</v>
      </c>
      <c r="L432" s="127">
        <f t="shared" si="353"/>
        <v>47.392200585887601</v>
      </c>
      <c r="M432" s="127">
        <f t="shared" si="354"/>
        <v>49.947990734622906</v>
      </c>
      <c r="N432" s="128">
        <f t="shared" si="355"/>
        <v>6.4138671890366483</v>
      </c>
      <c r="O432" s="129" t="str">
        <f t="shared" si="322"/>
        <v>OK</v>
      </c>
    </row>
    <row r="433" spans="1:15" ht="14.25" customHeight="1" x14ac:dyDescent="0.25">
      <c r="A433" s="120" t="str">
        <f>IF(N433=MIN(N417:N440),1,"")</f>
        <v/>
      </c>
      <c r="B433" s="121">
        <f t="shared" si="345"/>
        <v>42326.666666666628</v>
      </c>
      <c r="C433" s="122">
        <f t="shared" si="352"/>
        <v>18</v>
      </c>
      <c r="D433" s="123">
        <v>1701.8267894584706</v>
      </c>
      <c r="E433" s="124">
        <v>40.022209423238877</v>
      </c>
      <c r="F433" s="125">
        <v>12.59537256874575</v>
      </c>
      <c r="G433" s="126">
        <v>2.6893706321716309</v>
      </c>
      <c r="H433" s="127">
        <f>HLOOKUP('Operational Worksheet'!E433,$B$773:$U$775,3)</f>
        <v>7.7875000000000005</v>
      </c>
      <c r="I433" s="127">
        <f t="shared" si="320"/>
        <v>0.95779430086341144</v>
      </c>
      <c r="J433" s="127">
        <f t="shared" si="321"/>
        <v>17.762615062963476</v>
      </c>
      <c r="K433" s="127">
        <f t="shared" si="353"/>
        <v>2.5758638644034182</v>
      </c>
      <c r="L433" s="127">
        <f t="shared" si="353"/>
        <v>47.770255300903415</v>
      </c>
      <c r="M433" s="127">
        <f t="shared" si="354"/>
        <v>50.346119165306831</v>
      </c>
      <c r="N433" s="128">
        <f t="shared" si="355"/>
        <v>6.4649912250795287</v>
      </c>
      <c r="O433" s="129" t="str">
        <f t="shared" si="322"/>
        <v>OK</v>
      </c>
    </row>
    <row r="434" spans="1:15" ht="14.25" customHeight="1" x14ac:dyDescent="0.25">
      <c r="A434" s="120" t="str">
        <f>IF(N434=MIN(N417:N440),1,"")</f>
        <v/>
      </c>
      <c r="B434" s="121">
        <f t="shared" si="345"/>
        <v>42326.708333333292</v>
      </c>
      <c r="C434" s="122">
        <f t="shared" si="352"/>
        <v>18</v>
      </c>
      <c r="D434" s="123">
        <v>1573.0750196811459</v>
      </c>
      <c r="E434" s="124">
        <v>39.454555511474609</v>
      </c>
      <c r="F434" s="125">
        <v>12.609395874412138</v>
      </c>
      <c r="G434" s="126">
        <v>2.6893706321716309</v>
      </c>
      <c r="H434" s="127">
        <f>HLOOKUP('Operational Worksheet'!E434,$B$773:$U$775,3)</f>
        <v>7.7875000000000005</v>
      </c>
      <c r="I434" s="128">
        <f t="shared" si="320"/>
        <v>1.0361870728392804</v>
      </c>
      <c r="J434" s="127">
        <f t="shared" si="321"/>
        <v>19.237830186079233</v>
      </c>
      <c r="K434" s="127">
        <f>I434*$G434</f>
        <v>2.7866910831298473</v>
      </c>
      <c r="L434" s="127">
        <f>J434*$G434</f>
        <v>51.737655529146387</v>
      </c>
      <c r="M434" s="127">
        <f>K434+L434</f>
        <v>54.524346612276233</v>
      </c>
      <c r="N434" s="128">
        <f t="shared" si="355"/>
        <v>7.001521234321185</v>
      </c>
      <c r="O434" s="129" t="str">
        <f t="shared" si="322"/>
        <v>OK</v>
      </c>
    </row>
    <row r="435" spans="1:15" ht="14.25" customHeight="1" x14ac:dyDescent="0.25">
      <c r="A435" s="120" t="str">
        <f>IF(N435=MIN(N417:N440),1,"")</f>
        <v/>
      </c>
      <c r="B435" s="121">
        <f>B434+1/24</f>
        <v>42326.749999999956</v>
      </c>
      <c r="C435" s="122">
        <f>DAY(B435)</f>
        <v>18</v>
      </c>
      <c r="D435" s="123">
        <v>1442.1818072241279</v>
      </c>
      <c r="E435" s="124">
        <v>39.454555511474609</v>
      </c>
      <c r="F435" s="125">
        <v>12.595985741518531</v>
      </c>
      <c r="G435" s="126">
        <v>2.6068634986877441</v>
      </c>
      <c r="H435" s="127">
        <f>HLOOKUP('Operational Worksheet'!E435,$B$773:$U$775,3)</f>
        <v>7.7875000000000005</v>
      </c>
      <c r="I435" s="127">
        <f t="shared" si="320"/>
        <v>1.1302319803474568</v>
      </c>
      <c r="J435" s="127">
        <f t="shared" si="321"/>
        <v>20.961549804758011</v>
      </c>
      <c r="K435" s="127">
        <f>I435*$G435</f>
        <v>2.9463604946173487</v>
      </c>
      <c r="L435" s="127">
        <f>J435*$G435</f>
        <v>54.643899061948872</v>
      </c>
      <c r="M435" s="127">
        <f>K435+L435</f>
        <v>57.590259556566224</v>
      </c>
      <c r="N435" s="128">
        <f>IF(D435&gt;0,M435/H435,"PO")</f>
        <v>7.3952179205863526</v>
      </c>
      <c r="O435" s="129" t="str">
        <f t="shared" si="322"/>
        <v>OK</v>
      </c>
    </row>
    <row r="436" spans="1:15" ht="14.25" customHeight="1" x14ac:dyDescent="0.25">
      <c r="A436" s="120" t="str">
        <f>IF(N436=MIN(N417:N440),1,"")</f>
        <v/>
      </c>
      <c r="B436" s="121">
        <f t="shared" ref="B436:B440" si="356">B435+1/24</f>
        <v>42326.791666666621</v>
      </c>
      <c r="C436" s="122">
        <f t="shared" ref="C436:C440" si="357">DAY(B436)</f>
        <v>18</v>
      </c>
      <c r="D436" s="123">
        <v>1437.0706029504875</v>
      </c>
      <c r="E436" s="124">
        <v>39.454555511474609</v>
      </c>
      <c r="F436" s="125">
        <v>12.607567101101459</v>
      </c>
      <c r="G436" s="126">
        <v>2.6068634986877441</v>
      </c>
      <c r="H436" s="127">
        <f>HLOOKUP('Operational Worksheet'!E436,$B$773:$U$775,3)</f>
        <v>7.7875000000000005</v>
      </c>
      <c r="I436" s="127">
        <f t="shared" si="320"/>
        <v>1.134251856974462</v>
      </c>
      <c r="J436" s="127">
        <f t="shared" si="321"/>
        <v>21.055445000767307</v>
      </c>
      <c r="K436" s="127">
        <f t="shared" ref="K436:L439" si="358">I436*$G436</f>
        <v>2.9568397642655166</v>
      </c>
      <c r="L436" s="127">
        <f t="shared" si="358"/>
        <v>54.888671021127635</v>
      </c>
      <c r="M436" s="127">
        <f t="shared" ref="M436:M439" si="359">K436+L436</f>
        <v>57.845510785393152</v>
      </c>
      <c r="N436" s="128">
        <f t="shared" ref="N436:N440" si="360">IF(D436&gt;0,M436/H436,"PO")</f>
        <v>7.427994964416456</v>
      </c>
      <c r="O436" s="129" t="str">
        <f t="shared" si="322"/>
        <v>OK</v>
      </c>
    </row>
    <row r="437" spans="1:15" ht="14.25" customHeight="1" x14ac:dyDescent="0.25">
      <c r="A437" s="120" t="str">
        <f>IF(N437=MIN(N417:N440),1,"")</f>
        <v/>
      </c>
      <c r="B437" s="121">
        <f t="shared" si="356"/>
        <v>42326.833333333285</v>
      </c>
      <c r="C437" s="122">
        <f t="shared" si="357"/>
        <v>18</v>
      </c>
      <c r="D437" s="123">
        <v>1439.7492822370268</v>
      </c>
      <c r="E437" s="124">
        <v>39.192181271605151</v>
      </c>
      <c r="F437" s="125">
        <v>12.61047047153609</v>
      </c>
      <c r="G437" s="126">
        <v>2.6068634986877441</v>
      </c>
      <c r="H437" s="127">
        <f>HLOOKUP('Operational Worksheet'!E437,$B$773:$U$775,3)</f>
        <v>8.5750000000000011</v>
      </c>
      <c r="I437" s="127">
        <f t="shared" si="320"/>
        <v>1.132141561110813</v>
      </c>
      <c r="J437" s="127">
        <f t="shared" si="321"/>
        <v>21.021110762188972</v>
      </c>
      <c r="K437" s="127">
        <f t="shared" si="358"/>
        <v>2.9513385110071386</v>
      </c>
      <c r="L437" s="127">
        <f t="shared" si="358"/>
        <v>54.799166347822535</v>
      </c>
      <c r="M437" s="127">
        <f t="shared" si="359"/>
        <v>57.750504858829672</v>
      </c>
      <c r="N437" s="128">
        <f t="shared" si="360"/>
        <v>6.734752753216287</v>
      </c>
      <c r="O437" s="129" t="str">
        <f t="shared" si="322"/>
        <v>OK</v>
      </c>
    </row>
    <row r="438" spans="1:15" ht="14.25" customHeight="1" x14ac:dyDescent="0.25">
      <c r="A438" s="120" t="str">
        <f>IF(N438=MIN(N417:N440),1,"")</f>
        <v/>
      </c>
      <c r="B438" s="121">
        <f t="shared" si="356"/>
        <v>42326.874999999949</v>
      </c>
      <c r="C438" s="122">
        <f t="shared" si="357"/>
        <v>18</v>
      </c>
      <c r="D438" s="123">
        <v>1441.3186644725599</v>
      </c>
      <c r="E438" s="124">
        <v>38.870304516483024</v>
      </c>
      <c r="F438" s="125">
        <v>12.596551928081796</v>
      </c>
      <c r="G438" s="126">
        <v>2.6068634986877441</v>
      </c>
      <c r="H438" s="127">
        <f>HLOOKUP('Operational Worksheet'!E438,$B$773:$U$775,3)</f>
        <v>8.5750000000000011</v>
      </c>
      <c r="I438" s="127">
        <f t="shared" si="320"/>
        <v>1.1309088268807554</v>
      </c>
      <c r="J438" s="127">
        <f t="shared" si="321"/>
        <v>20.97504554168761</v>
      </c>
      <c r="K438" s="127">
        <f t="shared" si="358"/>
        <v>2.9481249411392185</v>
      </c>
      <c r="L438" s="127">
        <f t="shared" si="358"/>
        <v>54.67908060593853</v>
      </c>
      <c r="M438" s="127">
        <f t="shared" si="359"/>
        <v>57.62720554707775</v>
      </c>
      <c r="N438" s="128">
        <f t="shared" si="360"/>
        <v>6.7203738247320981</v>
      </c>
      <c r="O438" s="129" t="str">
        <f t="shared" si="322"/>
        <v>OK</v>
      </c>
    </row>
    <row r="439" spans="1:15" ht="14.25" customHeight="1" x14ac:dyDescent="0.25">
      <c r="A439" s="120" t="str">
        <f>IF(N439=MIN(N417:N440),1,"")</f>
        <v/>
      </c>
      <c r="B439" s="121">
        <f t="shared" si="356"/>
        <v>42326.916666666613</v>
      </c>
      <c r="C439" s="122">
        <f t="shared" si="357"/>
        <v>18</v>
      </c>
      <c r="D439" s="123">
        <v>1454.6455087977365</v>
      </c>
      <c r="E439" s="124">
        <v>39.019962310791016</v>
      </c>
      <c r="F439" s="125">
        <v>12.597936265975244</v>
      </c>
      <c r="G439" s="126">
        <v>2.6068634986877441</v>
      </c>
      <c r="H439" s="127">
        <f>HLOOKUP('Operational Worksheet'!E439,$B$773:$U$775,3)</f>
        <v>8.5750000000000011</v>
      </c>
      <c r="I439" s="127">
        <f t="shared" si="320"/>
        <v>1.1205479205357696</v>
      </c>
      <c r="J439" s="127">
        <f t="shared" si="321"/>
        <v>20.785165083505351</v>
      </c>
      <c r="K439" s="127">
        <f t="shared" si="358"/>
        <v>2.9211154725751527</v>
      </c>
      <c r="L439" s="127">
        <f t="shared" si="358"/>
        <v>54.184088170389096</v>
      </c>
      <c r="M439" s="127">
        <f t="shared" si="359"/>
        <v>57.105203642964248</v>
      </c>
      <c r="N439" s="128">
        <f t="shared" si="360"/>
        <v>6.6594989671095322</v>
      </c>
      <c r="O439" s="129" t="str">
        <f t="shared" si="322"/>
        <v>OK</v>
      </c>
    </row>
    <row r="440" spans="1:15" ht="14.25" customHeight="1" x14ac:dyDescent="0.25">
      <c r="A440" s="130" t="str">
        <f>IF(N440=MIN(N417:N440),1,"")</f>
        <v/>
      </c>
      <c r="B440" s="131">
        <f t="shared" si="356"/>
        <v>42326.958333333278</v>
      </c>
      <c r="C440" s="132">
        <f t="shared" si="357"/>
        <v>18</v>
      </c>
      <c r="D440" s="123">
        <v>1445.0165634114276</v>
      </c>
      <c r="E440" s="124">
        <v>39.019962310791016</v>
      </c>
      <c r="F440" s="125">
        <v>12.597044155751377</v>
      </c>
      <c r="G440" s="126">
        <v>2.6068634986877441</v>
      </c>
      <c r="H440" s="133">
        <f>HLOOKUP('Operational Worksheet'!E440,$B$773:$U$775,3)</f>
        <v>8.5750000000000011</v>
      </c>
      <c r="I440" s="134">
        <f t="shared" si="320"/>
        <v>1.128014751714582</v>
      </c>
      <c r="J440" s="133">
        <f t="shared" si="321"/>
        <v>20.922186457454011</v>
      </c>
      <c r="K440" s="133">
        <f>I440*$G440</f>
        <v>2.9405804822260624</v>
      </c>
      <c r="L440" s="133">
        <f>J440*$G440</f>
        <v>54.541284188675903</v>
      </c>
      <c r="M440" s="133">
        <f>K440+L440</f>
        <v>57.481864670901963</v>
      </c>
      <c r="N440" s="134">
        <f t="shared" si="360"/>
        <v>6.7034244514171375</v>
      </c>
      <c r="O440" s="135" t="str">
        <f t="shared" si="322"/>
        <v>OK</v>
      </c>
    </row>
    <row r="441" spans="1:15" ht="14.25" customHeight="1" x14ac:dyDescent="0.25">
      <c r="A441" s="110" t="str">
        <f>IF(N441=MIN(N441:N464),1,"")</f>
        <v/>
      </c>
      <c r="B441" s="111">
        <f>'[1]Turbidity Daily Data Sheet'!B34</f>
        <v>42327</v>
      </c>
      <c r="C441" s="112">
        <f>DAY(B441)</f>
        <v>19</v>
      </c>
      <c r="D441" s="123">
        <v>1440.980711814625</v>
      </c>
      <c r="E441" s="124">
        <v>39.019962310791016</v>
      </c>
      <c r="F441" s="125">
        <v>12.599811968338209</v>
      </c>
      <c r="G441" s="126">
        <v>2.6068634986877441</v>
      </c>
      <c r="H441" s="117">
        <f>HLOOKUP('Operational Worksheet'!E441,$B$773:$U$775,3)</f>
        <v>8.5750000000000011</v>
      </c>
      <c r="I441" s="117">
        <f t="shared" si="320"/>
        <v>1.1311740584975236</v>
      </c>
      <c r="J441" s="117">
        <f t="shared" si="321"/>
        <v>20.985394513664989</v>
      </c>
      <c r="K441" s="117">
        <f>I441*$G441</f>
        <v>2.9488163637596694</v>
      </c>
      <c r="L441" s="117">
        <f>J441*$G441</f>
        <v>54.706058963235307</v>
      </c>
      <c r="M441" s="117">
        <f>K441+L441</f>
        <v>57.654875326994976</v>
      </c>
      <c r="N441" s="118">
        <f>IF(D441&gt;0,M441/H441,"PO")</f>
        <v>6.7236006212239028</v>
      </c>
      <c r="O441" s="119" t="str">
        <f t="shared" si="322"/>
        <v>OK</v>
      </c>
    </row>
    <row r="442" spans="1:15" ht="14.25" customHeight="1" x14ac:dyDescent="0.25">
      <c r="A442" s="120" t="str">
        <f>IF(N442=MIN(N441:N464),1,"")</f>
        <v/>
      </c>
      <c r="B442" s="121">
        <f>B441+1/24</f>
        <v>42327.041666666664</v>
      </c>
      <c r="C442" s="122">
        <f>DAY(B442)</f>
        <v>19</v>
      </c>
      <c r="D442" s="123">
        <v>1434.8086056637251</v>
      </c>
      <c r="E442" s="124">
        <v>39.000399111728768</v>
      </c>
      <c r="F442" s="125">
        <v>12.601550376659507</v>
      </c>
      <c r="G442" s="126">
        <v>2.6068634986877441</v>
      </c>
      <c r="H442" s="127">
        <f>HLOOKUP('Operational Worksheet'!E442,$B$773:$U$775,3)</f>
        <v>8.5750000000000011</v>
      </c>
      <c r="I442" s="127">
        <f t="shared" si="320"/>
        <v>1.1360400220390243</v>
      </c>
      <c r="J442" s="127">
        <f t="shared" si="321"/>
        <v>21.078575068897386</v>
      </c>
      <c r="K442" s="127">
        <f t="shared" ref="K442:L445" si="361">I442*$G442</f>
        <v>2.9615012665019531</v>
      </c>
      <c r="L442" s="127">
        <f t="shared" si="361"/>
        <v>54.948967951458101</v>
      </c>
      <c r="M442" s="127">
        <f t="shared" ref="M442:M445" si="362">K442+L442</f>
        <v>57.910469217960056</v>
      </c>
      <c r="N442" s="128">
        <f t="shared" ref="N442:N446" si="363">IF(D442&gt;0,M442/H442,"PO")</f>
        <v>6.7534074889749327</v>
      </c>
      <c r="O442" s="129" t="str">
        <f t="shared" si="322"/>
        <v>OK</v>
      </c>
    </row>
    <row r="443" spans="1:15" ht="14.25" customHeight="1" x14ac:dyDescent="0.25">
      <c r="A443" s="120" t="str">
        <f>IF(N443=MIN(N441:N464),1,"")</f>
        <v/>
      </c>
      <c r="B443" s="121">
        <f t="shared" ref="B443:B458" si="364">B442+1/24</f>
        <v>42327.083333333328</v>
      </c>
      <c r="C443" s="122">
        <f t="shared" ref="C443" si="365">DAY(B443)</f>
        <v>19</v>
      </c>
      <c r="D443" s="123">
        <v>1447.1755367877261</v>
      </c>
      <c r="E443" s="124">
        <v>38.984634399414062</v>
      </c>
      <c r="F443" s="125">
        <v>12.599582218187917</v>
      </c>
      <c r="G443" s="126">
        <v>2.6134982109069824</v>
      </c>
      <c r="H443" s="127">
        <f>HLOOKUP('Operational Worksheet'!E443,$B$773:$U$775,3)</f>
        <v>8.5750000000000011</v>
      </c>
      <c r="I443" s="127">
        <f t="shared" si="320"/>
        <v>1.1263319193593382</v>
      </c>
      <c r="J443" s="127">
        <f t="shared" si="321"/>
        <v>20.895182757699214</v>
      </c>
      <c r="K443" s="127">
        <f t="shared" si="361"/>
        <v>2.9436664561330579</v>
      </c>
      <c r="L443" s="127">
        <f t="shared" si="361"/>
        <v>54.609522753821324</v>
      </c>
      <c r="M443" s="127">
        <f t="shared" si="362"/>
        <v>57.553189209954382</v>
      </c>
      <c r="N443" s="128">
        <f t="shared" si="363"/>
        <v>6.7117421819188774</v>
      </c>
      <c r="O443" s="129" t="str">
        <f t="shared" si="322"/>
        <v>OK</v>
      </c>
    </row>
    <row r="444" spans="1:15" ht="14.25" customHeight="1" x14ac:dyDescent="0.25">
      <c r="A444" s="120" t="str">
        <f>IF(N444=MIN(N441:N464),1,"")</f>
        <v/>
      </c>
      <c r="B444" s="121">
        <f t="shared" si="364"/>
        <v>42327.124999999993</v>
      </c>
      <c r="C444" s="122">
        <f>DAY(B444)</f>
        <v>19</v>
      </c>
      <c r="D444" s="123">
        <v>1442.5819432707881</v>
      </c>
      <c r="E444" s="124">
        <v>39.2272843104193</v>
      </c>
      <c r="F444" s="125">
        <v>12.597617250941157</v>
      </c>
      <c r="G444" s="126">
        <v>2.6134982109069824</v>
      </c>
      <c r="H444" s="127">
        <f>HLOOKUP('Operational Worksheet'!E444,$B$773:$U$775,3)</f>
        <v>7.7875000000000005</v>
      </c>
      <c r="I444" s="127">
        <f t="shared" si="320"/>
        <v>1.1299184823458113</v>
      </c>
      <c r="J444" s="127">
        <f t="shared" si="321"/>
        <v>20.958449912181852</v>
      </c>
      <c r="K444" s="127">
        <f t="shared" si="361"/>
        <v>2.9530399320815106</v>
      </c>
      <c r="L444" s="127">
        <f t="shared" si="361"/>
        <v>54.774871348870874</v>
      </c>
      <c r="M444" s="127">
        <f t="shared" si="362"/>
        <v>57.727911280952384</v>
      </c>
      <c r="N444" s="128">
        <f t="shared" si="363"/>
        <v>7.4128939044561646</v>
      </c>
      <c r="O444" s="129" t="str">
        <f t="shared" si="322"/>
        <v>OK</v>
      </c>
    </row>
    <row r="445" spans="1:15" ht="14.25" customHeight="1" x14ac:dyDescent="0.25">
      <c r="A445" s="120" t="str">
        <f>IF(N445=MIN(N441:N464),1,"")</f>
        <v/>
      </c>
      <c r="B445" s="121">
        <f t="shared" si="364"/>
        <v>42327.166666666657</v>
      </c>
      <c r="C445" s="122">
        <f t="shared" ref="C445:C446" si="366">DAY(B445)</f>
        <v>19</v>
      </c>
      <c r="D445" s="123">
        <v>1450.0902298922858</v>
      </c>
      <c r="E445" s="124">
        <v>39.991607666015625</v>
      </c>
      <c r="F445" s="125">
        <v>12.589853501155883</v>
      </c>
      <c r="G445" s="126">
        <v>2.6134982109069824</v>
      </c>
      <c r="H445" s="127">
        <f>HLOOKUP('Operational Worksheet'!E445,$B$773:$U$775,3)</f>
        <v>7.7875000000000005</v>
      </c>
      <c r="I445" s="127">
        <f t="shared" si="320"/>
        <v>1.1240679830806652</v>
      </c>
      <c r="J445" s="127">
        <f t="shared" si="321"/>
        <v>20.837081569067994</v>
      </c>
      <c r="K445" s="127">
        <f t="shared" si="361"/>
        <v>2.9377496627191388</v>
      </c>
      <c r="L445" s="127">
        <f t="shared" si="361"/>
        <v>54.45767540128206</v>
      </c>
      <c r="M445" s="127">
        <f t="shared" si="362"/>
        <v>57.395425064001202</v>
      </c>
      <c r="N445" s="128">
        <f t="shared" si="363"/>
        <v>7.3701990451365909</v>
      </c>
      <c r="O445" s="129" t="str">
        <f t="shared" si="322"/>
        <v>OK</v>
      </c>
    </row>
    <row r="446" spans="1:15" ht="14.25" customHeight="1" x14ac:dyDescent="0.25">
      <c r="A446" s="120">
        <f>IF(N446=MIN(N441:N464),1,"")</f>
        <v>1</v>
      </c>
      <c r="B446" s="121">
        <f t="shared" si="364"/>
        <v>42327.208333333321</v>
      </c>
      <c r="C446" s="122">
        <f t="shared" si="366"/>
        <v>19</v>
      </c>
      <c r="D446" s="123">
        <v>1439.2632013100072</v>
      </c>
      <c r="E446" s="124">
        <v>38.873324247826091</v>
      </c>
      <c r="F446" s="125">
        <v>12.599461709092569</v>
      </c>
      <c r="G446" s="126">
        <v>2.5242493152618408</v>
      </c>
      <c r="H446" s="127">
        <f>HLOOKUP('Operational Worksheet'!E446,$B$773:$U$775,3)</f>
        <v>8.5750000000000011</v>
      </c>
      <c r="I446" s="128">
        <f t="shared" si="320"/>
        <v>1.1325239181522779</v>
      </c>
      <c r="J446" s="127">
        <f t="shared" si="321"/>
        <v>21.009852870759918</v>
      </c>
      <c r="K446" s="127">
        <f>I446*$G446</f>
        <v>2.8587727249135448</v>
      </c>
      <c r="L446" s="127">
        <f>J446*$G446</f>
        <v>53.034106722767746</v>
      </c>
      <c r="M446" s="127">
        <f>K446+L446</f>
        <v>55.892879447681288</v>
      </c>
      <c r="N446" s="128">
        <f t="shared" si="363"/>
        <v>6.5181200522077294</v>
      </c>
      <c r="O446" s="129" t="str">
        <f t="shared" si="322"/>
        <v>OK</v>
      </c>
    </row>
    <row r="447" spans="1:15" ht="14.25" customHeight="1" x14ac:dyDescent="0.25">
      <c r="A447" s="120" t="str">
        <f>IF(N447=MIN(N441:N464),1,"")</f>
        <v/>
      </c>
      <c r="B447" s="121">
        <f t="shared" si="364"/>
        <v>42327.249999999985</v>
      </c>
      <c r="C447" s="122">
        <f>DAY(B447)</f>
        <v>19</v>
      </c>
      <c r="D447" s="123">
        <v>1433.6021394312634</v>
      </c>
      <c r="E447" s="124">
        <v>38.504112243652344</v>
      </c>
      <c r="F447" s="125">
        <v>12.600432249673316</v>
      </c>
      <c r="G447" s="126">
        <v>2.5242493152618408</v>
      </c>
      <c r="H447" s="127">
        <f>HLOOKUP('Operational Worksheet'!E447,$B$773:$U$775,3)</f>
        <v>8.5750000000000011</v>
      </c>
      <c r="I447" s="127">
        <f t="shared" si="320"/>
        <v>1.1369960710624019</v>
      </c>
      <c r="J447" s="127">
        <f t="shared" si="321"/>
        <v>21.094442151999818</v>
      </c>
      <c r="K447" s="127">
        <f>I447*$G447</f>
        <v>2.8700615538346712</v>
      </c>
      <c r="L447" s="127">
        <f>J447*$G447</f>
        <v>53.247631158016056</v>
      </c>
      <c r="M447" s="127">
        <f>K447+L447</f>
        <v>56.117692711850729</v>
      </c>
      <c r="N447" s="128">
        <f>IF(D447&gt;0,M447/H447,"PO")</f>
        <v>6.5443373424898805</v>
      </c>
      <c r="O447" s="129" t="str">
        <f t="shared" si="322"/>
        <v>OK</v>
      </c>
    </row>
    <row r="448" spans="1:15" ht="14.25" customHeight="1" x14ac:dyDescent="0.25">
      <c r="A448" s="120" t="str">
        <f>IF(N448=MIN(N441:N464),1,"")</f>
        <v/>
      </c>
      <c r="B448" s="121">
        <f t="shared" si="364"/>
        <v>42327.29166666665</v>
      </c>
      <c r="C448" s="122">
        <f t="shared" ref="C448:C452" si="367">DAY(B448)</f>
        <v>19</v>
      </c>
      <c r="D448" s="123">
        <v>982.63775659454109</v>
      </c>
      <c r="E448" s="124">
        <v>38.504112243652344</v>
      </c>
      <c r="F448" s="125">
        <v>12.603172073289217</v>
      </c>
      <c r="G448" s="126">
        <v>2.5242493152618408</v>
      </c>
      <c r="H448" s="127">
        <f>HLOOKUP('Operational Worksheet'!E448,$B$773:$U$775,3)</f>
        <v>8.5750000000000011</v>
      </c>
      <c r="I448" s="127">
        <f t="shared" si="320"/>
        <v>1.6588004980075026</v>
      </c>
      <c r="J448" s="127">
        <f t="shared" si="321"/>
        <v>30.782058569295316</v>
      </c>
      <c r="K448" s="127">
        <f t="shared" ref="K448:L451" si="368">I448*$G448</f>
        <v>4.1872260212514387</v>
      </c>
      <c r="L448" s="127">
        <f t="shared" si="368"/>
        <v>77.701590265893586</v>
      </c>
      <c r="M448" s="127">
        <f t="shared" ref="M448:M451" si="369">K448+L448</f>
        <v>81.888816287145019</v>
      </c>
      <c r="N448" s="128">
        <f t="shared" ref="N448:N452" si="370">IF(D448&gt;0,M448/H448,"PO")</f>
        <v>9.5497161850897978</v>
      </c>
      <c r="O448" s="129" t="str">
        <f t="shared" si="322"/>
        <v>OK</v>
      </c>
    </row>
    <row r="449" spans="1:15" ht="14.25" customHeight="1" x14ac:dyDescent="0.25">
      <c r="A449" s="120" t="str">
        <f>IF(N449=MIN(N441:N464),1,"")</f>
        <v/>
      </c>
      <c r="B449" s="121">
        <f t="shared" si="364"/>
        <v>42327.333333333314</v>
      </c>
      <c r="C449" s="122">
        <f t="shared" si="367"/>
        <v>19</v>
      </c>
      <c r="D449" s="123">
        <v>757.41175102470515</v>
      </c>
      <c r="E449" s="124">
        <v>38.603924856791792</v>
      </c>
      <c r="F449" s="125">
        <v>12.580484363207669</v>
      </c>
      <c r="G449" s="126">
        <v>2.3387954235076904</v>
      </c>
      <c r="H449" s="127">
        <f>HLOOKUP('Operational Worksheet'!E449,$B$773:$U$775,3)</f>
        <v>8.5750000000000011</v>
      </c>
      <c r="I449" s="127">
        <f t="shared" si="320"/>
        <v>2.1520658978353149</v>
      </c>
      <c r="J449" s="127">
        <f t="shared" si="321"/>
        <v>39.863604480455926</v>
      </c>
      <c r="K449" s="127">
        <f t="shared" si="368"/>
        <v>5.0332418729442034</v>
      </c>
      <c r="L449" s="127">
        <f t="shared" si="368"/>
        <v>93.23281572341098</v>
      </c>
      <c r="M449" s="127">
        <f t="shared" si="369"/>
        <v>98.266057596355182</v>
      </c>
      <c r="N449" s="128">
        <f t="shared" si="370"/>
        <v>11.459598553510807</v>
      </c>
      <c r="O449" s="129" t="str">
        <f t="shared" si="322"/>
        <v>OK</v>
      </c>
    </row>
    <row r="450" spans="1:15" ht="14.25" customHeight="1" x14ac:dyDescent="0.25">
      <c r="A450" s="120" t="str">
        <f>IF(N450=MIN(N441:N464),1,"")</f>
        <v/>
      </c>
      <c r="B450" s="121">
        <f t="shared" si="364"/>
        <v>42327.374999999978</v>
      </c>
      <c r="C450" s="122">
        <f t="shared" si="367"/>
        <v>19</v>
      </c>
      <c r="D450" s="123">
        <v>767.3682283202437</v>
      </c>
      <c r="E450" s="124">
        <v>38.743274019532855</v>
      </c>
      <c r="F450" s="125">
        <v>12.596710193128851</v>
      </c>
      <c r="G450" s="126">
        <v>2.3387954235076904</v>
      </c>
      <c r="H450" s="127">
        <f>HLOOKUP('Operational Worksheet'!E450,$B$773:$U$775,3)</f>
        <v>8.5750000000000011</v>
      </c>
      <c r="I450" s="127">
        <f t="shared" si="320"/>
        <v>2.1241431946798772</v>
      </c>
      <c r="J450" s="127">
        <f t="shared" si="321"/>
        <v>39.397128194487301</v>
      </c>
      <c r="K450" s="127">
        <f t="shared" si="368"/>
        <v>4.9679363825923017</v>
      </c>
      <c r="L450" s="127">
        <f t="shared" si="368"/>
        <v>92.141823120612699</v>
      </c>
      <c r="M450" s="127">
        <f t="shared" si="369"/>
        <v>97.109759503204998</v>
      </c>
      <c r="N450" s="128">
        <f t="shared" si="370"/>
        <v>11.3247532948344</v>
      </c>
      <c r="O450" s="129" t="str">
        <f t="shared" si="322"/>
        <v>OK</v>
      </c>
    </row>
    <row r="451" spans="1:15" ht="14.25" customHeight="1" x14ac:dyDescent="0.25">
      <c r="A451" s="120" t="str">
        <f>IF(N451=MIN(N441:N464),1,"")</f>
        <v/>
      </c>
      <c r="B451" s="121">
        <f t="shared" si="364"/>
        <v>42327.416666666642</v>
      </c>
      <c r="C451" s="122">
        <f t="shared" si="367"/>
        <v>19</v>
      </c>
      <c r="D451" s="123">
        <v>773.61118835313209</v>
      </c>
      <c r="E451" s="124">
        <v>40.684123992919922</v>
      </c>
      <c r="F451" s="125">
        <v>12.588897782091506</v>
      </c>
      <c r="G451" s="126">
        <v>2.6550195217132568</v>
      </c>
      <c r="H451" s="127">
        <f>HLOOKUP('Operational Worksheet'!E451,$B$773:$U$775,3)</f>
        <v>7.7875000000000005</v>
      </c>
      <c r="I451" s="127">
        <f t="shared" si="320"/>
        <v>2.1070015849563308</v>
      </c>
      <c r="J451" s="127">
        <f t="shared" si="321"/>
        <v>39.054960853575523</v>
      </c>
      <c r="K451" s="127">
        <f t="shared" si="368"/>
        <v>5.5941303403398317</v>
      </c>
      <c r="L451" s="127">
        <f t="shared" si="368"/>
        <v>103.69168348599005</v>
      </c>
      <c r="M451" s="127">
        <f t="shared" si="369"/>
        <v>109.28581382632989</v>
      </c>
      <c r="N451" s="128">
        <f t="shared" si="370"/>
        <v>14.033491342064831</v>
      </c>
      <c r="O451" s="129" t="str">
        <f t="shared" si="322"/>
        <v>OK</v>
      </c>
    </row>
    <row r="452" spans="1:15" ht="14.25" customHeight="1" x14ac:dyDescent="0.25">
      <c r="A452" s="120" t="str">
        <f>IF(N452=MIN(N441:N464),1,"")</f>
        <v/>
      </c>
      <c r="B452" s="121">
        <f t="shared" si="364"/>
        <v>42327.458333333307</v>
      </c>
      <c r="C452" s="122">
        <f t="shared" si="367"/>
        <v>19</v>
      </c>
      <c r="D452" s="123">
        <v>770.62236760038638</v>
      </c>
      <c r="E452" s="124">
        <v>40.684123992919922</v>
      </c>
      <c r="F452" s="125">
        <v>12.584894997708615</v>
      </c>
      <c r="G452" s="126">
        <v>2.5449028015136719</v>
      </c>
      <c r="H452" s="127">
        <f>HLOOKUP('Operational Worksheet'!E452,$B$773:$U$775,3)</f>
        <v>7.7875000000000005</v>
      </c>
      <c r="I452" s="128">
        <f t="shared" si="320"/>
        <v>2.1151734864322704</v>
      </c>
      <c r="J452" s="127">
        <f t="shared" si="321"/>
        <v>39.193967453282013</v>
      </c>
      <c r="K452" s="127">
        <f>I452*$G452</f>
        <v>5.3829109313089258</v>
      </c>
      <c r="L452" s="127">
        <f>J452*$G452</f>
        <v>99.744837574293072</v>
      </c>
      <c r="M452" s="127">
        <f>K452+L452</f>
        <v>105.127748505602</v>
      </c>
      <c r="N452" s="128">
        <f t="shared" si="370"/>
        <v>13.499550369900737</v>
      </c>
      <c r="O452" s="129" t="str">
        <f t="shared" si="322"/>
        <v>OK</v>
      </c>
    </row>
    <row r="453" spans="1:15" ht="14.25" customHeight="1" x14ac:dyDescent="0.25">
      <c r="A453" s="120" t="str">
        <f>IF(N453=MIN(N441:N464),1,"")</f>
        <v/>
      </c>
      <c r="B453" s="121">
        <f t="shared" si="364"/>
        <v>42327.499999999971</v>
      </c>
      <c r="C453" s="122">
        <f>DAY(B453)</f>
        <v>19</v>
      </c>
      <c r="D453" s="123">
        <v>767.37982212058841</v>
      </c>
      <c r="E453" s="124">
        <v>40.684123992919922</v>
      </c>
      <c r="F453" s="125">
        <v>12.589829277415497</v>
      </c>
      <c r="G453" s="126">
        <v>2.5725123882293701</v>
      </c>
      <c r="H453" s="127">
        <f>HLOOKUP('Operational Worksheet'!E453,$B$773:$U$775,3)</f>
        <v>7.7875000000000005</v>
      </c>
      <c r="I453" s="127">
        <f t="shared" si="320"/>
        <v>2.1241111024989352</v>
      </c>
      <c r="J453" s="127">
        <f t="shared" si="321"/>
        <v>39.375012731373353</v>
      </c>
      <c r="K453" s="127">
        <f>I453*$G453</f>
        <v>5.464302125154056</v>
      </c>
      <c r="L453" s="127">
        <f>J453*$G453</f>
        <v>101.29270803814711</v>
      </c>
      <c r="M453" s="127">
        <f>K453+L453</f>
        <v>106.75701016330117</v>
      </c>
      <c r="N453" s="128">
        <f>IF(D453&gt;0,M453/H453,"PO")</f>
        <v>13.708765350022622</v>
      </c>
      <c r="O453" s="129" t="str">
        <f t="shared" si="322"/>
        <v>OK</v>
      </c>
    </row>
    <row r="454" spans="1:15" ht="14.25" customHeight="1" x14ac:dyDescent="0.25">
      <c r="A454" s="120" t="str">
        <f>IF(N454=MIN(N441:N464),1,"")</f>
        <v/>
      </c>
      <c r="B454" s="121">
        <f t="shared" si="364"/>
        <v>42327.541666666635</v>
      </c>
      <c r="C454" s="122">
        <f t="shared" ref="C454:C458" si="371">DAY(B454)</f>
        <v>19</v>
      </c>
      <c r="D454" s="123">
        <v>768.63297655465612</v>
      </c>
      <c r="E454" s="124">
        <v>40.684123992919922</v>
      </c>
      <c r="F454" s="125">
        <v>12.59743707518605</v>
      </c>
      <c r="G454" s="126">
        <v>2.5725123882293701</v>
      </c>
      <c r="H454" s="127">
        <f>HLOOKUP('Operational Worksheet'!E454,$B$773:$U$775,3)</f>
        <v>7.7875000000000005</v>
      </c>
      <c r="I454" s="127">
        <f t="shared" si="320"/>
        <v>2.1206480202116254</v>
      </c>
      <c r="J454" s="127">
        <f t="shared" si="321"/>
        <v>39.334571769178631</v>
      </c>
      <c r="K454" s="127">
        <f t="shared" ref="K454:L457" si="372">I454*$G454</f>
        <v>5.4553933030684938</v>
      </c>
      <c r="L454" s="127">
        <f t="shared" si="372"/>
        <v>101.18867316190928</v>
      </c>
      <c r="M454" s="127">
        <f t="shared" ref="M454:M457" si="373">K454+L454</f>
        <v>106.64406646497777</v>
      </c>
      <c r="N454" s="128">
        <f t="shared" ref="N454:N458" si="374">IF(D454&gt;0,M454/H454,"PO")</f>
        <v>13.694262146385586</v>
      </c>
      <c r="O454" s="129" t="str">
        <f t="shared" si="322"/>
        <v>OK</v>
      </c>
    </row>
    <row r="455" spans="1:15" ht="14.25" customHeight="1" x14ac:dyDescent="0.25">
      <c r="A455" s="120" t="str">
        <f>IF(N455=MIN(N441:N464),1,"")</f>
        <v/>
      </c>
      <c r="B455" s="121">
        <f t="shared" si="364"/>
        <v>42327.583333333299</v>
      </c>
      <c r="C455" s="122">
        <f t="shared" si="371"/>
        <v>19</v>
      </c>
      <c r="D455" s="123">
        <v>751.29875412047386</v>
      </c>
      <c r="E455" s="124">
        <v>40.684123992919922</v>
      </c>
      <c r="F455" s="125">
        <v>12.592326414120565</v>
      </c>
      <c r="G455" s="126">
        <v>2.5725123882293701</v>
      </c>
      <c r="H455" s="127">
        <f>HLOOKUP('Operational Worksheet'!E455,$B$773:$U$775,3)</f>
        <v>7.7875000000000005</v>
      </c>
      <c r="I455" s="127">
        <f t="shared" si="320"/>
        <v>2.1695763383877815</v>
      </c>
      <c r="J455" s="127">
        <f t="shared" si="321"/>
        <v>40.225786650303966</v>
      </c>
      <c r="K455" s="127">
        <f t="shared" si="372"/>
        <v>5.5812620077118842</v>
      </c>
      <c r="L455" s="127">
        <f t="shared" si="372"/>
        <v>103.48133448417857</v>
      </c>
      <c r="M455" s="127">
        <f t="shared" si="373"/>
        <v>109.06259649189046</v>
      </c>
      <c r="N455" s="128">
        <f t="shared" si="374"/>
        <v>14.004827799921728</v>
      </c>
      <c r="O455" s="129" t="str">
        <f t="shared" si="322"/>
        <v>OK</v>
      </c>
    </row>
    <row r="456" spans="1:15" ht="14.25" customHeight="1" x14ac:dyDescent="0.25">
      <c r="A456" s="120" t="str">
        <f>IF(N456=MIN(N441:N464),1,"")</f>
        <v/>
      </c>
      <c r="B456" s="121">
        <f t="shared" si="364"/>
        <v>42327.624999999964</v>
      </c>
      <c r="C456" s="122">
        <f t="shared" si="371"/>
        <v>19</v>
      </c>
      <c r="D456" s="123">
        <v>751.91812197766774</v>
      </c>
      <c r="E456" s="124">
        <v>40.684123992919922</v>
      </c>
      <c r="F456" s="125">
        <v>12.591574401916109</v>
      </c>
      <c r="G456" s="126">
        <v>2.5725123882293701</v>
      </c>
      <c r="H456" s="127">
        <f>HLOOKUP('Operational Worksheet'!E456,$B$773:$U$775,3)</f>
        <v>7.7875000000000005</v>
      </c>
      <c r="I456" s="127">
        <f t="shared" si="320"/>
        <v>2.1677892211359837</v>
      </c>
      <c r="J456" s="127">
        <f t="shared" si="321"/>
        <v>40.190251679419156</v>
      </c>
      <c r="K456" s="127">
        <f t="shared" si="372"/>
        <v>5.5766646264424153</v>
      </c>
      <c r="L456" s="127">
        <f t="shared" si="372"/>
        <v>103.38992033136202</v>
      </c>
      <c r="M456" s="127">
        <f t="shared" si="373"/>
        <v>108.96658495780443</v>
      </c>
      <c r="N456" s="128">
        <f t="shared" si="374"/>
        <v>13.992498870986122</v>
      </c>
      <c r="O456" s="129" t="str">
        <f t="shared" si="322"/>
        <v>OK</v>
      </c>
    </row>
    <row r="457" spans="1:15" ht="14.25" customHeight="1" x14ac:dyDescent="0.25">
      <c r="A457" s="120" t="str">
        <f>IF(N457=MIN(N441:N464),1,"")</f>
        <v/>
      </c>
      <c r="B457" s="121">
        <f t="shared" si="364"/>
        <v>42327.666666666628</v>
      </c>
      <c r="C457" s="122">
        <f t="shared" si="371"/>
        <v>19</v>
      </c>
      <c r="D457" s="123">
        <v>773.38302089909519</v>
      </c>
      <c r="E457" s="124">
        <v>40.684123992919922</v>
      </c>
      <c r="F457" s="125">
        <v>12.591515401911172</v>
      </c>
      <c r="G457" s="126">
        <v>2.4625027179718018</v>
      </c>
      <c r="H457" s="127">
        <f>HLOOKUP('Operational Worksheet'!E457,$B$773:$U$775,3)</f>
        <v>7.7875000000000005</v>
      </c>
      <c r="I457" s="127">
        <f t="shared" ref="I457:I520" si="375">$G$768/D457*$H$768</f>
        <v>2.1076232034484623</v>
      </c>
      <c r="J457" s="127">
        <f t="shared" ref="J457:J520" si="376">$G$769*F457/D457*$H$769</f>
        <v>39.074606175676088</v>
      </c>
      <c r="K457" s="127">
        <f t="shared" si="372"/>
        <v>5.1900278669522741</v>
      </c>
      <c r="L457" s="127">
        <f t="shared" si="372"/>
        <v>96.221323911280123</v>
      </c>
      <c r="M457" s="127">
        <f t="shared" si="373"/>
        <v>101.4113517782324</v>
      </c>
      <c r="N457" s="128">
        <f t="shared" si="374"/>
        <v>13.02232446590464</v>
      </c>
      <c r="O457" s="129" t="str">
        <f t="shared" ref="O457:O520" si="377">+IF(N457&gt;=1, "OK","Alarm")</f>
        <v>OK</v>
      </c>
    </row>
    <row r="458" spans="1:15" ht="14.25" customHeight="1" x14ac:dyDescent="0.25">
      <c r="A458" s="120" t="str">
        <f>IF(N458=MIN(N441:N464),1,"")</f>
        <v/>
      </c>
      <c r="B458" s="121">
        <f t="shared" si="364"/>
        <v>42327.708333333292</v>
      </c>
      <c r="C458" s="122">
        <f t="shared" si="371"/>
        <v>19</v>
      </c>
      <c r="D458" s="123">
        <v>940.07019694074756</v>
      </c>
      <c r="E458" s="124">
        <v>40.716744047474776</v>
      </c>
      <c r="F458" s="125">
        <v>12.596855441359931</v>
      </c>
      <c r="G458" s="126">
        <v>2.4625027179718018</v>
      </c>
      <c r="H458" s="127">
        <f>HLOOKUP('Operational Worksheet'!E458,$B$773:$U$775,3)</f>
        <v>7.7875000000000005</v>
      </c>
      <c r="I458" s="128">
        <f t="shared" si="375"/>
        <v>1.7339130687309072</v>
      </c>
      <c r="J458" s="127">
        <f t="shared" si="376"/>
        <v>32.159782490338195</v>
      </c>
      <c r="K458" s="127">
        <f>I458*$G458</f>
        <v>4.2697656444766867</v>
      </c>
      <c r="L458" s="127">
        <f>J458*$G458</f>
        <v>79.193551791839766</v>
      </c>
      <c r="M458" s="127">
        <f>K458+L458</f>
        <v>83.463317436316458</v>
      </c>
      <c r="N458" s="128">
        <f t="shared" si="374"/>
        <v>10.717600954904199</v>
      </c>
      <c r="O458" s="129" t="str">
        <f t="shared" si="377"/>
        <v>OK</v>
      </c>
    </row>
    <row r="459" spans="1:15" ht="14.25" customHeight="1" x14ac:dyDescent="0.25">
      <c r="A459" s="120" t="str">
        <f>IF(N459=MIN(N441:N464),1,"")</f>
        <v/>
      </c>
      <c r="B459" s="121">
        <f>B458+1/24</f>
        <v>42327.749999999956</v>
      </c>
      <c r="C459" s="122">
        <f>DAY(B459)</f>
        <v>19</v>
      </c>
      <c r="D459" s="123">
        <v>1334.8388776374582</v>
      </c>
      <c r="E459" s="124">
        <v>40.959716796875</v>
      </c>
      <c r="F459" s="125">
        <v>12.591150802288571</v>
      </c>
      <c r="G459" s="126">
        <v>2.4625027179718018</v>
      </c>
      <c r="H459" s="127">
        <f>HLOOKUP('Operational Worksheet'!E459,$B$773:$U$775,3)</f>
        <v>7.7875000000000005</v>
      </c>
      <c r="I459" s="127">
        <f t="shared" si="375"/>
        <v>1.2211211609935648</v>
      </c>
      <c r="J459" s="127">
        <f t="shared" si="376"/>
        <v>22.63850898542676</v>
      </c>
      <c r="K459" s="127">
        <f>I459*$G459</f>
        <v>3.0070141779195354</v>
      </c>
      <c r="L459" s="127">
        <f>J459*$G459</f>
        <v>55.747389907442454</v>
      </c>
      <c r="M459" s="127">
        <f>K459+L459</f>
        <v>58.75440408536199</v>
      </c>
      <c r="N459" s="128">
        <f>IF(D459&gt;0,M459/H459,"PO")</f>
        <v>7.5447067846371736</v>
      </c>
      <c r="O459" s="129" t="str">
        <f t="shared" si="377"/>
        <v>OK</v>
      </c>
    </row>
    <row r="460" spans="1:15" ht="14.25" customHeight="1" x14ac:dyDescent="0.25">
      <c r="A460" s="120" t="str">
        <f>IF(N460=MIN(N441:N464),1,"")</f>
        <v/>
      </c>
      <c r="B460" s="121">
        <f t="shared" ref="B460:B464" si="378">B459+1/24</f>
        <v>42327.791666666621</v>
      </c>
      <c r="C460" s="122">
        <f t="shared" ref="C460:C464" si="379">DAY(B460)</f>
        <v>19</v>
      </c>
      <c r="D460" s="123">
        <v>1433.0008807955508</v>
      </c>
      <c r="E460" s="124">
        <v>40.959716796875</v>
      </c>
      <c r="F460" s="125">
        <v>12.592670249882167</v>
      </c>
      <c r="G460" s="126">
        <v>2.4625027179718018</v>
      </c>
      <c r="H460" s="127">
        <f>HLOOKUP('Operational Worksheet'!E460,$B$773:$U$775,3)</f>
        <v>7.7875000000000005</v>
      </c>
      <c r="I460" s="127">
        <f t="shared" si="375"/>
        <v>1.137473131973989</v>
      </c>
      <c r="J460" s="127">
        <f t="shared" si="376"/>
        <v>21.09029310780242</v>
      </c>
      <c r="K460" s="127">
        <f t="shared" ref="K460:L463" si="380">I460*$G460</f>
        <v>2.8010306791058461</v>
      </c>
      <c r="L460" s="127">
        <f t="shared" si="380"/>
        <v>51.934904100785417</v>
      </c>
      <c r="M460" s="127">
        <f t="shared" ref="M460:M463" si="381">K460+L460</f>
        <v>54.735934779891267</v>
      </c>
      <c r="N460" s="128">
        <f t="shared" ref="N460:N464" si="382">IF(D460&gt;0,M460/H460,"PO")</f>
        <v>7.028691464512522</v>
      </c>
      <c r="O460" s="129" t="str">
        <f t="shared" si="377"/>
        <v>OK</v>
      </c>
    </row>
    <row r="461" spans="1:15" ht="14.25" customHeight="1" x14ac:dyDescent="0.25">
      <c r="A461" s="120" t="str">
        <f>IF(N461=MIN(N441:N464),1,"")</f>
        <v/>
      </c>
      <c r="B461" s="121">
        <f t="shared" si="378"/>
        <v>42327.833333333285</v>
      </c>
      <c r="C461" s="122">
        <f t="shared" si="379"/>
        <v>19</v>
      </c>
      <c r="D461" s="123">
        <v>1435.0083185575177</v>
      </c>
      <c r="E461" s="124">
        <v>40.959716796875</v>
      </c>
      <c r="F461" s="125">
        <v>12.603163060975769</v>
      </c>
      <c r="G461" s="126">
        <v>2.4625027179718018</v>
      </c>
      <c r="H461" s="127">
        <f>HLOOKUP('Operational Worksheet'!E461,$B$773:$U$775,3)</f>
        <v>7.7875000000000005</v>
      </c>
      <c r="I461" s="127">
        <f t="shared" si="375"/>
        <v>1.1358819171435115</v>
      </c>
      <c r="J461" s="127">
        <f t="shared" si="376"/>
        <v>21.078338679421016</v>
      </c>
      <c r="K461" s="127">
        <f t="shared" si="380"/>
        <v>2.7971123082609179</v>
      </c>
      <c r="L461" s="127">
        <f t="shared" si="380"/>
        <v>51.905466288404412</v>
      </c>
      <c r="M461" s="127">
        <f t="shared" si="381"/>
        <v>54.702578596665333</v>
      </c>
      <c r="N461" s="128">
        <f t="shared" si="382"/>
        <v>7.0244081665059817</v>
      </c>
      <c r="O461" s="129" t="str">
        <f t="shared" si="377"/>
        <v>OK</v>
      </c>
    </row>
    <row r="462" spans="1:15" ht="14.25" customHeight="1" x14ac:dyDescent="0.25">
      <c r="A462" s="120" t="str">
        <f>IF(N462=MIN(N441:N464),1,"")</f>
        <v/>
      </c>
      <c r="B462" s="121">
        <f t="shared" si="378"/>
        <v>42327.874999999949</v>
      </c>
      <c r="C462" s="122">
        <f t="shared" si="379"/>
        <v>19</v>
      </c>
      <c r="D462" s="123">
        <v>1435.2407844665561</v>
      </c>
      <c r="E462" s="124">
        <v>40.959716796875</v>
      </c>
      <c r="F462" s="125">
        <v>12.602316244864397</v>
      </c>
      <c r="G462" s="126">
        <v>2.4625027179718018</v>
      </c>
      <c r="H462" s="127">
        <f>HLOOKUP('Operational Worksheet'!E462,$B$773:$U$775,3)</f>
        <v>7.7875000000000005</v>
      </c>
      <c r="I462" s="127">
        <f t="shared" si="375"/>
        <v>1.135697938381699</v>
      </c>
      <c r="J462" s="127">
        <f t="shared" si="376"/>
        <v>21.073508581290831</v>
      </c>
      <c r="K462" s="127">
        <f t="shared" si="380"/>
        <v>2.7966592600599056</v>
      </c>
      <c r="L462" s="127">
        <f t="shared" si="380"/>
        <v>51.893572158630761</v>
      </c>
      <c r="M462" s="127">
        <f t="shared" si="381"/>
        <v>54.690231418690665</v>
      </c>
      <c r="N462" s="128">
        <f t="shared" si="382"/>
        <v>7.0228226540854779</v>
      </c>
      <c r="O462" s="129" t="str">
        <f t="shared" si="377"/>
        <v>OK</v>
      </c>
    </row>
    <row r="463" spans="1:15" ht="14.25" customHeight="1" x14ac:dyDescent="0.25">
      <c r="A463" s="120" t="str">
        <f>IF(N463=MIN(N441:N464),1,"")</f>
        <v/>
      </c>
      <c r="B463" s="121">
        <f t="shared" si="378"/>
        <v>42327.916666666613</v>
      </c>
      <c r="C463" s="122">
        <f t="shared" si="379"/>
        <v>19</v>
      </c>
      <c r="D463" s="123">
        <v>1443.3947648092626</v>
      </c>
      <c r="E463" s="124">
        <v>40.813256659993066</v>
      </c>
      <c r="F463" s="125">
        <v>12.607433483898044</v>
      </c>
      <c r="G463" s="126">
        <v>2.3731467723846436</v>
      </c>
      <c r="H463" s="127">
        <f>HLOOKUP('Operational Worksheet'!E463,$B$773:$U$775,3)</f>
        <v>7.7875000000000005</v>
      </c>
      <c r="I463" s="127">
        <f t="shared" si="375"/>
        <v>1.1292821892806271</v>
      </c>
      <c r="J463" s="127">
        <f t="shared" si="376"/>
        <v>20.962969451641126</v>
      </c>
      <c r="K463" s="127">
        <f t="shared" si="380"/>
        <v>2.6799523826027842</v>
      </c>
      <c r="L463" s="127">
        <f t="shared" si="380"/>
        <v>49.748203293760021</v>
      </c>
      <c r="M463" s="127">
        <f t="shared" si="381"/>
        <v>52.428155676362806</v>
      </c>
      <c r="N463" s="128">
        <f t="shared" si="382"/>
        <v>6.7323474383772455</v>
      </c>
      <c r="O463" s="129" t="str">
        <f t="shared" si="377"/>
        <v>OK</v>
      </c>
    </row>
    <row r="464" spans="1:15" ht="14.25" customHeight="1" x14ac:dyDescent="0.25">
      <c r="A464" s="130" t="str">
        <f>IF(N464=MIN(N441:N464),1,"")</f>
        <v/>
      </c>
      <c r="B464" s="131">
        <f t="shared" si="378"/>
        <v>42327.958333333278</v>
      </c>
      <c r="C464" s="132">
        <f t="shared" si="379"/>
        <v>19</v>
      </c>
      <c r="D464" s="123">
        <v>1447.2598282483334</v>
      </c>
      <c r="E464" s="124">
        <v>40.422660827636719</v>
      </c>
      <c r="F464" s="125">
        <v>12.594835047015891</v>
      </c>
      <c r="G464" s="126">
        <v>2.3731467723846436</v>
      </c>
      <c r="H464" s="133">
        <f>HLOOKUP('Operational Worksheet'!E464,$B$773:$U$775,3)</f>
        <v>7.7875000000000005</v>
      </c>
      <c r="I464" s="134">
        <f t="shared" si="375"/>
        <v>1.1262663194160809</v>
      </c>
      <c r="J464" s="133">
        <f t="shared" si="376"/>
        <v>20.886093514682578</v>
      </c>
      <c r="K464" s="133">
        <f>I464*$G464</f>
        <v>2.6727952807678044</v>
      </c>
      <c r="L464" s="133">
        <f>J464*$G464</f>
        <v>49.565765412092794</v>
      </c>
      <c r="M464" s="133">
        <f>K464+L464</f>
        <v>52.238560692860602</v>
      </c>
      <c r="N464" s="134">
        <f t="shared" si="382"/>
        <v>6.7080013730800125</v>
      </c>
      <c r="O464" s="135" t="str">
        <f t="shared" si="377"/>
        <v>OK</v>
      </c>
    </row>
    <row r="465" spans="1:15" ht="14.25" customHeight="1" x14ac:dyDescent="0.25">
      <c r="A465" s="110" t="str">
        <f>IF(N465=MIN(N465:N488),1,"")</f>
        <v/>
      </c>
      <c r="B465" s="111">
        <f>'[1]Turbidity Daily Data Sheet'!B35</f>
        <v>42328</v>
      </c>
      <c r="C465" s="112">
        <f>DAY(B465)</f>
        <v>20</v>
      </c>
      <c r="D465" s="123">
        <v>1440.9164065483501</v>
      </c>
      <c r="E465" s="124">
        <v>40.422660827636719</v>
      </c>
      <c r="F465" s="125">
        <v>12.596717383218456</v>
      </c>
      <c r="G465" s="126">
        <v>2.3731467723846436</v>
      </c>
      <c r="H465" s="117">
        <f>HLOOKUP('Operational Worksheet'!E465,$B$773:$U$775,3)</f>
        <v>7.7875000000000005</v>
      </c>
      <c r="I465" s="117">
        <f t="shared" si="375"/>
        <v>1.1312245405717818</v>
      </c>
      <c r="J465" s="117">
        <f t="shared" si="376"/>
        <v>20.981176688898955</v>
      </c>
      <c r="K465" s="117">
        <f>I465*$G465</f>
        <v>2.6845618673002254</v>
      </c>
      <c r="L465" s="117">
        <f>J465*$G465</f>
        <v>49.791411740092478</v>
      </c>
      <c r="M465" s="117">
        <f>K465+L465</f>
        <v>52.475973607392703</v>
      </c>
      <c r="N465" s="118">
        <f>IF(D465&gt;0,M465/H465,"PO")</f>
        <v>6.7384877826507479</v>
      </c>
      <c r="O465" s="119" t="str">
        <f t="shared" si="377"/>
        <v>OK</v>
      </c>
    </row>
    <row r="466" spans="1:15" ht="14.25" customHeight="1" x14ac:dyDescent="0.25">
      <c r="A466" s="120" t="str">
        <f>IF(N466=MIN(N465:N488),1,"")</f>
        <v/>
      </c>
      <c r="B466" s="121">
        <f>B465+1/24</f>
        <v>42328.041666666664</v>
      </c>
      <c r="C466" s="122">
        <f>DAY(B466)</f>
        <v>20</v>
      </c>
      <c r="D466" s="123">
        <v>1443.5515297192285</v>
      </c>
      <c r="E466" s="124">
        <v>40.312035910958372</v>
      </c>
      <c r="F466" s="125">
        <v>12.605222357621935</v>
      </c>
      <c r="G466" s="126">
        <v>2.3731467723846436</v>
      </c>
      <c r="H466" s="127">
        <f>HLOOKUP('Operational Worksheet'!E466,$B$773:$U$775,3)</f>
        <v>7.7875000000000005</v>
      </c>
      <c r="I466" s="127">
        <f t="shared" si="375"/>
        <v>1.1291595529790583</v>
      </c>
      <c r="J466" s="127">
        <f t="shared" si="376"/>
        <v>20.957016798823091</v>
      </c>
      <c r="K466" s="127">
        <f t="shared" ref="K466:L469" si="383">I466*$G466</f>
        <v>2.6796613486595393</v>
      </c>
      <c r="L466" s="127">
        <f t="shared" si="383"/>
        <v>49.734076774937769</v>
      </c>
      <c r="M466" s="127">
        <f t="shared" ref="M466:M469" si="384">K466+L466</f>
        <v>52.413738123597305</v>
      </c>
      <c r="N466" s="128">
        <f t="shared" ref="N466:N470" si="385">IF(D466&gt;0,M466/H466,"PO")</f>
        <v>6.7304960672356087</v>
      </c>
      <c r="O466" s="129" t="str">
        <f t="shared" si="377"/>
        <v>OK</v>
      </c>
    </row>
    <row r="467" spans="1:15" ht="14.25" customHeight="1" x14ac:dyDescent="0.25">
      <c r="A467" s="120" t="str">
        <f>IF(N467=MIN(N465:N488),1,"")</f>
        <v/>
      </c>
      <c r="B467" s="121">
        <f t="shared" ref="B467:B482" si="386">B466+1/24</f>
        <v>42328.083333333328</v>
      </c>
      <c r="C467" s="122">
        <f t="shared" ref="C467" si="387">DAY(B467)</f>
        <v>20</v>
      </c>
      <c r="D467" s="123">
        <v>1442.2590487881434</v>
      </c>
      <c r="E467" s="124">
        <v>39.800811767578125</v>
      </c>
      <c r="F467" s="125">
        <v>12.600919574238564</v>
      </c>
      <c r="G467" s="126">
        <v>2.3731467723846436</v>
      </c>
      <c r="H467" s="127">
        <f>HLOOKUP('Operational Worksheet'!E467,$B$773:$U$775,3)</f>
        <v>7.7875000000000005</v>
      </c>
      <c r="I467" s="127">
        <f t="shared" si="375"/>
        <v>1.1301714496917912</v>
      </c>
      <c r="J467" s="127">
        <f t="shared" si="376"/>
        <v>20.968637363435874</v>
      </c>
      <c r="K467" s="127">
        <f t="shared" si="383"/>
        <v>2.6820627280773479</v>
      </c>
      <c r="L467" s="127">
        <f t="shared" si="383"/>
        <v>49.761654080341884</v>
      </c>
      <c r="M467" s="127">
        <f t="shared" si="384"/>
        <v>52.443716808419232</v>
      </c>
      <c r="N467" s="128">
        <f t="shared" si="385"/>
        <v>6.7343456575819234</v>
      </c>
      <c r="O467" s="129" t="str">
        <f t="shared" si="377"/>
        <v>OK</v>
      </c>
    </row>
    <row r="468" spans="1:15" ht="14.25" customHeight="1" x14ac:dyDescent="0.25">
      <c r="A468" s="120" t="str">
        <f>IF(N468=MIN(N465:N488),1,"")</f>
        <v/>
      </c>
      <c r="B468" s="121">
        <f t="shared" si="386"/>
        <v>42328.124999999993</v>
      </c>
      <c r="C468" s="122">
        <f>DAY(B468)</f>
        <v>20</v>
      </c>
      <c r="D468" s="123">
        <v>1450.1215405886362</v>
      </c>
      <c r="E468" s="124">
        <v>39.800811767578125</v>
      </c>
      <c r="F468" s="125">
        <v>12.604047925606224</v>
      </c>
      <c r="G468" s="126">
        <v>2.3731467723846436</v>
      </c>
      <c r="H468" s="127">
        <f>HLOOKUP('Operational Worksheet'!E468,$B$773:$U$775,3)</f>
        <v>7.7875000000000005</v>
      </c>
      <c r="I468" s="127">
        <f t="shared" si="375"/>
        <v>1.1240437124589895</v>
      </c>
      <c r="J468" s="127">
        <f t="shared" si="376"/>
        <v>20.860123910148879</v>
      </c>
      <c r="K468" s="127">
        <f t="shared" si="383"/>
        <v>2.6675207082413031</v>
      </c>
      <c r="L468" s="127">
        <f t="shared" si="383"/>
        <v>49.504135728913539</v>
      </c>
      <c r="M468" s="127">
        <f t="shared" si="384"/>
        <v>52.171656437154844</v>
      </c>
      <c r="N468" s="128">
        <f t="shared" si="385"/>
        <v>6.6994101363922747</v>
      </c>
      <c r="O468" s="129" t="str">
        <f t="shared" si="377"/>
        <v>OK</v>
      </c>
    </row>
    <row r="469" spans="1:15" ht="14.25" customHeight="1" x14ac:dyDescent="0.25">
      <c r="A469" s="120" t="str">
        <f>IF(N469=MIN(N465:N488),1,"")</f>
        <v/>
      </c>
      <c r="B469" s="121">
        <f t="shared" si="386"/>
        <v>42328.166666666657</v>
      </c>
      <c r="C469" s="122">
        <f t="shared" ref="C469:C470" si="388">DAY(B469)</f>
        <v>20</v>
      </c>
      <c r="D469" s="123">
        <v>1437.7820693977883</v>
      </c>
      <c r="E469" s="124">
        <v>40.179298433173436</v>
      </c>
      <c r="F469" s="125">
        <v>12.603260537898507</v>
      </c>
      <c r="G469" s="126">
        <v>2.3731467723846436</v>
      </c>
      <c r="H469" s="127">
        <f>HLOOKUP('Operational Worksheet'!E469,$B$773:$U$775,3)</f>
        <v>7.7875000000000005</v>
      </c>
      <c r="I469" s="127">
        <f t="shared" si="375"/>
        <v>1.1336905882285218</v>
      </c>
      <c r="J469" s="127">
        <f t="shared" si="376"/>
        <v>21.037837329287076</v>
      </c>
      <c r="K469" s="127">
        <f t="shared" si="383"/>
        <v>2.6904141603373644</v>
      </c>
      <c r="L469" s="127">
        <f t="shared" si="383"/>
        <v>49.925875755950791</v>
      </c>
      <c r="M469" s="127">
        <f t="shared" si="384"/>
        <v>52.616289916288153</v>
      </c>
      <c r="N469" s="128">
        <f t="shared" si="385"/>
        <v>6.7565059282552999</v>
      </c>
      <c r="O469" s="129" t="str">
        <f t="shared" si="377"/>
        <v>OK</v>
      </c>
    </row>
    <row r="470" spans="1:15" ht="14.25" customHeight="1" x14ac:dyDescent="0.25">
      <c r="A470" s="120" t="str">
        <f>IF(N470=MIN(N465:N488),1,"")</f>
        <v/>
      </c>
      <c r="B470" s="121">
        <f t="shared" si="386"/>
        <v>42328.208333333321</v>
      </c>
      <c r="C470" s="122">
        <f t="shared" si="388"/>
        <v>20</v>
      </c>
      <c r="D470" s="123">
        <v>1440.9381567415062</v>
      </c>
      <c r="E470" s="124">
        <v>40.284866333007813</v>
      </c>
      <c r="F470" s="125">
        <v>12.591981772583058</v>
      </c>
      <c r="G470" s="126">
        <v>2.379995584487915</v>
      </c>
      <c r="H470" s="127">
        <f>HLOOKUP('Operational Worksheet'!E470,$B$773:$U$775,3)</f>
        <v>7.7875000000000005</v>
      </c>
      <c r="I470" s="128">
        <f t="shared" si="375"/>
        <v>1.13120746534052</v>
      </c>
      <c r="J470" s="127">
        <f t="shared" si="376"/>
        <v>20.972972443549999</v>
      </c>
      <c r="K470" s="127">
        <f>I470*$G470</f>
        <v>2.6922687726502037</v>
      </c>
      <c r="L470" s="127">
        <f>J470*$G470</f>
        <v>49.915581809235718</v>
      </c>
      <c r="M470" s="127">
        <f>K470+L470</f>
        <v>52.60785058188592</v>
      </c>
      <c r="N470" s="128">
        <f t="shared" si="385"/>
        <v>6.7554222256033283</v>
      </c>
      <c r="O470" s="129" t="str">
        <f t="shared" si="377"/>
        <v>OK</v>
      </c>
    </row>
    <row r="471" spans="1:15" ht="14.25" customHeight="1" x14ac:dyDescent="0.25">
      <c r="A471" s="120">
        <f>IF(N471=MIN(N465:N488),1,"")</f>
        <v>1</v>
      </c>
      <c r="B471" s="121">
        <f t="shared" si="386"/>
        <v>42328.249999999985</v>
      </c>
      <c r="C471" s="122">
        <f>DAY(B471)</f>
        <v>20</v>
      </c>
      <c r="D471" s="123">
        <v>1441.056926558698</v>
      </c>
      <c r="E471" s="124">
        <v>39.002704707843719</v>
      </c>
      <c r="F471" s="125">
        <v>12.599410601297722</v>
      </c>
      <c r="G471" s="126">
        <v>2.2837905883789062</v>
      </c>
      <c r="H471" s="127">
        <f>HLOOKUP('Operational Worksheet'!E471,$B$773:$U$775,3)</f>
        <v>8.5750000000000011</v>
      </c>
      <c r="I471" s="127">
        <f t="shared" si="375"/>
        <v>1.1311142328655299</v>
      </c>
      <c r="J471" s="127">
        <f t="shared" si="376"/>
        <v>20.983616181857219</v>
      </c>
      <c r="K471" s="127">
        <f>I471*$G471</f>
        <v>2.5832280393997236</v>
      </c>
      <c r="L471" s="127">
        <f>J471*$G471</f>
        <v>47.922185146280839</v>
      </c>
      <c r="M471" s="127">
        <f>K471+L471</f>
        <v>50.50541318568056</v>
      </c>
      <c r="N471" s="128">
        <f>IF(D471&gt;0,M471/H471,"PO")</f>
        <v>5.8898441032863618</v>
      </c>
      <c r="O471" s="129" t="str">
        <f t="shared" si="377"/>
        <v>OK</v>
      </c>
    </row>
    <row r="472" spans="1:15" ht="14.25" customHeight="1" x14ac:dyDescent="0.25">
      <c r="A472" s="120" t="str">
        <f>IF(N472=MIN(N465:N488),1,"")</f>
        <v/>
      </c>
      <c r="B472" s="121">
        <f t="shared" si="386"/>
        <v>42328.29166666665</v>
      </c>
      <c r="C472" s="122">
        <f t="shared" ref="C472:C476" si="389">DAY(B472)</f>
        <v>20</v>
      </c>
      <c r="D472" s="123">
        <v>1403.8685609906602</v>
      </c>
      <c r="E472" s="124">
        <v>38.881265959118586</v>
      </c>
      <c r="F472" s="125">
        <v>12.607199494664357</v>
      </c>
      <c r="G472" s="126">
        <v>2.2837905883789062</v>
      </c>
      <c r="H472" s="127">
        <f>HLOOKUP('Operational Worksheet'!E472,$B$773:$U$775,3)</f>
        <v>8.5750000000000011</v>
      </c>
      <c r="I472" s="127">
        <f t="shared" si="375"/>
        <v>1.1610773581607718</v>
      </c>
      <c r="J472" s="127">
        <f t="shared" si="376"/>
        <v>21.552786085502884</v>
      </c>
      <c r="K472" s="127">
        <f t="shared" ref="K472:L475" si="390">I472*$G472</f>
        <v>2.6516575429474152</v>
      </c>
      <c r="L472" s="127">
        <f t="shared" si="390"/>
        <v>49.222050015415334</v>
      </c>
      <c r="M472" s="127">
        <f t="shared" ref="M472:M475" si="391">K472+L472</f>
        <v>51.873707558362753</v>
      </c>
      <c r="N472" s="128">
        <f t="shared" ref="N472:N476" si="392">IF(D472&gt;0,M472/H472,"PO")</f>
        <v>6.0494119601589205</v>
      </c>
      <c r="O472" s="129" t="str">
        <f t="shared" si="377"/>
        <v>OK</v>
      </c>
    </row>
    <row r="473" spans="1:15" ht="14.25" customHeight="1" x14ac:dyDescent="0.25">
      <c r="A473" s="120" t="str">
        <f>IF(N473=MIN(N465:N488),1,"")</f>
        <v/>
      </c>
      <c r="B473" s="121">
        <f t="shared" si="386"/>
        <v>42328.333333333314</v>
      </c>
      <c r="C473" s="122">
        <f t="shared" si="389"/>
        <v>20</v>
      </c>
      <c r="D473" s="123">
        <v>1445.8972900957256</v>
      </c>
      <c r="E473" s="124">
        <v>40.156882427788027</v>
      </c>
      <c r="F473" s="125">
        <v>12.624307846576217</v>
      </c>
      <c r="G473" s="126">
        <v>2.2837905883789062</v>
      </c>
      <c r="H473" s="127">
        <f>HLOOKUP('Operational Worksheet'!E473,$B$773:$U$775,3)</f>
        <v>7.7875000000000005</v>
      </c>
      <c r="I473" s="127">
        <f t="shared" si="375"/>
        <v>1.1273276540217361</v>
      </c>
      <c r="J473" s="127">
        <f t="shared" si="376"/>
        <v>20.954696463797244</v>
      </c>
      <c r="K473" s="127">
        <f t="shared" si="390"/>
        <v>2.5745802862741125</v>
      </c>
      <c r="L473" s="127">
        <f t="shared" si="390"/>
        <v>47.856138566356897</v>
      </c>
      <c r="M473" s="127">
        <f t="shared" si="391"/>
        <v>50.43071885263101</v>
      </c>
      <c r="N473" s="128">
        <f t="shared" si="392"/>
        <v>6.4758547483314297</v>
      </c>
      <c r="O473" s="129" t="str">
        <f t="shared" si="377"/>
        <v>OK</v>
      </c>
    </row>
    <row r="474" spans="1:15" ht="14.25" customHeight="1" x14ac:dyDescent="0.25">
      <c r="A474" s="120" t="str">
        <f>IF(N474=MIN(N465:N488),1,"")</f>
        <v/>
      </c>
      <c r="B474" s="121">
        <f t="shared" si="386"/>
        <v>42328.374999999978</v>
      </c>
      <c r="C474" s="122">
        <f t="shared" si="389"/>
        <v>20</v>
      </c>
      <c r="D474" s="123">
        <v>1446.32943682665</v>
      </c>
      <c r="E474" s="124">
        <v>41.369571685791016</v>
      </c>
      <c r="F474" s="125">
        <v>12.59722556089069</v>
      </c>
      <c r="G474" s="126">
        <v>2.2837905883789062</v>
      </c>
      <c r="H474" s="127">
        <f>HLOOKUP('Operational Worksheet'!E474,$B$773:$U$775,3)</f>
        <v>7</v>
      </c>
      <c r="I474" s="127">
        <f t="shared" si="375"/>
        <v>1.1269908213832227</v>
      </c>
      <c r="J474" s="127">
        <f t="shared" si="376"/>
        <v>20.903495826284061</v>
      </c>
      <c r="K474" s="127">
        <f t="shared" si="390"/>
        <v>2.5738110310644169</v>
      </c>
      <c r="L474" s="127">
        <f t="shared" si="390"/>
        <v>47.739207032285286</v>
      </c>
      <c r="M474" s="127">
        <f t="shared" si="391"/>
        <v>50.313018063349702</v>
      </c>
      <c r="N474" s="128">
        <f t="shared" si="392"/>
        <v>7.1875740090499578</v>
      </c>
      <c r="O474" s="129" t="str">
        <f t="shared" si="377"/>
        <v>OK</v>
      </c>
    </row>
    <row r="475" spans="1:15" ht="14.25" customHeight="1" x14ac:dyDescent="0.25">
      <c r="A475" s="120" t="str">
        <f>IF(N475=MIN(N465:N488),1,"")</f>
        <v/>
      </c>
      <c r="B475" s="121">
        <f t="shared" si="386"/>
        <v>42328.416666666642</v>
      </c>
      <c r="C475" s="122">
        <f t="shared" si="389"/>
        <v>20</v>
      </c>
      <c r="D475" s="123">
        <v>1450.4260262892906</v>
      </c>
      <c r="E475" s="124">
        <v>41.369571685791016</v>
      </c>
      <c r="F475" s="125">
        <v>12.593631428278071</v>
      </c>
      <c r="G475" s="126">
        <v>2.2837905883789062</v>
      </c>
      <c r="H475" s="127">
        <f>HLOOKUP('Operational Worksheet'!E475,$B$773:$U$775,3)</f>
        <v>7</v>
      </c>
      <c r="I475" s="127">
        <f t="shared" si="375"/>
        <v>1.1238077436945364</v>
      </c>
      <c r="J475" s="127">
        <f t="shared" si="376"/>
        <v>20.838508741595749</v>
      </c>
      <c r="K475" s="127">
        <f t="shared" si="390"/>
        <v>2.5665415481969163</v>
      </c>
      <c r="L475" s="127">
        <f t="shared" si="390"/>
        <v>47.590790139907938</v>
      </c>
      <c r="M475" s="127">
        <f t="shared" si="391"/>
        <v>50.157331688104854</v>
      </c>
      <c r="N475" s="128">
        <f t="shared" si="392"/>
        <v>7.1653330983006933</v>
      </c>
      <c r="O475" s="129" t="str">
        <f t="shared" si="377"/>
        <v>OK</v>
      </c>
    </row>
    <row r="476" spans="1:15" ht="14.25" customHeight="1" x14ac:dyDescent="0.25">
      <c r="A476" s="120" t="str">
        <f>IF(N476=MIN(N465:N488),1,"")</f>
        <v/>
      </c>
      <c r="B476" s="121">
        <f t="shared" si="386"/>
        <v>42328.458333333307</v>
      </c>
      <c r="C476" s="122">
        <f t="shared" si="389"/>
        <v>20</v>
      </c>
      <c r="D476" s="123">
        <v>1442.5826294608494</v>
      </c>
      <c r="E476" s="124">
        <v>41.619663455902526</v>
      </c>
      <c r="F476" s="125">
        <v>12.599341933731655</v>
      </c>
      <c r="G476" s="126">
        <v>2.2837905883789062</v>
      </c>
      <c r="H476" s="127">
        <f>HLOOKUP('Operational Worksheet'!E476,$B$773:$U$775,3)</f>
        <v>7</v>
      </c>
      <c r="I476" s="128">
        <f t="shared" si="375"/>
        <v>1.1299179448800074</v>
      </c>
      <c r="J476" s="127">
        <f t="shared" si="376"/>
        <v>20.961309268126481</v>
      </c>
      <c r="K476" s="127">
        <f>I476*$G476</f>
        <v>2.5804959681573965</v>
      </c>
      <c r="L476" s="127">
        <f>J476*$G476</f>
        <v>47.871240826646797</v>
      </c>
      <c r="M476" s="127">
        <f>K476+L476</f>
        <v>50.451736794804191</v>
      </c>
      <c r="N476" s="128">
        <f t="shared" si="392"/>
        <v>7.2073909706863128</v>
      </c>
      <c r="O476" s="129" t="str">
        <f t="shared" si="377"/>
        <v>OK</v>
      </c>
    </row>
    <row r="477" spans="1:15" ht="14.25" customHeight="1" x14ac:dyDescent="0.25">
      <c r="A477" s="120" t="str">
        <f>IF(N477=MIN(N465:N488),1,"")</f>
        <v/>
      </c>
      <c r="B477" s="121">
        <f t="shared" si="386"/>
        <v>42328.499999999971</v>
      </c>
      <c r="C477" s="122">
        <f>DAY(B477)</f>
        <v>20</v>
      </c>
      <c r="D477" s="123">
        <v>1438.1996920620875</v>
      </c>
      <c r="E477" s="124">
        <v>43.203330993652344</v>
      </c>
      <c r="F477" s="125">
        <v>12.59277131669953</v>
      </c>
      <c r="G477" s="126">
        <v>2.2837905883789062</v>
      </c>
      <c r="H477" s="127">
        <f>HLOOKUP('Operational Worksheet'!E477,$B$773:$U$775,3)</f>
        <v>6.6499999999999995</v>
      </c>
      <c r="I477" s="127">
        <f t="shared" si="375"/>
        <v>1.1333613885446669</v>
      </c>
      <c r="J477" s="127">
        <f t="shared" si="376"/>
        <v>21.01422446888839</v>
      </c>
      <c r="K477" s="127">
        <f>I477*$G477</f>
        <v>2.5883600723903593</v>
      </c>
      <c r="L477" s="127">
        <f>J477*$G477</f>
        <v>47.992088064129028</v>
      </c>
      <c r="M477" s="127">
        <f>K477+L477</f>
        <v>50.580448136519387</v>
      </c>
      <c r="N477" s="128">
        <f>IF(D477&gt;0,M477/H477,"PO")</f>
        <v>7.606082426544269</v>
      </c>
      <c r="O477" s="129" t="str">
        <f t="shared" si="377"/>
        <v>OK</v>
      </c>
    </row>
    <row r="478" spans="1:15" ht="14.25" customHeight="1" x14ac:dyDescent="0.25">
      <c r="A478" s="120" t="str">
        <f>IF(N478=MIN(N465:N488),1,"")</f>
        <v/>
      </c>
      <c r="B478" s="121">
        <f t="shared" si="386"/>
        <v>42328.541666666635</v>
      </c>
      <c r="C478" s="122">
        <f t="shared" ref="C478:C482" si="393">DAY(B478)</f>
        <v>20</v>
      </c>
      <c r="D478" s="123">
        <v>1424.1481229059523</v>
      </c>
      <c r="E478" s="124">
        <v>43.203330993652344</v>
      </c>
      <c r="F478" s="125">
        <v>12.599451692650602</v>
      </c>
      <c r="G478" s="126">
        <v>2.3661909103393555</v>
      </c>
      <c r="H478" s="127">
        <f>HLOOKUP('Operational Worksheet'!E478,$B$773:$U$775,3)</f>
        <v>6.6499999999999995</v>
      </c>
      <c r="I478" s="127">
        <f t="shared" si="375"/>
        <v>1.1445438671603978</v>
      </c>
      <c r="J478" s="127">
        <f t="shared" si="376"/>
        <v>21.232822327961134</v>
      </c>
      <c r="K478" s="127">
        <f t="shared" ref="K478:L481" si="394">I478*$G478</f>
        <v>2.708209294959588</v>
      </c>
      <c r="L478" s="127">
        <f t="shared" si="394"/>
        <v>50.240911193272147</v>
      </c>
      <c r="M478" s="127">
        <f t="shared" ref="M478:M481" si="395">K478+L478</f>
        <v>52.949120488231735</v>
      </c>
      <c r="N478" s="128">
        <f t="shared" ref="N478:N482" si="396">IF(D478&gt;0,M478/H478,"PO")</f>
        <v>7.9622737576288332</v>
      </c>
      <c r="O478" s="129" t="str">
        <f t="shared" si="377"/>
        <v>OK</v>
      </c>
    </row>
    <row r="479" spans="1:15" ht="14.25" customHeight="1" x14ac:dyDescent="0.25">
      <c r="A479" s="120" t="str">
        <f>IF(N479=MIN(N465:N488),1,"")</f>
        <v/>
      </c>
      <c r="B479" s="121">
        <f t="shared" si="386"/>
        <v>42328.583333333299</v>
      </c>
      <c r="C479" s="122">
        <f t="shared" si="393"/>
        <v>20</v>
      </c>
      <c r="D479" s="123">
        <v>1450.150671412307</v>
      </c>
      <c r="E479" s="124">
        <v>43.203330993652344</v>
      </c>
      <c r="F479" s="125">
        <v>12.605309983837564</v>
      </c>
      <c r="G479" s="126">
        <v>2.3661909103393555</v>
      </c>
      <c r="H479" s="127">
        <f>HLOOKUP('Operational Worksheet'!E479,$B$773:$U$775,3)</f>
        <v>6.6499999999999995</v>
      </c>
      <c r="I479" s="127">
        <f t="shared" si="375"/>
        <v>1.1240211325162075</v>
      </c>
      <c r="J479" s="127">
        <f t="shared" si="376"/>
        <v>20.861793576075026</v>
      </c>
      <c r="K479" s="127">
        <f t="shared" si="394"/>
        <v>2.6596485867891984</v>
      </c>
      <c r="L479" s="127">
        <f t="shared" si="394"/>
        <v>49.362986333084685</v>
      </c>
      <c r="M479" s="127">
        <f t="shared" si="395"/>
        <v>52.02263491987388</v>
      </c>
      <c r="N479" s="128">
        <f t="shared" si="396"/>
        <v>7.8229526195299073</v>
      </c>
      <c r="O479" s="129" t="str">
        <f t="shared" si="377"/>
        <v>OK</v>
      </c>
    </row>
    <row r="480" spans="1:15" ht="14.25" customHeight="1" x14ac:dyDescent="0.25">
      <c r="A480" s="120" t="str">
        <f>IF(N480=MIN(N465:N488),1,"")</f>
        <v/>
      </c>
      <c r="B480" s="121">
        <f t="shared" si="386"/>
        <v>42328.624999999964</v>
      </c>
      <c r="C480" s="122">
        <f t="shared" si="393"/>
        <v>20</v>
      </c>
      <c r="D480" s="123">
        <v>1433.489050235326</v>
      </c>
      <c r="E480" s="124">
        <v>42.626675001247115</v>
      </c>
      <c r="F480" s="125">
        <v>12.596070097198901</v>
      </c>
      <c r="G480" s="126">
        <v>2.3661909103393555</v>
      </c>
      <c r="H480" s="127">
        <f>HLOOKUP('Operational Worksheet'!E480,$B$773:$U$775,3)</f>
        <v>7</v>
      </c>
      <c r="I480" s="127">
        <f t="shared" si="375"/>
        <v>1.1370857696697538</v>
      </c>
      <c r="J480" s="127">
        <f t="shared" si="376"/>
        <v>21.088803035024661</v>
      </c>
      <c r="K480" s="127">
        <f t="shared" si="394"/>
        <v>2.6905620124688014</v>
      </c>
      <c r="L480" s="127">
        <f t="shared" si="394"/>
        <v>49.900134051412365</v>
      </c>
      <c r="M480" s="127">
        <f t="shared" si="395"/>
        <v>52.590696063881168</v>
      </c>
      <c r="N480" s="128">
        <f t="shared" si="396"/>
        <v>7.5129565805544525</v>
      </c>
      <c r="O480" s="129" t="str">
        <f t="shared" si="377"/>
        <v>OK</v>
      </c>
    </row>
    <row r="481" spans="1:15" ht="14.25" customHeight="1" x14ac:dyDescent="0.25">
      <c r="A481" s="120" t="str">
        <f>IF(N481=MIN(N465:N488),1,"")</f>
        <v/>
      </c>
      <c r="B481" s="121">
        <f t="shared" si="386"/>
        <v>42328.666666666628</v>
      </c>
      <c r="C481" s="122">
        <f t="shared" si="393"/>
        <v>20</v>
      </c>
      <c r="D481" s="123">
        <v>1450.910223545063</v>
      </c>
      <c r="E481" s="124">
        <v>40.761856079101562</v>
      </c>
      <c r="F481" s="125">
        <v>12.607853233562306</v>
      </c>
      <c r="G481" s="126">
        <v>2.3661909103393555</v>
      </c>
      <c r="H481" s="127">
        <f>HLOOKUP('Operational Worksheet'!E481,$B$773:$U$775,3)</f>
        <v>7.7875000000000005</v>
      </c>
      <c r="I481" s="127">
        <f t="shared" si="375"/>
        <v>1.1234327069647081</v>
      </c>
      <c r="J481" s="127">
        <f t="shared" si="376"/>
        <v>20.855079294028933</v>
      </c>
      <c r="K481" s="127">
        <f t="shared" si="394"/>
        <v>2.6582562595978292</v>
      </c>
      <c r="L481" s="127">
        <f t="shared" si="394"/>
        <v>49.347099059937761</v>
      </c>
      <c r="M481" s="127">
        <f t="shared" si="395"/>
        <v>52.005355319535589</v>
      </c>
      <c r="N481" s="128">
        <f t="shared" si="396"/>
        <v>6.6780552577252754</v>
      </c>
      <c r="O481" s="129" t="str">
        <f t="shared" si="377"/>
        <v>OK</v>
      </c>
    </row>
    <row r="482" spans="1:15" ht="14.25" customHeight="1" x14ac:dyDescent="0.25">
      <c r="A482" s="120" t="str">
        <f>IF(N482=MIN(N465:N488),1,"")</f>
        <v/>
      </c>
      <c r="B482" s="121">
        <f t="shared" si="386"/>
        <v>42328.708333333292</v>
      </c>
      <c r="C482" s="122">
        <f t="shared" si="393"/>
        <v>20</v>
      </c>
      <c r="D482" s="123">
        <v>1443.5096838199636</v>
      </c>
      <c r="E482" s="124">
        <v>40.761856079101562</v>
      </c>
      <c r="F482" s="125">
        <v>12.600896061807026</v>
      </c>
      <c r="G482" s="126">
        <v>2.3661909103393555</v>
      </c>
      <c r="H482" s="127">
        <f>HLOOKUP('Operational Worksheet'!E482,$B$773:$U$775,3)</f>
        <v>7.7875000000000005</v>
      </c>
      <c r="I482" s="128">
        <f t="shared" si="375"/>
        <v>1.1291922861830248</v>
      </c>
      <c r="J482" s="127">
        <f t="shared" si="376"/>
        <v>20.950431359980193</v>
      </c>
      <c r="K482" s="127">
        <f>I482*$G482</f>
        <v>2.6718845235915896</v>
      </c>
      <c r="L482" s="127">
        <f>J482*$G482</f>
        <v>49.572720251673715</v>
      </c>
      <c r="M482" s="127">
        <f>K482+L482</f>
        <v>52.244604775265302</v>
      </c>
      <c r="N482" s="128">
        <f t="shared" si="396"/>
        <v>6.7087774992314992</v>
      </c>
      <c r="O482" s="129" t="str">
        <f t="shared" si="377"/>
        <v>OK</v>
      </c>
    </row>
    <row r="483" spans="1:15" ht="14.25" customHeight="1" x14ac:dyDescent="0.25">
      <c r="A483" s="120" t="str">
        <f>IF(N483=MIN(N465:N488),1,"")</f>
        <v/>
      </c>
      <c r="B483" s="121">
        <f>B482+1/24</f>
        <v>42328.749999999956</v>
      </c>
      <c r="C483" s="122">
        <f>DAY(B483)</f>
        <v>20</v>
      </c>
      <c r="D483" s="123">
        <v>1440.9613426235308</v>
      </c>
      <c r="E483" s="124">
        <v>40.710770909132926</v>
      </c>
      <c r="F483" s="125">
        <v>12.600402441420217</v>
      </c>
      <c r="G483" s="126">
        <v>2.3661909103393555</v>
      </c>
      <c r="H483" s="127">
        <f>HLOOKUP('Operational Worksheet'!E483,$B$773:$U$775,3)</f>
        <v>7.7875000000000005</v>
      </c>
      <c r="I483" s="127">
        <f t="shared" si="375"/>
        <v>1.1311892635733656</v>
      </c>
      <c r="J483" s="127">
        <f t="shared" si="376"/>
        <v>20.986660061504057</v>
      </c>
      <c r="K483" s="127">
        <f>I483*$G483</f>
        <v>2.6766097533407671</v>
      </c>
      <c r="L483" s="127">
        <f>J483*$G483</f>
        <v>49.658444275912878</v>
      </c>
      <c r="M483" s="127">
        <f>K483+L483</f>
        <v>52.335054029253648</v>
      </c>
      <c r="N483" s="128">
        <f>IF(D483&gt;0,M483/H483,"PO")</f>
        <v>6.7203921706906771</v>
      </c>
      <c r="O483" s="129" t="str">
        <f t="shared" si="377"/>
        <v>OK</v>
      </c>
    </row>
    <row r="484" spans="1:15" ht="14.25" customHeight="1" x14ac:dyDescent="0.25">
      <c r="A484" s="120" t="str">
        <f>IF(N484=MIN(N465:N488),1,"")</f>
        <v/>
      </c>
      <c r="B484" s="121">
        <f t="shared" ref="B484:B488" si="397">B483+1/24</f>
        <v>42328.791666666621</v>
      </c>
      <c r="C484" s="122">
        <f t="shared" ref="C484:C488" si="398">DAY(B484)</f>
        <v>20</v>
      </c>
      <c r="D484" s="123">
        <v>1447.0107882396132</v>
      </c>
      <c r="E484" s="124">
        <v>40.203651375306599</v>
      </c>
      <c r="F484" s="125">
        <v>12.603912852660509</v>
      </c>
      <c r="G484" s="126">
        <v>2.3661909103393555</v>
      </c>
      <c r="H484" s="127">
        <f>HLOOKUP('Operational Worksheet'!E484,$B$773:$U$775,3)</f>
        <v>7.7875000000000005</v>
      </c>
      <c r="I484" s="127">
        <f t="shared" si="375"/>
        <v>1.1264601572065718</v>
      </c>
      <c r="J484" s="127">
        <f t="shared" si="376"/>
        <v>20.904744520381673</v>
      </c>
      <c r="K484" s="127">
        <f t="shared" ref="K484:L487" si="399">I484*$G484</f>
        <v>2.6654197848416317</v>
      </c>
      <c r="L484" s="127">
        <f t="shared" si="399"/>
        <v>49.464616467093563</v>
      </c>
      <c r="M484" s="127">
        <f t="shared" ref="M484:M487" si="400">K484+L484</f>
        <v>52.130036251935195</v>
      </c>
      <c r="N484" s="128">
        <f t="shared" ref="N484:N488" si="401">IF(D484&gt;0,M484/H484,"PO")</f>
        <v>6.6940656503287563</v>
      </c>
      <c r="O484" s="129" t="str">
        <f t="shared" si="377"/>
        <v>OK</v>
      </c>
    </row>
    <row r="485" spans="1:15" ht="14.25" customHeight="1" x14ac:dyDescent="0.25">
      <c r="A485" s="120" t="str">
        <f>IF(N485=MIN(N465:N488),1,"")</f>
        <v/>
      </c>
      <c r="B485" s="121">
        <f t="shared" si="397"/>
        <v>42328.833333333285</v>
      </c>
      <c r="C485" s="122">
        <f t="shared" si="398"/>
        <v>20</v>
      </c>
      <c r="D485" s="123">
        <v>1448.4039313906837</v>
      </c>
      <c r="E485" s="124">
        <v>41.656072535647688</v>
      </c>
      <c r="F485" s="125">
        <v>12.602811798226707</v>
      </c>
      <c r="G485" s="126">
        <v>2.3661909103393555</v>
      </c>
      <c r="H485" s="127">
        <f>HLOOKUP('Operational Worksheet'!E485,$B$773:$U$775,3)</f>
        <v>7</v>
      </c>
      <c r="I485" s="127">
        <f t="shared" si="375"/>
        <v>1.1253766747477389</v>
      </c>
      <c r="J485" s="127">
        <f t="shared" si="376"/>
        <v>20.882812908898075</v>
      </c>
      <c r="K485" s="127">
        <f t="shared" si="399"/>
        <v>2.662856058496029</v>
      </c>
      <c r="L485" s="127">
        <f t="shared" si="399"/>
        <v>49.41272208735198</v>
      </c>
      <c r="M485" s="127">
        <f t="shared" si="400"/>
        <v>52.075578145848013</v>
      </c>
      <c r="N485" s="128">
        <f t="shared" si="401"/>
        <v>7.4393683065497163</v>
      </c>
      <c r="O485" s="129" t="str">
        <f t="shared" si="377"/>
        <v>OK</v>
      </c>
    </row>
    <row r="486" spans="1:15" ht="14.25" customHeight="1" x14ac:dyDescent="0.25">
      <c r="A486" s="120" t="str">
        <f>IF(N486=MIN(N465:N488),1,"")</f>
        <v/>
      </c>
      <c r="B486" s="121">
        <f t="shared" si="397"/>
        <v>42328.874999999949</v>
      </c>
      <c r="C486" s="122">
        <f t="shared" si="398"/>
        <v>20</v>
      </c>
      <c r="D486" s="123">
        <v>1437.8948212048051</v>
      </c>
      <c r="E486" s="124">
        <v>41.53837638136887</v>
      </c>
      <c r="F486" s="125">
        <v>12.598331683323739</v>
      </c>
      <c r="G486" s="126">
        <v>2.3521721363067627</v>
      </c>
      <c r="H486" s="127">
        <f>HLOOKUP('Operational Worksheet'!E486,$B$773:$U$775,3)</f>
        <v>7</v>
      </c>
      <c r="I486" s="127">
        <f t="shared" si="375"/>
        <v>1.1336016904450847</v>
      </c>
      <c r="J486" s="127">
        <f t="shared" si="376"/>
        <v>21.027960873134223</v>
      </c>
      <c r="K486" s="127">
        <f t="shared" si="399"/>
        <v>2.6664263099351726</v>
      </c>
      <c r="L486" s="127">
        <f t="shared" si="399"/>
        <v>49.461383649135144</v>
      </c>
      <c r="M486" s="127">
        <f t="shared" si="400"/>
        <v>52.127809959070319</v>
      </c>
      <c r="N486" s="128">
        <f t="shared" si="401"/>
        <v>7.4468299941529024</v>
      </c>
      <c r="O486" s="129" t="str">
        <f t="shared" si="377"/>
        <v>OK</v>
      </c>
    </row>
    <row r="487" spans="1:15" ht="14.25" customHeight="1" x14ac:dyDescent="0.25">
      <c r="A487" s="120" t="str">
        <f>IF(N487=MIN(N465:N488),1,"")</f>
        <v/>
      </c>
      <c r="B487" s="121">
        <f t="shared" si="397"/>
        <v>42328.916666666613</v>
      </c>
      <c r="C487" s="122">
        <f t="shared" si="398"/>
        <v>20</v>
      </c>
      <c r="D487" s="123">
        <v>1439.5535501763015</v>
      </c>
      <c r="E487" s="124">
        <v>40.203601837158203</v>
      </c>
      <c r="F487" s="125">
        <v>12.595111521757358</v>
      </c>
      <c r="G487" s="126">
        <v>2.3521721363067627</v>
      </c>
      <c r="H487" s="127">
        <f>HLOOKUP('Operational Worksheet'!E487,$B$773:$U$775,3)</f>
        <v>7.7875000000000005</v>
      </c>
      <c r="I487" s="127">
        <f t="shared" si="375"/>
        <v>1.1322954952251512</v>
      </c>
      <c r="J487" s="127">
        <f t="shared" si="376"/>
        <v>20.998362755255346</v>
      </c>
      <c r="K487" s="127">
        <f t="shared" si="399"/>
        <v>2.6633539139342677</v>
      </c>
      <c r="L487" s="127">
        <f t="shared" si="399"/>
        <v>49.391763780973328</v>
      </c>
      <c r="M487" s="127">
        <f t="shared" si="400"/>
        <v>52.055117694907594</v>
      </c>
      <c r="N487" s="128">
        <f t="shared" si="401"/>
        <v>6.6844452898757742</v>
      </c>
      <c r="O487" s="129" t="str">
        <f t="shared" si="377"/>
        <v>OK</v>
      </c>
    </row>
    <row r="488" spans="1:15" ht="14.25" customHeight="1" x14ac:dyDescent="0.25">
      <c r="A488" s="130" t="str">
        <f>IF(N488=MIN(N465:N488),1,"")</f>
        <v/>
      </c>
      <c r="B488" s="131">
        <f t="shared" si="397"/>
        <v>42328.958333333278</v>
      </c>
      <c r="C488" s="132">
        <f t="shared" si="398"/>
        <v>20</v>
      </c>
      <c r="D488" s="123">
        <v>1440.1612587121642</v>
      </c>
      <c r="E488" s="124">
        <v>40.203601837158203</v>
      </c>
      <c r="F488" s="125">
        <v>12.595431977580626</v>
      </c>
      <c r="G488" s="126">
        <v>2.3521721363067627</v>
      </c>
      <c r="H488" s="133">
        <f>HLOOKUP('Operational Worksheet'!E488,$B$773:$U$775,3)</f>
        <v>7.7875000000000005</v>
      </c>
      <c r="I488" s="134">
        <f t="shared" si="375"/>
        <v>1.1318176975942231</v>
      </c>
      <c r="J488" s="133">
        <f t="shared" si="376"/>
        <v>20.990036055563127</v>
      </c>
      <c r="K488" s="133">
        <f>I488*$G488</f>
        <v>2.6622300516600053</v>
      </c>
      <c r="L488" s="133">
        <f>J488*$G488</f>
        <v>49.372177949969895</v>
      </c>
      <c r="M488" s="133">
        <f>K488+L488</f>
        <v>52.034408001629899</v>
      </c>
      <c r="N488" s="134">
        <f t="shared" si="401"/>
        <v>6.6817859392141115</v>
      </c>
      <c r="O488" s="135" t="str">
        <f t="shared" si="377"/>
        <v>OK</v>
      </c>
    </row>
    <row r="489" spans="1:15" ht="14.25" customHeight="1" x14ac:dyDescent="0.25">
      <c r="A489" s="110" t="str">
        <f>IF(N489=MIN(N489:N512),1,"")</f>
        <v/>
      </c>
      <c r="B489" s="111">
        <f>'[1]Turbidity Daily Data Sheet'!B36</f>
        <v>42329</v>
      </c>
      <c r="C489" s="112">
        <f>DAY(B489)</f>
        <v>21</v>
      </c>
      <c r="D489" s="123">
        <v>1440.0076449177584</v>
      </c>
      <c r="E489" s="124">
        <v>40.203601837158203</v>
      </c>
      <c r="F489" s="125">
        <v>12.59799500194368</v>
      </c>
      <c r="G489" s="126">
        <v>2.1600832939147949</v>
      </c>
      <c r="H489" s="117">
        <f>HLOOKUP('Operational Worksheet'!E489,$B$773:$U$775,3)</f>
        <v>7.7875000000000005</v>
      </c>
      <c r="I489" s="117">
        <f t="shared" si="375"/>
        <v>1.1319384350164978</v>
      </c>
      <c r="J489" s="117">
        <f t="shared" si="376"/>
        <v>20.996546866521406</v>
      </c>
      <c r="K489" s="117">
        <f>I489*$G489</f>
        <v>2.4450813032191947</v>
      </c>
      <c r="L489" s="117">
        <f>J489*$G489</f>
        <v>45.354290116271926</v>
      </c>
      <c r="M489" s="117">
        <f>K489+L489</f>
        <v>47.799371419491123</v>
      </c>
      <c r="N489" s="118">
        <f>IF(D489&gt;0,M489/H489,"PO")</f>
        <v>6.1379610169491006</v>
      </c>
      <c r="O489" s="119" t="str">
        <f t="shared" si="377"/>
        <v>OK</v>
      </c>
    </row>
    <row r="490" spans="1:15" ht="14.25" customHeight="1" x14ac:dyDescent="0.25">
      <c r="A490" s="120" t="str">
        <f>IF(N490=MIN(N489:N512),1,"")</f>
        <v/>
      </c>
      <c r="B490" s="121">
        <f>B489+1/24</f>
        <v>42329.041666666664</v>
      </c>
      <c r="C490" s="122">
        <f>DAY(B490)</f>
        <v>21</v>
      </c>
      <c r="D490" s="123">
        <v>1441.443459634236</v>
      </c>
      <c r="E490" s="124">
        <v>40.192643344363397</v>
      </c>
      <c r="F490" s="125">
        <v>12.606360375785597</v>
      </c>
      <c r="G490" s="126">
        <v>2.1600832939147949</v>
      </c>
      <c r="H490" s="127">
        <f>HLOOKUP('Operational Worksheet'!E490,$B$773:$U$775,3)</f>
        <v>7.7875000000000005</v>
      </c>
      <c r="I490" s="127">
        <f t="shared" si="375"/>
        <v>1.1308109167276044</v>
      </c>
      <c r="J490" s="127">
        <f t="shared" si="376"/>
        <v>20.989560637753115</v>
      </c>
      <c r="K490" s="127">
        <f t="shared" ref="K490:L493" si="402">I490*$G490</f>
        <v>2.4426457697997725</v>
      </c>
      <c r="L490" s="127">
        <f t="shared" si="402"/>
        <v>45.339199280222076</v>
      </c>
      <c r="M490" s="127">
        <f t="shared" ref="M490:M493" si="403">K490+L490</f>
        <v>47.78184505002185</v>
      </c>
      <c r="N490" s="128">
        <f t="shared" ref="N490:N494" si="404">IF(D490&gt;0,M490/H490,"PO")</f>
        <v>6.1357104398101887</v>
      </c>
      <c r="O490" s="129" t="str">
        <f t="shared" si="377"/>
        <v>OK</v>
      </c>
    </row>
    <row r="491" spans="1:15" ht="14.25" customHeight="1" x14ac:dyDescent="0.25">
      <c r="A491" s="120" t="str">
        <f>IF(N491=MIN(N489:N512),1,"")</f>
        <v/>
      </c>
      <c r="B491" s="121">
        <f t="shared" ref="B491:B506" si="405">B490+1/24</f>
        <v>42329.083333333328</v>
      </c>
      <c r="C491" s="122">
        <f t="shared" ref="C491" si="406">DAY(B491)</f>
        <v>21</v>
      </c>
      <c r="D491" s="123">
        <v>1447.3662629609657</v>
      </c>
      <c r="E491" s="124">
        <v>40.19353354218098</v>
      </c>
      <c r="F491" s="125">
        <v>12.59394157746353</v>
      </c>
      <c r="G491" s="126">
        <v>2.1600832939147949</v>
      </c>
      <c r="H491" s="127">
        <f>HLOOKUP('Operational Worksheet'!E491,$B$773:$U$775,3)</f>
        <v>7.7875000000000005</v>
      </c>
      <c r="I491" s="127">
        <f t="shared" si="375"/>
        <v>1.1261834973722611</v>
      </c>
      <c r="J491" s="127">
        <f t="shared" si="376"/>
        <v>20.883076080603399</v>
      </c>
      <c r="K491" s="127">
        <f t="shared" si="402"/>
        <v>2.4326501585563576</v>
      </c>
      <c r="L491" s="127">
        <f t="shared" si="402"/>
        <v>45.109183767263055</v>
      </c>
      <c r="M491" s="127">
        <f t="shared" si="403"/>
        <v>47.541833925819411</v>
      </c>
      <c r="N491" s="128">
        <f t="shared" si="404"/>
        <v>6.1048903917585111</v>
      </c>
      <c r="O491" s="129" t="str">
        <f t="shared" si="377"/>
        <v>OK</v>
      </c>
    </row>
    <row r="492" spans="1:15" ht="14.25" customHeight="1" x14ac:dyDescent="0.25">
      <c r="A492" s="120" t="str">
        <f>IF(N492=MIN(N489:N512),1,"")</f>
        <v/>
      </c>
      <c r="B492" s="121">
        <f t="shared" si="405"/>
        <v>42329.124999999993</v>
      </c>
      <c r="C492" s="122">
        <f>DAY(B492)</f>
        <v>21</v>
      </c>
      <c r="D492" s="123">
        <v>1440.7327674874723</v>
      </c>
      <c r="E492" s="124">
        <v>41.443771362304688</v>
      </c>
      <c r="F492" s="125">
        <v>12.602753435160302</v>
      </c>
      <c r="G492" s="126">
        <v>2.1600832939147949</v>
      </c>
      <c r="H492" s="127">
        <f>HLOOKUP('Operational Worksheet'!E492,$B$773:$U$775,3)</f>
        <v>7</v>
      </c>
      <c r="I492" s="127">
        <f t="shared" si="375"/>
        <v>1.1313687290132197</v>
      </c>
      <c r="J492" s="127">
        <f t="shared" si="376"/>
        <v>20.993905967122895</v>
      </c>
      <c r="K492" s="127">
        <f t="shared" si="402"/>
        <v>2.4438506907990707</v>
      </c>
      <c r="L492" s="127">
        <f t="shared" si="402"/>
        <v>45.348585553600294</v>
      </c>
      <c r="M492" s="127">
        <f t="shared" si="403"/>
        <v>47.792436244399369</v>
      </c>
      <c r="N492" s="128">
        <f t="shared" si="404"/>
        <v>6.8274908920570523</v>
      </c>
      <c r="O492" s="129" t="str">
        <f t="shared" si="377"/>
        <v>OK</v>
      </c>
    </row>
    <row r="493" spans="1:15" ht="14.25" customHeight="1" x14ac:dyDescent="0.25">
      <c r="A493" s="120" t="str">
        <f>IF(N493=MIN(N489:N512),1,"")</f>
        <v/>
      </c>
      <c r="B493" s="121">
        <f t="shared" si="405"/>
        <v>42329.166666666657</v>
      </c>
      <c r="C493" s="122">
        <f t="shared" ref="C493:C494" si="407">DAY(B493)</f>
        <v>21</v>
      </c>
      <c r="D493" s="123">
        <v>1437.5240859445471</v>
      </c>
      <c r="E493" s="124">
        <v>41.651368359922415</v>
      </c>
      <c r="F493" s="125">
        <v>12.59934532613712</v>
      </c>
      <c r="G493" s="126">
        <v>2.1600832939147949</v>
      </c>
      <c r="H493" s="127">
        <f>HLOOKUP('Operational Worksheet'!E493,$B$773:$U$775,3)</f>
        <v>7</v>
      </c>
      <c r="I493" s="127">
        <f t="shared" si="375"/>
        <v>1.1338940445849877</v>
      </c>
      <c r="J493" s="127">
        <f t="shared" si="376"/>
        <v>21.035076266468582</v>
      </c>
      <c r="K493" s="127">
        <f t="shared" si="402"/>
        <v>2.4493055827775096</v>
      </c>
      <c r="L493" s="127">
        <f t="shared" si="402"/>
        <v>45.437516829422385</v>
      </c>
      <c r="M493" s="127">
        <f t="shared" si="403"/>
        <v>47.886822412199898</v>
      </c>
      <c r="N493" s="128">
        <f t="shared" si="404"/>
        <v>6.8409746303142711</v>
      </c>
      <c r="O493" s="129" t="str">
        <f t="shared" si="377"/>
        <v>OK</v>
      </c>
    </row>
    <row r="494" spans="1:15" ht="14.25" customHeight="1" x14ac:dyDescent="0.25">
      <c r="A494" s="120" t="str">
        <f>IF(N494=MIN(N489:N512),1,"")</f>
        <v/>
      </c>
      <c r="B494" s="121">
        <f t="shared" si="405"/>
        <v>42329.208333333321</v>
      </c>
      <c r="C494" s="122">
        <f t="shared" si="407"/>
        <v>21</v>
      </c>
      <c r="D494" s="123">
        <v>1448.2809477782971</v>
      </c>
      <c r="E494" s="124">
        <v>39.959459512904729</v>
      </c>
      <c r="F494" s="125">
        <v>12.603876747197445</v>
      </c>
      <c r="G494" s="126">
        <v>2.3453233242034912</v>
      </c>
      <c r="H494" s="127">
        <f>HLOOKUP('Operational Worksheet'!E494,$B$773:$U$775,3)</f>
        <v>7.7875000000000005</v>
      </c>
      <c r="I494" s="128">
        <f t="shared" si="375"/>
        <v>1.125472238311541</v>
      </c>
      <c r="J494" s="127">
        <f t="shared" si="376"/>
        <v>20.886350980227373</v>
      </c>
      <c r="K494" s="127">
        <f>I494*$G494</f>
        <v>2.6395962912555673</v>
      </c>
      <c r="L494" s="127">
        <f>J494*$G494</f>
        <v>48.985246111427713</v>
      </c>
      <c r="M494" s="127">
        <f>K494+L494</f>
        <v>51.624842402683278</v>
      </c>
      <c r="N494" s="128">
        <f t="shared" si="404"/>
        <v>6.6291932459304368</v>
      </c>
      <c r="O494" s="129" t="str">
        <f t="shared" si="377"/>
        <v>OK</v>
      </c>
    </row>
    <row r="495" spans="1:15" ht="14.25" customHeight="1" x14ac:dyDescent="0.25">
      <c r="A495" s="120" t="str">
        <f>IF(N495=MIN(N489:N512),1,"")</f>
        <v/>
      </c>
      <c r="B495" s="121">
        <f t="shared" si="405"/>
        <v>42329.249999999985</v>
      </c>
      <c r="C495" s="122">
        <f>DAY(B495)</f>
        <v>21</v>
      </c>
      <c r="D495" s="123">
        <v>1438.7424972075232</v>
      </c>
      <c r="E495" s="124">
        <v>39.843212127685547</v>
      </c>
      <c r="F495" s="125">
        <v>12.610379896492049</v>
      </c>
      <c r="G495" s="126">
        <v>2.3453233242034912</v>
      </c>
      <c r="H495" s="127">
        <f>HLOOKUP('Operational Worksheet'!E495,$B$773:$U$775,3)</f>
        <v>7.7875000000000005</v>
      </c>
      <c r="I495" s="127">
        <f t="shared" si="375"/>
        <v>1.1329337968147124</v>
      </c>
      <c r="J495" s="127">
        <f t="shared" si="376"/>
        <v>21.03566955888391</v>
      </c>
      <c r="K495" s="127">
        <f>I495*$G495</f>
        <v>2.6570960584479639</v>
      </c>
      <c r="L495" s="127">
        <f>J495*$G495</f>
        <v>49.335446456687798</v>
      </c>
      <c r="M495" s="127">
        <f>K495+L495</f>
        <v>51.99254251513576</v>
      </c>
      <c r="N495" s="128">
        <f>IF(D495&gt;0,M495/H495,"PO")</f>
        <v>6.676409953789503</v>
      </c>
      <c r="O495" s="129" t="str">
        <f t="shared" si="377"/>
        <v>OK</v>
      </c>
    </row>
    <row r="496" spans="1:15" ht="14.25" customHeight="1" x14ac:dyDescent="0.25">
      <c r="A496" s="120" t="str">
        <f>IF(N496=MIN(N489:N512),1,"")</f>
        <v/>
      </c>
      <c r="B496" s="121">
        <f t="shared" si="405"/>
        <v>42329.29166666665</v>
      </c>
      <c r="C496" s="122">
        <f t="shared" ref="C496:C500" si="408">DAY(B496)</f>
        <v>21</v>
      </c>
      <c r="D496" s="123">
        <v>1372.612122826391</v>
      </c>
      <c r="E496" s="124">
        <v>39.647503832475586</v>
      </c>
      <c r="F496" s="125">
        <v>12.614913055076515</v>
      </c>
      <c r="G496" s="126">
        <v>2.3453233242034912</v>
      </c>
      <c r="H496" s="127">
        <f>HLOOKUP('Operational Worksheet'!E496,$B$773:$U$775,3)</f>
        <v>7.7875000000000005</v>
      </c>
      <c r="I496" s="127">
        <f t="shared" si="375"/>
        <v>1.1875168322450869</v>
      </c>
      <c r="J496" s="127">
        <f t="shared" si="376"/>
        <v>22.057062464115319</v>
      </c>
      <c r="K496" s="127">
        <f t="shared" ref="K496:L499" si="409">I496*$G496</f>
        <v>2.7851109245486469</v>
      </c>
      <c r="L496" s="127">
        <f t="shared" si="409"/>
        <v>51.730943060502987</v>
      </c>
      <c r="M496" s="127">
        <f t="shared" ref="M496:M499" si="410">K496+L496</f>
        <v>54.516053985051634</v>
      </c>
      <c r="N496" s="128">
        <f t="shared" ref="N496:N500" si="411">IF(D496&gt;0,M496/H496,"PO")</f>
        <v>7.0004563704721194</v>
      </c>
      <c r="O496" s="129" t="str">
        <f t="shared" si="377"/>
        <v>OK</v>
      </c>
    </row>
    <row r="497" spans="1:15" ht="14.25" customHeight="1" x14ac:dyDescent="0.25">
      <c r="A497" s="120" t="str">
        <f>IF(N497=MIN(N489:N512),1,"")</f>
        <v/>
      </c>
      <c r="B497" s="121">
        <f t="shared" si="405"/>
        <v>42329.333333333314</v>
      </c>
      <c r="C497" s="122">
        <f t="shared" si="408"/>
        <v>21</v>
      </c>
      <c r="D497" s="123">
        <v>1430.2295105947608</v>
      </c>
      <c r="E497" s="124">
        <v>40.792343466797021</v>
      </c>
      <c r="F497" s="125">
        <v>12.603507207696783</v>
      </c>
      <c r="G497" s="126">
        <v>2.036268949508667</v>
      </c>
      <c r="H497" s="127">
        <f>HLOOKUP('Operational Worksheet'!E497,$B$773:$U$775,3)</f>
        <v>7.7875000000000005</v>
      </c>
      <c r="I497" s="127">
        <f t="shared" si="375"/>
        <v>1.1396772251763738</v>
      </c>
      <c r="J497" s="127">
        <f t="shared" si="376"/>
        <v>21.149344964846566</v>
      </c>
      <c r="K497" s="127">
        <f t="shared" si="409"/>
        <v>2.3206893460888471</v>
      </c>
      <c r="L497" s="127">
        <f t="shared" si="409"/>
        <v>43.06575445436453</v>
      </c>
      <c r="M497" s="127">
        <f t="shared" si="410"/>
        <v>45.386443800453378</v>
      </c>
      <c r="N497" s="128">
        <f t="shared" si="411"/>
        <v>5.8281147737339811</v>
      </c>
      <c r="O497" s="129" t="str">
        <f t="shared" si="377"/>
        <v>OK</v>
      </c>
    </row>
    <row r="498" spans="1:15" ht="14.25" customHeight="1" x14ac:dyDescent="0.25">
      <c r="A498" s="120" t="str">
        <f>IF(N498=MIN(N489:N512),1,"")</f>
        <v/>
      </c>
      <c r="B498" s="121">
        <f t="shared" si="405"/>
        <v>42329.374999999978</v>
      </c>
      <c r="C498" s="122">
        <f t="shared" si="408"/>
        <v>21</v>
      </c>
      <c r="D498" s="123">
        <v>1434.1740252547688</v>
      </c>
      <c r="E498" s="124">
        <v>41.738500856457094</v>
      </c>
      <c r="F498" s="125">
        <v>12.60140547582265</v>
      </c>
      <c r="G498" s="126">
        <v>2.235527515411377</v>
      </c>
      <c r="H498" s="127">
        <f>HLOOKUP('Operational Worksheet'!E498,$B$773:$U$775,3)</f>
        <v>7</v>
      </c>
      <c r="I498" s="127">
        <f t="shared" si="375"/>
        <v>1.1365426867987267</v>
      </c>
      <c r="J498" s="127">
        <f t="shared" si="376"/>
        <v>21.087659244561955</v>
      </c>
      <c r="K498" s="127">
        <f t="shared" si="409"/>
        <v>2.5407724487781285</v>
      </c>
      <c r="L498" s="127">
        <f t="shared" si="409"/>
        <v>47.142042476837339</v>
      </c>
      <c r="M498" s="127">
        <f t="shared" si="410"/>
        <v>49.682814925615467</v>
      </c>
      <c r="N498" s="128">
        <f t="shared" si="411"/>
        <v>7.0975449893736382</v>
      </c>
      <c r="O498" s="129" t="str">
        <f t="shared" si="377"/>
        <v>OK</v>
      </c>
    </row>
    <row r="499" spans="1:15" ht="14.25" customHeight="1" x14ac:dyDescent="0.25">
      <c r="A499" s="120" t="str">
        <f>IF(N499=MIN(N489:N512),1,"")</f>
        <v/>
      </c>
      <c r="B499" s="121">
        <f t="shared" si="405"/>
        <v>42329.416666666642</v>
      </c>
      <c r="C499" s="122">
        <f t="shared" si="408"/>
        <v>21</v>
      </c>
      <c r="D499" s="123">
        <v>1432.4250170209359</v>
      </c>
      <c r="E499" s="124">
        <v>42.860603332519531</v>
      </c>
      <c r="F499" s="125">
        <v>12.599370098195388</v>
      </c>
      <c r="G499" s="126">
        <v>2.235527515411377</v>
      </c>
      <c r="H499" s="127">
        <f>HLOOKUP('Operational Worksheet'!E499,$B$773:$U$775,3)</f>
        <v>6.6499999999999995</v>
      </c>
      <c r="I499" s="127">
        <f t="shared" si="375"/>
        <v>1.1379304191363313</v>
      </c>
      <c r="J499" s="127">
        <f t="shared" si="376"/>
        <v>21.109997295744645</v>
      </c>
      <c r="K499" s="127">
        <f t="shared" si="409"/>
        <v>2.5438747626028695</v>
      </c>
      <c r="L499" s="127">
        <f t="shared" si="409"/>
        <v>47.19197980489691</v>
      </c>
      <c r="M499" s="127">
        <f t="shared" si="410"/>
        <v>49.735854567499779</v>
      </c>
      <c r="N499" s="128">
        <f t="shared" si="411"/>
        <v>7.479075874811997</v>
      </c>
      <c r="O499" s="129" t="str">
        <f t="shared" si="377"/>
        <v>OK</v>
      </c>
    </row>
    <row r="500" spans="1:15" ht="14.25" customHeight="1" x14ac:dyDescent="0.25">
      <c r="A500" s="120" t="str">
        <f>IF(N500=MIN(N489:N512),1,"")</f>
        <v/>
      </c>
      <c r="B500" s="121">
        <f t="shared" si="405"/>
        <v>42329.458333333307</v>
      </c>
      <c r="C500" s="122">
        <f t="shared" si="408"/>
        <v>21</v>
      </c>
      <c r="D500" s="123">
        <v>1388.9336637840547</v>
      </c>
      <c r="E500" s="124">
        <v>42.860603332519531</v>
      </c>
      <c r="F500" s="125">
        <v>12.591629772259694</v>
      </c>
      <c r="G500" s="126">
        <v>2.235527515411377</v>
      </c>
      <c r="H500" s="127">
        <f>HLOOKUP('Operational Worksheet'!E500,$B$773:$U$775,3)</f>
        <v>6.6499999999999995</v>
      </c>
      <c r="I500" s="128">
        <f t="shared" si="375"/>
        <v>1.1735621667914482</v>
      </c>
      <c r="J500" s="127">
        <f t="shared" si="376"/>
        <v>21.757634825475524</v>
      </c>
      <c r="K500" s="127">
        <f>I500*$G500</f>
        <v>2.6235305149080781</v>
      </c>
      <c r="L500" s="127">
        <f>J500*$G500</f>
        <v>48.639791322623346</v>
      </c>
      <c r="M500" s="127">
        <f>K500+L500</f>
        <v>51.263321837531421</v>
      </c>
      <c r="N500" s="128">
        <f t="shared" si="411"/>
        <v>7.7087702011325456</v>
      </c>
      <c r="O500" s="129" t="str">
        <f t="shared" si="377"/>
        <v>OK</v>
      </c>
    </row>
    <row r="501" spans="1:15" ht="14.25" customHeight="1" x14ac:dyDescent="0.25">
      <c r="A501" s="120" t="str">
        <f>IF(N501=MIN(N489:N512),1,"")</f>
        <v/>
      </c>
      <c r="B501" s="121">
        <f t="shared" si="405"/>
        <v>42329.499999999971</v>
      </c>
      <c r="C501" s="122">
        <f>DAY(B501)</f>
        <v>21</v>
      </c>
      <c r="D501" s="123">
        <v>1442.9629506577744</v>
      </c>
      <c r="E501" s="124">
        <v>42.860603332519531</v>
      </c>
      <c r="F501" s="125">
        <v>12.612057951344196</v>
      </c>
      <c r="G501" s="126">
        <v>2.1669321060180664</v>
      </c>
      <c r="H501" s="127">
        <f>HLOOKUP('Operational Worksheet'!E501,$B$773:$U$775,3)</f>
        <v>6.6499999999999995</v>
      </c>
      <c r="I501" s="127">
        <f t="shared" si="375"/>
        <v>1.1296201328363731</v>
      </c>
      <c r="J501" s="127">
        <f t="shared" si="376"/>
        <v>20.976934348472344</v>
      </c>
      <c r="K501" s="127">
        <f>I501*$G501</f>
        <v>2.44781013344753</v>
      </c>
      <c r="L501" s="127">
        <f>J501*$G501</f>
        <v>45.455592525537895</v>
      </c>
      <c r="M501" s="127">
        <f>K501+L501</f>
        <v>47.903402658985428</v>
      </c>
      <c r="N501" s="128">
        <f>IF(D501&gt;0,M501/H501,"PO")</f>
        <v>7.2035191968399142</v>
      </c>
      <c r="O501" s="129" t="str">
        <f t="shared" si="377"/>
        <v>OK</v>
      </c>
    </row>
    <row r="502" spans="1:15" ht="14.25" customHeight="1" x14ac:dyDescent="0.25">
      <c r="A502" s="120" t="str">
        <f>IF(N502=MIN(N489:N512),1,"")</f>
        <v/>
      </c>
      <c r="B502" s="121">
        <f t="shared" si="405"/>
        <v>42329.541666666635</v>
      </c>
      <c r="C502" s="122">
        <f t="shared" ref="C502:C506" si="412">DAY(B502)</f>
        <v>21</v>
      </c>
      <c r="D502" s="123">
        <v>1443.7668545658446</v>
      </c>
      <c r="E502" s="124">
        <v>42.860603332519531</v>
      </c>
      <c r="F502" s="125">
        <v>12.620167954437266</v>
      </c>
      <c r="G502" s="126">
        <v>2.3113999366760254</v>
      </c>
      <c r="H502" s="127">
        <f>HLOOKUP('Operational Worksheet'!E502,$B$773:$U$775,3)</f>
        <v>6.6499999999999995</v>
      </c>
      <c r="I502" s="127">
        <f t="shared" si="375"/>
        <v>1.1289911489830937</v>
      </c>
      <c r="J502" s="127">
        <f t="shared" si="376"/>
        <v>20.978735586610672</v>
      </c>
      <c r="K502" s="127">
        <f t="shared" ref="K502:L505" si="413">I502*$G502</f>
        <v>2.609550070267316</v>
      </c>
      <c r="L502" s="127">
        <f t="shared" si="413"/>
        <v>48.49024810643499</v>
      </c>
      <c r="M502" s="127">
        <f t="shared" ref="M502:M505" si="414">K502+L502</f>
        <v>51.099798176702308</v>
      </c>
      <c r="N502" s="128">
        <f t="shared" ref="N502:N506" si="415">IF(D502&gt;0,M502/H502,"PO")</f>
        <v>7.6841801769477165</v>
      </c>
      <c r="O502" s="129" t="str">
        <f t="shared" si="377"/>
        <v>OK</v>
      </c>
    </row>
    <row r="503" spans="1:15" ht="14.25" customHeight="1" x14ac:dyDescent="0.25">
      <c r="A503" s="120" t="str">
        <f>IF(N503=MIN(N489:N512),1,"")</f>
        <v/>
      </c>
      <c r="B503" s="121">
        <f t="shared" si="405"/>
        <v>42329.583333333299</v>
      </c>
      <c r="C503" s="122">
        <f t="shared" si="412"/>
        <v>21</v>
      </c>
      <c r="D503" s="123">
        <v>1444.5845824372777</v>
      </c>
      <c r="E503" s="124">
        <v>42.860603332519531</v>
      </c>
      <c r="F503" s="125">
        <v>12.599521929559526</v>
      </c>
      <c r="G503" s="126">
        <v>2.3113999366760254</v>
      </c>
      <c r="H503" s="127">
        <f>HLOOKUP('Operational Worksheet'!E503,$B$773:$U$775,3)</f>
        <v>6.6499999999999995</v>
      </c>
      <c r="I503" s="127">
        <f t="shared" si="375"/>
        <v>1.1283520673118999</v>
      </c>
      <c r="J503" s="127">
        <f t="shared" si="376"/>
        <v>20.932559435131445</v>
      </c>
      <c r="K503" s="127">
        <f t="shared" si="413"/>
        <v>2.6080728969329878</v>
      </c>
      <c r="L503" s="127">
        <f t="shared" si="413"/>
        <v>48.38351655282996</v>
      </c>
      <c r="M503" s="127">
        <f t="shared" si="414"/>
        <v>50.991589449762948</v>
      </c>
      <c r="N503" s="128">
        <f t="shared" si="415"/>
        <v>7.6679081879342785</v>
      </c>
      <c r="O503" s="129" t="str">
        <f t="shared" si="377"/>
        <v>OK</v>
      </c>
    </row>
    <row r="504" spans="1:15" ht="14.25" customHeight="1" x14ac:dyDescent="0.25">
      <c r="A504" s="120" t="str">
        <f>IF(N504=MIN(N489:N512),1,"")</f>
        <v/>
      </c>
      <c r="B504" s="121">
        <f t="shared" si="405"/>
        <v>42329.624999999964</v>
      </c>
      <c r="C504" s="122">
        <f t="shared" si="412"/>
        <v>21</v>
      </c>
      <c r="D504" s="123">
        <v>1441.3396012302981</v>
      </c>
      <c r="E504" s="124">
        <v>42.860603332519531</v>
      </c>
      <c r="F504" s="125">
        <v>12.624203371708397</v>
      </c>
      <c r="G504" s="126">
        <v>2.3113999366760254</v>
      </c>
      <c r="H504" s="127">
        <f>HLOOKUP('Operational Worksheet'!E504,$B$773:$U$775,3)</f>
        <v>6.6499999999999995</v>
      </c>
      <c r="I504" s="127">
        <f t="shared" si="375"/>
        <v>1.1308923994100109</v>
      </c>
      <c r="J504" s="127">
        <f t="shared" si="376"/>
        <v>21.020783766877926</v>
      </c>
      <c r="K504" s="127">
        <f t="shared" si="413"/>
        <v>2.6139446203836973</v>
      </c>
      <c r="L504" s="127">
        <f t="shared" si="413"/>
        <v>48.587438267642064</v>
      </c>
      <c r="M504" s="127">
        <f t="shared" si="414"/>
        <v>51.201382888025762</v>
      </c>
      <c r="N504" s="128">
        <f t="shared" si="415"/>
        <v>7.6994560733873332</v>
      </c>
      <c r="O504" s="129" t="str">
        <f t="shared" si="377"/>
        <v>OK</v>
      </c>
    </row>
    <row r="505" spans="1:15" ht="14.25" customHeight="1" x14ac:dyDescent="0.25">
      <c r="A505" s="120" t="str">
        <f>IF(N505=MIN(N489:N512),1,"")</f>
        <v/>
      </c>
      <c r="B505" s="121">
        <f t="shared" si="405"/>
        <v>42329.666666666628</v>
      </c>
      <c r="C505" s="122">
        <f t="shared" si="412"/>
        <v>21</v>
      </c>
      <c r="D505" s="123">
        <v>1447.7363999207682</v>
      </c>
      <c r="E505" s="124">
        <v>42.860603332519531</v>
      </c>
      <c r="F505" s="125">
        <v>12.612232022693375</v>
      </c>
      <c r="G505" s="126">
        <v>2.3113999366760254</v>
      </c>
      <c r="H505" s="127">
        <f>HLOOKUP('Operational Worksheet'!E505,$B$773:$U$775,3)</f>
        <v>6.6499999999999995</v>
      </c>
      <c r="I505" s="127">
        <f t="shared" si="375"/>
        <v>1.1258955705535945</v>
      </c>
      <c r="J505" s="127">
        <f t="shared" si="376"/>
        <v>20.908058163157801</v>
      </c>
      <c r="K505" s="127">
        <f t="shared" si="413"/>
        <v>2.6023949504813957</v>
      </c>
      <c r="L505" s="127">
        <f t="shared" si="413"/>
        <v>48.326884314341598</v>
      </c>
      <c r="M505" s="127">
        <f t="shared" si="414"/>
        <v>50.929279264822995</v>
      </c>
      <c r="N505" s="128">
        <f t="shared" si="415"/>
        <v>7.6585382353117293</v>
      </c>
      <c r="O505" s="129" t="str">
        <f t="shared" si="377"/>
        <v>OK</v>
      </c>
    </row>
    <row r="506" spans="1:15" ht="14.25" customHeight="1" x14ac:dyDescent="0.25">
      <c r="A506" s="120" t="str">
        <f>IF(N506=MIN(N489:N512),1,"")</f>
        <v/>
      </c>
      <c r="B506" s="121">
        <f t="shared" si="405"/>
        <v>42329.708333333292</v>
      </c>
      <c r="C506" s="122">
        <f t="shared" si="412"/>
        <v>21</v>
      </c>
      <c r="D506" s="123">
        <v>1451.4830669761998</v>
      </c>
      <c r="E506" s="124">
        <v>41.707142619536285</v>
      </c>
      <c r="F506" s="125">
        <v>12.615273569980255</v>
      </c>
      <c r="G506" s="126">
        <v>2.3113999366760254</v>
      </c>
      <c r="H506" s="127">
        <f>HLOOKUP('Operational Worksheet'!E506,$B$773:$U$775,3)</f>
        <v>7</v>
      </c>
      <c r="I506" s="128">
        <f t="shared" si="375"/>
        <v>1.122989332142672</v>
      </c>
      <c r="J506" s="127">
        <f t="shared" si="376"/>
        <v>20.85911799923813</v>
      </c>
      <c r="K506" s="127">
        <f>I506*$G506</f>
        <v>2.5956774712024244</v>
      </c>
      <c r="L506" s="127">
        <f>J506*$G506</f>
        <v>48.213764022556752</v>
      </c>
      <c r="M506" s="127">
        <f>K506+L506</f>
        <v>50.809441493759174</v>
      </c>
      <c r="N506" s="128">
        <f t="shared" si="415"/>
        <v>7.2584916419655965</v>
      </c>
      <c r="O506" s="129" t="str">
        <f t="shared" si="377"/>
        <v>OK</v>
      </c>
    </row>
    <row r="507" spans="1:15" ht="14.25" customHeight="1" x14ac:dyDescent="0.25">
      <c r="A507" s="120" t="str">
        <f>IF(N507=MIN(N489:N512),1,"")</f>
        <v/>
      </c>
      <c r="B507" s="121">
        <f>B506+1/24</f>
        <v>42329.749999999956</v>
      </c>
      <c r="C507" s="122">
        <f>DAY(B507)</f>
        <v>21</v>
      </c>
      <c r="D507" s="123">
        <v>1450.436707986594</v>
      </c>
      <c r="E507" s="124">
        <v>38.83270263671875</v>
      </c>
      <c r="F507" s="125">
        <v>12.610413209302168</v>
      </c>
      <c r="G507" s="126">
        <v>2.3113999366760254</v>
      </c>
      <c r="H507" s="127">
        <f>HLOOKUP('Operational Worksheet'!E507,$B$773:$U$775,3)</f>
        <v>8.5750000000000011</v>
      </c>
      <c r="I507" s="127">
        <f t="shared" si="375"/>
        <v>1.1237994674463696</v>
      </c>
      <c r="J507" s="127">
        <f t="shared" si="376"/>
        <v>20.866123654810959</v>
      </c>
      <c r="K507" s="127">
        <f>I507*$G507</f>
        <v>2.5975500178920896</v>
      </c>
      <c r="L507" s="127">
        <f>J507*$G507</f>
        <v>48.229956894404168</v>
      </c>
      <c r="M507" s="127">
        <f>K507+L507</f>
        <v>50.827506912296258</v>
      </c>
      <c r="N507" s="128">
        <f>IF(D507&gt;0,M507/H507,"PO")</f>
        <v>5.9274060539120992</v>
      </c>
      <c r="O507" s="129" t="str">
        <f t="shared" si="377"/>
        <v>OK</v>
      </c>
    </row>
    <row r="508" spans="1:15" ht="14.25" customHeight="1" x14ac:dyDescent="0.25">
      <c r="A508" s="120" t="str">
        <f>IF(N508=MIN(N489:N512),1,"")</f>
        <v/>
      </c>
      <c r="B508" s="121">
        <f t="shared" ref="B508:B512" si="416">B507+1/24</f>
        <v>42329.791666666621</v>
      </c>
      <c r="C508" s="122">
        <f t="shared" ref="C508:C512" si="417">DAY(B508)</f>
        <v>21</v>
      </c>
      <c r="D508" s="123">
        <v>1459.130971074183</v>
      </c>
      <c r="E508" s="124">
        <v>38.83270263671875</v>
      </c>
      <c r="F508" s="125">
        <v>12.600154965860733</v>
      </c>
      <c r="G508" s="126">
        <v>2.3113999366760254</v>
      </c>
      <c r="H508" s="127">
        <f>HLOOKUP('Operational Worksheet'!E508,$B$773:$U$775,3)</f>
        <v>8.5750000000000011</v>
      </c>
      <c r="I508" s="127">
        <f t="shared" si="375"/>
        <v>1.1171032842925859</v>
      </c>
      <c r="J508" s="127">
        <f t="shared" si="376"/>
        <v>20.724919501779475</v>
      </c>
      <c r="K508" s="127">
        <f t="shared" ref="K508:L511" si="418">I508*$G508</f>
        <v>2.5820724605744632</v>
      </c>
      <c r="L508" s="127">
        <f t="shared" si="418"/>
        <v>47.903577624028799</v>
      </c>
      <c r="M508" s="127">
        <f t="shared" ref="M508:M511" si="419">K508+L508</f>
        <v>50.485650084603265</v>
      </c>
      <c r="N508" s="128">
        <f t="shared" ref="N508:N512" si="420">IF(D508&gt;0,M508/H508,"PO")</f>
        <v>5.887539368466852</v>
      </c>
      <c r="O508" s="129" t="str">
        <f t="shared" si="377"/>
        <v>OK</v>
      </c>
    </row>
    <row r="509" spans="1:15" ht="14.25" customHeight="1" x14ac:dyDescent="0.25">
      <c r="A509" s="120" t="str">
        <f>IF(N509=MIN(N489:N512),1,"")</f>
        <v/>
      </c>
      <c r="B509" s="121">
        <f t="shared" si="416"/>
        <v>42329.833333333285</v>
      </c>
      <c r="C509" s="122">
        <f t="shared" si="417"/>
        <v>21</v>
      </c>
      <c r="D509" s="123">
        <v>1456.1595073896642</v>
      </c>
      <c r="E509" s="124">
        <v>38.83270263671875</v>
      </c>
      <c r="F509" s="125">
        <v>12.615623039011481</v>
      </c>
      <c r="G509" s="126">
        <v>2.3113999366760254</v>
      </c>
      <c r="H509" s="127">
        <f>HLOOKUP('Operational Worksheet'!E509,$B$773:$U$775,3)</f>
        <v>8.5750000000000011</v>
      </c>
      <c r="I509" s="127">
        <f t="shared" si="375"/>
        <v>1.1193828641217782</v>
      </c>
      <c r="J509" s="127">
        <f t="shared" si="376"/>
        <v>20.792705153505811</v>
      </c>
      <c r="K509" s="127">
        <f t="shared" si="418"/>
        <v>2.5873414812473063</v>
      </c>
      <c r="L509" s="127">
        <f t="shared" si="418"/>
        <v>48.060257375136594</v>
      </c>
      <c r="M509" s="127">
        <f t="shared" si="419"/>
        <v>50.647598856383901</v>
      </c>
      <c r="N509" s="128">
        <f t="shared" si="420"/>
        <v>5.906425522610367</v>
      </c>
      <c r="O509" s="129" t="str">
        <f t="shared" si="377"/>
        <v>OK</v>
      </c>
    </row>
    <row r="510" spans="1:15" ht="14.25" customHeight="1" x14ac:dyDescent="0.25">
      <c r="A510" s="120" t="str">
        <f>IF(N510=MIN(N489:N512),1,"")</f>
        <v/>
      </c>
      <c r="B510" s="121">
        <f t="shared" si="416"/>
        <v>42329.874999999949</v>
      </c>
      <c r="C510" s="122">
        <f t="shared" si="417"/>
        <v>21</v>
      </c>
      <c r="D510" s="123">
        <v>1449.3521343931748</v>
      </c>
      <c r="E510" s="124">
        <v>38.83270263671875</v>
      </c>
      <c r="F510" s="125">
        <v>12.608370708934192</v>
      </c>
      <c r="G510" s="126">
        <v>2.3590207099914551</v>
      </c>
      <c r="H510" s="127">
        <f>HLOOKUP('Operational Worksheet'!E510,$B$773:$U$775,3)</f>
        <v>8.5750000000000011</v>
      </c>
      <c r="I510" s="127">
        <f t="shared" si="375"/>
        <v>1.1246404247249826</v>
      </c>
      <c r="J510" s="127">
        <f t="shared" si="376"/>
        <v>20.878355910457586</v>
      </c>
      <c r="K510" s="127">
        <f t="shared" si="418"/>
        <v>2.65305005321982</v>
      </c>
      <c r="L510" s="127">
        <f t="shared" si="418"/>
        <v>49.252473983341943</v>
      </c>
      <c r="M510" s="127">
        <f t="shared" si="419"/>
        <v>51.905524036561765</v>
      </c>
      <c r="N510" s="128">
        <f t="shared" si="420"/>
        <v>6.053122336625278</v>
      </c>
      <c r="O510" s="129" t="str">
        <f t="shared" si="377"/>
        <v>OK</v>
      </c>
    </row>
    <row r="511" spans="1:15" ht="14.25" customHeight="1" x14ac:dyDescent="0.25">
      <c r="A511" s="120">
        <f>IF(N511=MIN(N489:N512),1,"")</f>
        <v>1</v>
      </c>
      <c r="B511" s="121">
        <f t="shared" si="416"/>
        <v>42329.916666666613</v>
      </c>
      <c r="C511" s="122">
        <f t="shared" si="417"/>
        <v>21</v>
      </c>
      <c r="D511" s="123">
        <v>1451.2066529401613</v>
      </c>
      <c r="E511" s="124">
        <v>37.258732882867456</v>
      </c>
      <c r="F511" s="125">
        <v>12.606701530974354</v>
      </c>
      <c r="G511" s="126">
        <v>2.3590207099914551</v>
      </c>
      <c r="H511" s="127">
        <f>HLOOKUP('Operational Worksheet'!E511,$B$773:$U$775,3)</f>
        <v>9.3624999999999989</v>
      </c>
      <c r="I511" s="127">
        <f t="shared" si="375"/>
        <v>1.1232032300138655</v>
      </c>
      <c r="J511" s="127">
        <f t="shared" si="376"/>
        <v>20.848914669071611</v>
      </c>
      <c r="K511" s="127">
        <f t="shared" si="418"/>
        <v>2.6496596811320043</v>
      </c>
      <c r="L511" s="127">
        <f t="shared" si="418"/>
        <v>49.183021485184575</v>
      </c>
      <c r="M511" s="127">
        <f t="shared" si="419"/>
        <v>51.832681166316583</v>
      </c>
      <c r="N511" s="128">
        <f t="shared" si="420"/>
        <v>5.5362009256412907</v>
      </c>
      <c r="O511" s="129" t="str">
        <f t="shared" si="377"/>
        <v>OK</v>
      </c>
    </row>
    <row r="512" spans="1:15" ht="14.25" customHeight="1" x14ac:dyDescent="0.25">
      <c r="A512" s="130" t="str">
        <f>IF(N512=MIN(N489:N512),1,"")</f>
        <v/>
      </c>
      <c r="B512" s="131">
        <f t="shared" si="416"/>
        <v>42329.958333333278</v>
      </c>
      <c r="C512" s="132">
        <f t="shared" si="417"/>
        <v>21</v>
      </c>
      <c r="D512" s="123">
        <v>1447.263086413325</v>
      </c>
      <c r="E512" s="124">
        <v>37.221542358398437</v>
      </c>
      <c r="F512" s="125">
        <v>12.616094923950806</v>
      </c>
      <c r="G512" s="126">
        <v>2.3590207099914551</v>
      </c>
      <c r="H512" s="133">
        <f>HLOOKUP('Operational Worksheet'!E512,$B$773:$U$775,3)</f>
        <v>9.3624999999999989</v>
      </c>
      <c r="I512" s="134">
        <f t="shared" si="375"/>
        <v>1.1262637838981593</v>
      </c>
      <c r="J512" s="133">
        <f t="shared" si="376"/>
        <v>20.921301801816728</v>
      </c>
      <c r="K512" s="133">
        <f>I512*$G512</f>
        <v>2.6568795911290986</v>
      </c>
      <c r="L512" s="133">
        <f>J512*$G512</f>
        <v>49.353784230467205</v>
      </c>
      <c r="M512" s="133">
        <f>K512+L512</f>
        <v>52.010663821596303</v>
      </c>
      <c r="N512" s="134">
        <f t="shared" si="420"/>
        <v>5.5552110890890587</v>
      </c>
      <c r="O512" s="135" t="str">
        <f t="shared" si="377"/>
        <v>OK</v>
      </c>
    </row>
    <row r="513" spans="1:15" ht="14.25" customHeight="1" x14ac:dyDescent="0.25">
      <c r="A513" s="110" t="str">
        <f>IF(N513=MIN(N513:N536),1,"")</f>
        <v/>
      </c>
      <c r="B513" s="111">
        <f>'[1]Turbidity Daily Data Sheet'!B37</f>
        <v>42330</v>
      </c>
      <c r="C513" s="112">
        <f>DAY(B513)</f>
        <v>22</v>
      </c>
      <c r="D513" s="123">
        <v>1438.8903839825816</v>
      </c>
      <c r="E513" s="124">
        <v>37.221542358398437</v>
      </c>
      <c r="F513" s="125">
        <v>12.615747879200859</v>
      </c>
      <c r="G513" s="126">
        <v>2.3590207099914551</v>
      </c>
      <c r="H513" s="117">
        <f>HLOOKUP('Operational Worksheet'!E513,$B$773:$U$775,3)</f>
        <v>9.3624999999999989</v>
      </c>
      <c r="I513" s="117">
        <f t="shared" si="375"/>
        <v>1.132817355751911</v>
      </c>
      <c r="J513" s="117">
        <f t="shared" si="376"/>
        <v>21.042461084685787</v>
      </c>
      <c r="K513" s="117">
        <f>I513*$G513</f>
        <v>2.6723396028565158</v>
      </c>
      <c r="L513" s="117">
        <f>J513*$G513</f>
        <v>49.639601487963027</v>
      </c>
      <c r="M513" s="117">
        <f>K513+L513</f>
        <v>52.311941090819545</v>
      </c>
      <c r="N513" s="118">
        <f>IF(D513&gt;0,M513/H513,"PO")</f>
        <v>5.5873902366696448</v>
      </c>
      <c r="O513" s="119" t="str">
        <f t="shared" si="377"/>
        <v>OK</v>
      </c>
    </row>
    <row r="514" spans="1:15" ht="14.25" customHeight="1" x14ac:dyDescent="0.25">
      <c r="A514" s="120" t="str">
        <f>IF(N514=MIN(N513:N536),1,"")</f>
        <v/>
      </c>
      <c r="B514" s="121">
        <f>B513+1/24</f>
        <v>42330.041666666664</v>
      </c>
      <c r="C514" s="122">
        <f>DAY(B514)</f>
        <v>22</v>
      </c>
      <c r="D514" s="123">
        <v>1442.3989497986211</v>
      </c>
      <c r="E514" s="124">
        <v>37.221542358398437</v>
      </c>
      <c r="F514" s="125">
        <v>12.615403774234728</v>
      </c>
      <c r="G514" s="126">
        <v>2.3590207099914551</v>
      </c>
      <c r="H514" s="127">
        <f>HLOOKUP('Operational Worksheet'!E514,$B$773:$U$775,3)</f>
        <v>9.3624999999999989</v>
      </c>
      <c r="I514" s="127">
        <f t="shared" si="375"/>
        <v>1.1300618322188676</v>
      </c>
      <c r="J514" s="127">
        <f t="shared" si="376"/>
        <v>20.990703759449101</v>
      </c>
      <c r="K514" s="127">
        <f t="shared" ref="K514:L517" si="421">I514*$G514</f>
        <v>2.6658392657751975</v>
      </c>
      <c r="L514" s="127">
        <f t="shared" si="421"/>
        <v>49.517504885835926</v>
      </c>
      <c r="M514" s="127">
        <f t="shared" ref="M514:M517" si="422">K514+L514</f>
        <v>52.183344151611124</v>
      </c>
      <c r="N514" s="128">
        <f t="shared" ref="N514:N518" si="423">IF(D514&gt;0,M514/H514,"PO")</f>
        <v>5.573654916059934</v>
      </c>
      <c r="O514" s="129" t="str">
        <f t="shared" si="377"/>
        <v>OK</v>
      </c>
    </row>
    <row r="515" spans="1:15" ht="14.25" customHeight="1" x14ac:dyDescent="0.25">
      <c r="A515" s="120" t="str">
        <f>IF(N515=MIN(N513:N536),1,"")</f>
        <v/>
      </c>
      <c r="B515" s="121">
        <f t="shared" ref="B515:B530" si="424">B514+1/24</f>
        <v>42330.083333333328</v>
      </c>
      <c r="C515" s="122">
        <f t="shared" ref="C515" si="425">DAY(B515)</f>
        <v>22</v>
      </c>
      <c r="D515" s="123">
        <v>1448.0169095160647</v>
      </c>
      <c r="E515" s="124">
        <v>37.221542358398437</v>
      </c>
      <c r="F515" s="125">
        <v>12.607416380893188</v>
      </c>
      <c r="G515" s="126">
        <v>2.3590207099914551</v>
      </c>
      <c r="H515" s="127">
        <f>HLOOKUP('Operational Worksheet'!E515,$B$773:$U$775,3)</f>
        <v>9.3624999999999989</v>
      </c>
      <c r="I515" s="127">
        <f t="shared" si="375"/>
        <v>1.1256774622505996</v>
      </c>
      <c r="J515" s="127">
        <f t="shared" si="376"/>
        <v>20.896026224069423</v>
      </c>
      <c r="K515" s="127">
        <f t="shared" si="421"/>
        <v>2.655496446219789</v>
      </c>
      <c r="L515" s="127">
        <f t="shared" si="421"/>
        <v>49.294158619104316</v>
      </c>
      <c r="M515" s="127">
        <f t="shared" si="422"/>
        <v>51.949655065324102</v>
      </c>
      <c r="N515" s="128">
        <f t="shared" si="423"/>
        <v>5.5486948000346175</v>
      </c>
      <c r="O515" s="129" t="str">
        <f t="shared" si="377"/>
        <v>OK</v>
      </c>
    </row>
    <row r="516" spans="1:15" ht="14.25" customHeight="1" x14ac:dyDescent="0.25">
      <c r="A516" s="120" t="str">
        <f>IF(N516=MIN(N513:N536),1,"")</f>
        <v/>
      </c>
      <c r="B516" s="121">
        <f t="shared" si="424"/>
        <v>42330.124999999993</v>
      </c>
      <c r="C516" s="122">
        <f>DAY(B516)</f>
        <v>22</v>
      </c>
      <c r="D516" s="123">
        <v>1444.3372980589716</v>
      </c>
      <c r="E516" s="124">
        <v>37.221542358398437</v>
      </c>
      <c r="F516" s="125">
        <v>12.599302278069134</v>
      </c>
      <c r="G516" s="126">
        <v>2.3590207099914551</v>
      </c>
      <c r="H516" s="127">
        <f>HLOOKUP('Operational Worksheet'!E516,$B$773:$U$775,3)</f>
        <v>9.3624999999999989</v>
      </c>
      <c r="I516" s="127">
        <f t="shared" si="375"/>
        <v>1.1285452519924108</v>
      </c>
      <c r="J516" s="127">
        <f t="shared" si="376"/>
        <v>20.93577830331105</v>
      </c>
      <c r="K516" s="127">
        <f t="shared" si="421"/>
        <v>2.6622616216126227</v>
      </c>
      <c r="L516" s="127">
        <f t="shared" si="421"/>
        <v>49.387934597300536</v>
      </c>
      <c r="M516" s="127">
        <f t="shared" si="422"/>
        <v>52.050196218913158</v>
      </c>
      <c r="N516" s="128">
        <f t="shared" si="423"/>
        <v>5.5594335080281079</v>
      </c>
      <c r="O516" s="129" t="str">
        <f t="shared" si="377"/>
        <v>OK</v>
      </c>
    </row>
    <row r="517" spans="1:15" ht="14.25" customHeight="1" x14ac:dyDescent="0.25">
      <c r="A517" s="120" t="str">
        <f>IF(N517=MIN(N513:N536),1,"")</f>
        <v/>
      </c>
      <c r="B517" s="121">
        <f t="shared" si="424"/>
        <v>42330.166666666657</v>
      </c>
      <c r="C517" s="122">
        <f t="shared" ref="C517:C518" si="426">DAY(B517)</f>
        <v>22</v>
      </c>
      <c r="D517" s="123">
        <v>1443.8291751354957</v>
      </c>
      <c r="E517" s="124">
        <v>39.890049621634901</v>
      </c>
      <c r="F517" s="125">
        <v>12.614589412434656</v>
      </c>
      <c r="G517" s="126">
        <v>2.3590207099914551</v>
      </c>
      <c r="H517" s="127">
        <f>HLOOKUP('Operational Worksheet'!E517,$B$773:$U$775,3)</f>
        <v>7.7875000000000005</v>
      </c>
      <c r="I517" s="127">
        <f t="shared" si="375"/>
        <v>1.1289424178916687</v>
      </c>
      <c r="J517" s="127">
        <f t="shared" si="376"/>
        <v>20.968557161204352</v>
      </c>
      <c r="K517" s="127">
        <f t="shared" si="421"/>
        <v>2.6631985441942745</v>
      </c>
      <c r="L517" s="127">
        <f t="shared" si="421"/>
        <v>49.465260601920697</v>
      </c>
      <c r="M517" s="127">
        <f t="shared" si="422"/>
        <v>52.12845914611497</v>
      </c>
      <c r="N517" s="128">
        <f t="shared" si="423"/>
        <v>6.6938631327274436</v>
      </c>
      <c r="O517" s="129" t="str">
        <f t="shared" si="377"/>
        <v>OK</v>
      </c>
    </row>
    <row r="518" spans="1:15" ht="14.25" customHeight="1" x14ac:dyDescent="0.25">
      <c r="A518" s="120" t="str">
        <f>IF(N518=MIN(N513:N536),1,"")</f>
        <v/>
      </c>
      <c r="B518" s="121">
        <f t="shared" si="424"/>
        <v>42330.208333333321</v>
      </c>
      <c r="C518" s="122">
        <f t="shared" si="426"/>
        <v>22</v>
      </c>
      <c r="D518" s="123">
        <v>1461.0334853356067</v>
      </c>
      <c r="E518" s="124">
        <v>40.299003601074219</v>
      </c>
      <c r="F518" s="125">
        <v>12.614583367906773</v>
      </c>
      <c r="G518" s="126">
        <v>2.3798882961273193</v>
      </c>
      <c r="H518" s="127">
        <f>HLOOKUP('Operational Worksheet'!E518,$B$773:$U$775,3)</f>
        <v>7.7875000000000005</v>
      </c>
      <c r="I518" s="128">
        <f t="shared" si="375"/>
        <v>1.1156486256888087</v>
      </c>
      <c r="J518" s="127">
        <f t="shared" si="376"/>
        <v>20.721633273190815</v>
      </c>
      <c r="K518" s="127">
        <f>I518*$G518</f>
        <v>2.6551191068673243</v>
      </c>
      <c r="L518" s="127">
        <f>J518*$G518</f>
        <v>49.315172503509253</v>
      </c>
      <c r="M518" s="127">
        <f>K518+L518</f>
        <v>51.970291610376577</v>
      </c>
      <c r="N518" s="128">
        <f t="shared" si="423"/>
        <v>6.6735526947514057</v>
      </c>
      <c r="O518" s="129" t="str">
        <f t="shared" si="377"/>
        <v>OK</v>
      </c>
    </row>
    <row r="519" spans="1:15" ht="14.25" customHeight="1" x14ac:dyDescent="0.25">
      <c r="A519" s="120" t="str">
        <f>IF(N519=MIN(N513:N536),1,"")</f>
        <v/>
      </c>
      <c r="B519" s="121">
        <f t="shared" si="424"/>
        <v>42330.249999999985</v>
      </c>
      <c r="C519" s="122">
        <f>DAY(B519)</f>
        <v>22</v>
      </c>
      <c r="D519" s="123">
        <v>1438.8745516354991</v>
      </c>
      <c r="E519" s="124">
        <v>40.299003601074219</v>
      </c>
      <c r="F519" s="125">
        <v>12.609312509494719</v>
      </c>
      <c r="G519" s="126">
        <v>2.3798882961273193</v>
      </c>
      <c r="H519" s="127">
        <f>HLOOKUP('Operational Worksheet'!E519,$B$773:$U$775,3)</f>
        <v>7.7875000000000005</v>
      </c>
      <c r="I519" s="127">
        <f t="shared" si="375"/>
        <v>1.1328298204643747</v>
      </c>
      <c r="J519" s="127">
        <f t="shared" si="376"/>
        <v>21.031958615425911</v>
      </c>
      <c r="K519" s="127">
        <f>I519*$G519</f>
        <v>2.6960084312271779</v>
      </c>
      <c r="L519" s="127">
        <f>J519*$G519</f>
        <v>50.053712153486266</v>
      </c>
      <c r="M519" s="127">
        <f>K519+L519</f>
        <v>52.749720584713444</v>
      </c>
      <c r="N519" s="128">
        <f>IF(D519&gt;0,M519/H519,"PO")</f>
        <v>6.773639882467215</v>
      </c>
      <c r="O519" s="129" t="str">
        <f t="shared" si="377"/>
        <v>OK</v>
      </c>
    </row>
    <row r="520" spans="1:15" ht="14.25" customHeight="1" x14ac:dyDescent="0.25">
      <c r="A520" s="120" t="str">
        <f>IF(N520=MIN(N513:N536),1,"")</f>
        <v/>
      </c>
      <c r="B520" s="121">
        <f t="shared" si="424"/>
        <v>42330.29166666665</v>
      </c>
      <c r="C520" s="122">
        <f t="shared" ref="C520:C524" si="427">DAY(B520)</f>
        <v>22</v>
      </c>
      <c r="D520" s="123">
        <v>1454.5985040063908</v>
      </c>
      <c r="E520" s="124">
        <v>40.299003601074219</v>
      </c>
      <c r="F520" s="125">
        <v>12.607020161608235</v>
      </c>
      <c r="G520" s="126">
        <v>2.3798882961273193</v>
      </c>
      <c r="H520" s="127">
        <f>HLOOKUP('Operational Worksheet'!E520,$B$773:$U$775,3)</f>
        <v>7.7875000000000005</v>
      </c>
      <c r="I520" s="127">
        <f t="shared" si="375"/>
        <v>1.120584130610957</v>
      </c>
      <c r="J520" s="127">
        <f t="shared" si="376"/>
        <v>20.800824629286726</v>
      </c>
      <c r="K520" s="127">
        <f t="shared" ref="K520:L523" si="428">I520*$G520</f>
        <v>2.6668650572670241</v>
      </c>
      <c r="L520" s="127">
        <f t="shared" si="428"/>
        <v>49.503639085036369</v>
      </c>
      <c r="M520" s="127">
        <f t="shared" ref="M520:M523" si="429">K520+L520</f>
        <v>52.170504142303393</v>
      </c>
      <c r="N520" s="128">
        <f t="shared" ref="N520:N524" si="430">IF(D520&gt;0,M520/H520,"PO")</f>
        <v>6.6992621691561336</v>
      </c>
      <c r="O520" s="129" t="str">
        <f t="shared" si="377"/>
        <v>OK</v>
      </c>
    </row>
    <row r="521" spans="1:15" ht="14.25" customHeight="1" x14ac:dyDescent="0.25">
      <c r="A521" s="120" t="str">
        <f>IF(N521=MIN(N513:N536),1,"")</f>
        <v/>
      </c>
      <c r="B521" s="121">
        <f t="shared" si="424"/>
        <v>42330.333333333314</v>
      </c>
      <c r="C521" s="122">
        <f t="shared" si="427"/>
        <v>22</v>
      </c>
      <c r="D521" s="123">
        <v>1382.5967117878179</v>
      </c>
      <c r="E521" s="124">
        <v>40.299003601074219</v>
      </c>
      <c r="F521" s="125">
        <v>12.614691369417349</v>
      </c>
      <c r="G521" s="126">
        <v>2.2973811626434326</v>
      </c>
      <c r="H521" s="127">
        <f>HLOOKUP('Operational Worksheet'!E521,$B$773:$U$775,3)</f>
        <v>7.7875000000000005</v>
      </c>
      <c r="I521" s="127">
        <f t="shared" ref="I521:I584" si="431">$G$768/D521*$H$768</f>
        <v>1.1789410361697361</v>
      </c>
      <c r="J521" s="127">
        <f t="shared" ref="J521:J584" si="432">$G$769*F521/D521*$H$769</f>
        <v>21.897389910216909</v>
      </c>
      <c r="K521" s="127">
        <f t="shared" si="428"/>
        <v>2.7084769283636816</v>
      </c>
      <c r="L521" s="127">
        <f t="shared" si="428"/>
        <v>50.306651090790695</v>
      </c>
      <c r="M521" s="127">
        <f t="shared" si="429"/>
        <v>53.015128019154375</v>
      </c>
      <c r="N521" s="128">
        <f t="shared" si="430"/>
        <v>6.8077210939524075</v>
      </c>
      <c r="O521" s="129" t="str">
        <f t="shared" ref="O521:O584" si="433">+IF(N521&gt;=1, "OK","Alarm")</f>
        <v>OK</v>
      </c>
    </row>
    <row r="522" spans="1:15" ht="14.25" customHeight="1" x14ac:dyDescent="0.25">
      <c r="A522" s="120" t="str">
        <f>IF(N522=MIN(N513:N536),1,"")</f>
        <v/>
      </c>
      <c r="B522" s="121">
        <f t="shared" si="424"/>
        <v>42330.374999999978</v>
      </c>
      <c r="C522" s="122">
        <f t="shared" si="427"/>
        <v>22</v>
      </c>
      <c r="D522" s="123">
        <v>1752.1655180495582</v>
      </c>
      <c r="E522" s="124">
        <v>40.299003601074219</v>
      </c>
      <c r="F522" s="125">
        <v>12.623727894736104</v>
      </c>
      <c r="G522" s="126">
        <v>2.2563953399658203</v>
      </c>
      <c r="H522" s="127">
        <f>HLOOKUP('Operational Worksheet'!E522,$B$773:$U$775,3)</f>
        <v>7.7875000000000005</v>
      </c>
      <c r="I522" s="127">
        <f t="shared" si="431"/>
        <v>0.93027740998718655</v>
      </c>
      <c r="J522" s="127">
        <f t="shared" si="432"/>
        <v>17.291144378353035</v>
      </c>
      <c r="K522" s="127">
        <f t="shared" si="428"/>
        <v>2.0990736127705607</v>
      </c>
      <c r="L522" s="127">
        <f t="shared" si="428"/>
        <v>39.015657597991982</v>
      </c>
      <c r="M522" s="127">
        <f t="shared" si="429"/>
        <v>41.114731210762542</v>
      </c>
      <c r="N522" s="128">
        <f t="shared" si="430"/>
        <v>5.2795802517833117</v>
      </c>
      <c r="O522" s="129" t="str">
        <f t="shared" si="433"/>
        <v>OK</v>
      </c>
    </row>
    <row r="523" spans="1:15" ht="14.25" customHeight="1" x14ac:dyDescent="0.25">
      <c r="A523" s="120">
        <f>IF(N523=MIN(N513:N536),1,"")</f>
        <v>1</v>
      </c>
      <c r="B523" s="121">
        <f t="shared" si="424"/>
        <v>42330.416666666642</v>
      </c>
      <c r="C523" s="122">
        <f t="shared" si="427"/>
        <v>22</v>
      </c>
      <c r="D523" s="123">
        <v>1811.3715505986852</v>
      </c>
      <c r="E523" s="124">
        <v>40.299003601074219</v>
      </c>
      <c r="F523" s="125">
        <v>12.606479228489878</v>
      </c>
      <c r="G523" s="126">
        <v>2.2563953399658203</v>
      </c>
      <c r="H523" s="127">
        <f>HLOOKUP('Operational Worksheet'!E523,$B$773:$U$775,3)</f>
        <v>7.7875000000000005</v>
      </c>
      <c r="I523" s="127">
        <f t="shared" si="431"/>
        <v>0.89987059775851108</v>
      </c>
      <c r="J523" s="127">
        <f t="shared" si="432"/>
        <v>16.703116562902732</v>
      </c>
      <c r="K523" s="127">
        <f t="shared" si="428"/>
        <v>2.0304638233545615</v>
      </c>
      <c r="L523" s="127">
        <f t="shared" si="428"/>
        <v>37.688834375439633</v>
      </c>
      <c r="M523" s="127">
        <f t="shared" si="429"/>
        <v>39.719298198794192</v>
      </c>
      <c r="N523" s="128">
        <f t="shared" si="430"/>
        <v>5.1003914219960436</v>
      </c>
      <c r="O523" s="129" t="str">
        <f t="shared" si="433"/>
        <v>OK</v>
      </c>
    </row>
    <row r="524" spans="1:15" ht="14.25" customHeight="1" x14ac:dyDescent="0.25">
      <c r="A524" s="120" t="str">
        <f>IF(N524=MIN(N513:N536),1,"")</f>
        <v/>
      </c>
      <c r="B524" s="121">
        <f t="shared" si="424"/>
        <v>42330.458333333307</v>
      </c>
      <c r="C524" s="122">
        <f t="shared" si="427"/>
        <v>22</v>
      </c>
      <c r="D524" s="123">
        <v>1809.2291260506772</v>
      </c>
      <c r="E524" s="124">
        <v>40.299003601074219</v>
      </c>
      <c r="F524" s="125">
        <v>12.623284998187666</v>
      </c>
      <c r="G524" s="126">
        <v>2.2563953399658203</v>
      </c>
      <c r="H524" s="127">
        <f>HLOOKUP('Operational Worksheet'!E524,$B$773:$U$775,3)</f>
        <v>7.7875000000000005</v>
      </c>
      <c r="I524" s="128">
        <f t="shared" si="431"/>
        <v>0.9009361923981889</v>
      </c>
      <c r="J524" s="127">
        <f t="shared" si="432"/>
        <v>16.745189185508281</v>
      </c>
      <c r="K524" s="127">
        <f>I524*$G524</f>
        <v>2.0328682261338233</v>
      </c>
      <c r="L524" s="127">
        <f>J524*$G524</f>
        <v>37.783766845026932</v>
      </c>
      <c r="M524" s="127">
        <f>K524+L524</f>
        <v>39.816635071160754</v>
      </c>
      <c r="N524" s="128">
        <f t="shared" si="430"/>
        <v>5.1128905388328416</v>
      </c>
      <c r="O524" s="129" t="str">
        <f t="shared" si="433"/>
        <v>OK</v>
      </c>
    </row>
    <row r="525" spans="1:15" ht="14.25" customHeight="1" x14ac:dyDescent="0.25">
      <c r="A525" s="120" t="str">
        <f>IF(N525=MIN(N513:N536),1,"")</f>
        <v/>
      </c>
      <c r="B525" s="121">
        <f t="shared" si="424"/>
        <v>42330.499999999971</v>
      </c>
      <c r="C525" s="122">
        <f>DAY(B525)</f>
        <v>22</v>
      </c>
      <c r="D525" s="123">
        <v>1556.7781946948885</v>
      </c>
      <c r="E525" s="124">
        <v>39.259204556778279</v>
      </c>
      <c r="F525" s="125">
        <v>12.60376866146817</v>
      </c>
      <c r="G525" s="126">
        <v>2.2563953399658203</v>
      </c>
      <c r="H525" s="127">
        <f>HLOOKUP('Operational Worksheet'!E525,$B$773:$U$775,3)</f>
        <v>7.7875000000000005</v>
      </c>
      <c r="I525" s="127">
        <f t="shared" si="431"/>
        <v>1.0470341925102966</v>
      </c>
      <c r="J525" s="127">
        <f t="shared" si="432"/>
        <v>19.430542443750046</v>
      </c>
      <c r="K525" s="127">
        <f>I525*$G525</f>
        <v>2.362523072765109</v>
      </c>
      <c r="L525" s="127">
        <f>J525*$G525</f>
        <v>43.842985423085686</v>
      </c>
      <c r="M525" s="127">
        <f>K525+L525</f>
        <v>46.205508495850793</v>
      </c>
      <c r="N525" s="128">
        <f>IF(D525&gt;0,M525/H525,"PO")</f>
        <v>5.9332916206549973</v>
      </c>
      <c r="O525" s="129" t="str">
        <f t="shared" si="433"/>
        <v>OK</v>
      </c>
    </row>
    <row r="526" spans="1:15" ht="14.25" customHeight="1" x14ac:dyDescent="0.25">
      <c r="A526" s="120" t="str">
        <f>IF(N526=MIN(N513:N536),1,"")</f>
        <v/>
      </c>
      <c r="B526" s="121">
        <f t="shared" si="424"/>
        <v>42330.541666666635</v>
      </c>
      <c r="C526" s="122">
        <f t="shared" ref="C526:C530" si="434">DAY(B526)</f>
        <v>22</v>
      </c>
      <c r="D526" s="123">
        <v>1438.3798391310272</v>
      </c>
      <c r="E526" s="124">
        <v>39.175430297851562</v>
      </c>
      <c r="F526" s="125">
        <v>12.601375842217468</v>
      </c>
      <c r="G526" s="126">
        <v>2.3938000202178955</v>
      </c>
      <c r="H526" s="127">
        <f>HLOOKUP('Operational Worksheet'!E526,$B$773:$U$775,3)</f>
        <v>8.5750000000000011</v>
      </c>
      <c r="I526" s="127">
        <f t="shared" si="431"/>
        <v>1.1332194429148401</v>
      </c>
      <c r="J526" s="127">
        <f t="shared" si="432"/>
        <v>21.025949612581403</v>
      </c>
      <c r="K526" s="127">
        <f t="shared" ref="K526:L529" si="435">I526*$G526</f>
        <v>2.7127007253608566</v>
      </c>
      <c r="L526" s="127">
        <f t="shared" si="435"/>
        <v>50.331918607697816</v>
      </c>
      <c r="M526" s="127">
        <f t="shared" ref="M526:M529" si="436">K526+L526</f>
        <v>53.044619333058669</v>
      </c>
      <c r="N526" s="128">
        <f t="shared" ref="N526:N530" si="437">IF(D526&gt;0,M526/H526,"PO")</f>
        <v>6.1859614382575696</v>
      </c>
      <c r="O526" s="129" t="str">
        <f t="shared" si="433"/>
        <v>OK</v>
      </c>
    </row>
    <row r="527" spans="1:15" ht="14.25" customHeight="1" x14ac:dyDescent="0.25">
      <c r="A527" s="120" t="str">
        <f>IF(N527=MIN(N513:N536),1,"")</f>
        <v/>
      </c>
      <c r="B527" s="121">
        <f t="shared" si="424"/>
        <v>42330.583333333299</v>
      </c>
      <c r="C527" s="122">
        <f t="shared" si="434"/>
        <v>22</v>
      </c>
      <c r="D527" s="123">
        <v>1425.1518050767781</v>
      </c>
      <c r="E527" s="124">
        <v>39.175430297851562</v>
      </c>
      <c r="F527" s="125">
        <v>12.603334224015427</v>
      </c>
      <c r="G527" s="126">
        <v>2.3938000202178955</v>
      </c>
      <c r="H527" s="127">
        <f>HLOOKUP('Operational Worksheet'!E527,$B$773:$U$775,3)</f>
        <v>8.5750000000000011</v>
      </c>
      <c r="I527" s="127">
        <f t="shared" si="431"/>
        <v>1.1437378068732726</v>
      </c>
      <c r="J527" s="127">
        <f t="shared" si="432"/>
        <v>21.224407133250939</v>
      </c>
      <c r="K527" s="127">
        <f t="shared" si="435"/>
        <v>2.7378795852172115</v>
      </c>
      <c r="L527" s="127">
        <f t="shared" si="435"/>
        <v>50.806986224688941</v>
      </c>
      <c r="M527" s="127">
        <f t="shared" si="436"/>
        <v>53.544865809906156</v>
      </c>
      <c r="N527" s="128">
        <f t="shared" si="437"/>
        <v>6.2442992198141285</v>
      </c>
      <c r="O527" s="129" t="str">
        <f t="shared" si="433"/>
        <v>OK</v>
      </c>
    </row>
    <row r="528" spans="1:15" ht="14.25" customHeight="1" x14ac:dyDescent="0.25">
      <c r="A528" s="120" t="str">
        <f>IF(N528=MIN(N513:N536),1,"")</f>
        <v/>
      </c>
      <c r="B528" s="121">
        <f t="shared" si="424"/>
        <v>42330.624999999964</v>
      </c>
      <c r="C528" s="122">
        <f t="shared" si="434"/>
        <v>22</v>
      </c>
      <c r="D528" s="123">
        <v>1439.2044744336567</v>
      </c>
      <c r="E528" s="124">
        <v>39.175430297851562</v>
      </c>
      <c r="F528" s="125">
        <v>12.604064082764394</v>
      </c>
      <c r="G528" s="126">
        <v>2.3938000202178955</v>
      </c>
      <c r="H528" s="127">
        <f>HLOOKUP('Operational Worksheet'!E528,$B$773:$U$775,3)</f>
        <v>8.5750000000000011</v>
      </c>
      <c r="I528" s="127">
        <f t="shared" si="431"/>
        <v>1.1325701308991716</v>
      </c>
      <c r="J528" s="127">
        <f t="shared" si="432"/>
        <v>21.018385042568855</v>
      </c>
      <c r="K528" s="127">
        <f t="shared" si="435"/>
        <v>2.7111464022446214</v>
      </c>
      <c r="L528" s="127">
        <f t="shared" si="435"/>
        <v>50.313810539848838</v>
      </c>
      <c r="M528" s="127">
        <f t="shared" si="436"/>
        <v>53.024956942093461</v>
      </c>
      <c r="N528" s="128">
        <f t="shared" si="437"/>
        <v>6.1836684480575457</v>
      </c>
      <c r="O528" s="129" t="str">
        <f t="shared" si="433"/>
        <v>OK</v>
      </c>
    </row>
    <row r="529" spans="1:15" ht="14.25" customHeight="1" x14ac:dyDescent="0.25">
      <c r="A529" s="120" t="str">
        <f>IF(N529=MIN(N513:N536),1,"")</f>
        <v/>
      </c>
      <c r="B529" s="121">
        <f t="shared" si="424"/>
        <v>42330.666666666628</v>
      </c>
      <c r="C529" s="122">
        <f t="shared" si="434"/>
        <v>22</v>
      </c>
      <c r="D529" s="123">
        <v>1445.8141112957994</v>
      </c>
      <c r="E529" s="124">
        <v>39.126130919128286</v>
      </c>
      <c r="F529" s="125">
        <v>12.59691544776331</v>
      </c>
      <c r="G529" s="126">
        <v>2.3938000202178955</v>
      </c>
      <c r="H529" s="127">
        <f>HLOOKUP('Operational Worksheet'!E529,$B$773:$U$775,3)</f>
        <v>8.5750000000000011</v>
      </c>
      <c r="I529" s="127">
        <f t="shared" si="431"/>
        <v>1.1273925100503588</v>
      </c>
      <c r="J529" s="127">
        <f t="shared" si="432"/>
        <v>20.910431595895975</v>
      </c>
      <c r="K529" s="127">
        <f t="shared" si="435"/>
        <v>2.6987522133520527</v>
      </c>
      <c r="L529" s="127">
        <f t="shared" si="435"/>
        <v>50.055391577020707</v>
      </c>
      <c r="M529" s="127">
        <f t="shared" si="436"/>
        <v>52.754143790372758</v>
      </c>
      <c r="N529" s="128">
        <f t="shared" si="437"/>
        <v>6.15208673940207</v>
      </c>
      <c r="O529" s="129" t="str">
        <f t="shared" si="433"/>
        <v>OK</v>
      </c>
    </row>
    <row r="530" spans="1:15" ht="14.25" customHeight="1" x14ac:dyDescent="0.25">
      <c r="A530" s="120" t="str">
        <f>IF(N530=MIN(N513:N536),1,"")</f>
        <v/>
      </c>
      <c r="B530" s="121">
        <f t="shared" si="424"/>
        <v>42330.708333333292</v>
      </c>
      <c r="C530" s="122">
        <f t="shared" si="434"/>
        <v>22</v>
      </c>
      <c r="D530" s="123">
        <v>1445.6760733531439</v>
      </c>
      <c r="E530" s="124">
        <v>38.585376739501953</v>
      </c>
      <c r="F530" s="125">
        <v>12.601453412495728</v>
      </c>
      <c r="G530" s="126">
        <v>2.3938000202178955</v>
      </c>
      <c r="H530" s="127">
        <f>HLOOKUP('Operational Worksheet'!E530,$B$773:$U$775,3)</f>
        <v>8.5750000000000011</v>
      </c>
      <c r="I530" s="128">
        <f t="shared" si="431"/>
        <v>1.1275001572235541</v>
      </c>
      <c r="J530" s="127">
        <f t="shared" si="432"/>
        <v>20.91996177251665</v>
      </c>
      <c r="K530" s="127">
        <f>I530*$G530</f>
        <v>2.6990098991574243</v>
      </c>
      <c r="L530" s="127">
        <f>J530*$G530</f>
        <v>50.078204914007962</v>
      </c>
      <c r="M530" s="127">
        <f>K530+L530</f>
        <v>52.777214813165386</v>
      </c>
      <c r="N530" s="128">
        <f t="shared" si="437"/>
        <v>6.1547772376869245</v>
      </c>
      <c r="O530" s="129" t="str">
        <f t="shared" si="433"/>
        <v>OK</v>
      </c>
    </row>
    <row r="531" spans="1:15" ht="14.25" customHeight="1" x14ac:dyDescent="0.25">
      <c r="A531" s="120" t="str">
        <f>IF(N531=MIN(N513:N536),1,"")</f>
        <v/>
      </c>
      <c r="B531" s="121">
        <f>B530+1/24</f>
        <v>42330.749999999956</v>
      </c>
      <c r="C531" s="122">
        <f>DAY(B531)</f>
        <v>22</v>
      </c>
      <c r="D531" s="123">
        <v>1443.554606513665</v>
      </c>
      <c r="E531" s="124">
        <v>38.585376739501953</v>
      </c>
      <c r="F531" s="125">
        <v>12.601472164919571</v>
      </c>
      <c r="G531" s="126">
        <v>2.3938000202178955</v>
      </c>
      <c r="H531" s="127">
        <f>HLOOKUP('Operational Worksheet'!E531,$B$773:$U$775,3)</f>
        <v>8.5750000000000011</v>
      </c>
      <c r="I531" s="127">
        <f t="shared" si="431"/>
        <v>1.1291571462867069</v>
      </c>
      <c r="J531" s="127">
        <f t="shared" si="432"/>
        <v>20.950737200616373</v>
      </c>
      <c r="K531" s="127">
        <f>I531*$G531</f>
        <v>2.7029763996103005</v>
      </c>
      <c r="L531" s="127">
        <f>J531*$G531</f>
        <v>50.151875134415292</v>
      </c>
      <c r="M531" s="127">
        <f>K531+L531</f>
        <v>52.854851534025592</v>
      </c>
      <c r="N531" s="128">
        <f>IF(D531&gt;0,M531/H531,"PO")</f>
        <v>6.1638310826851992</v>
      </c>
      <c r="O531" s="129" t="str">
        <f t="shared" si="433"/>
        <v>OK</v>
      </c>
    </row>
    <row r="532" spans="1:15" ht="14.25" customHeight="1" x14ac:dyDescent="0.25">
      <c r="A532" s="120" t="str">
        <f>IF(N532=MIN(N513:N536),1,"")</f>
        <v/>
      </c>
      <c r="B532" s="121">
        <f t="shared" ref="B532:B536" si="438">B531+1/24</f>
        <v>42330.791666666621</v>
      </c>
      <c r="C532" s="122">
        <f t="shared" ref="C532:C536" si="439">DAY(B532)</f>
        <v>22</v>
      </c>
      <c r="D532" s="123">
        <v>1442.1840024582023</v>
      </c>
      <c r="E532" s="124">
        <v>38.511035873328076</v>
      </c>
      <c r="F532" s="125">
        <v>12.604781997360458</v>
      </c>
      <c r="G532" s="126">
        <v>2.3938000202178955</v>
      </c>
      <c r="H532" s="127">
        <f>HLOOKUP('Operational Worksheet'!E532,$B$773:$U$775,3)</f>
        <v>8.5750000000000011</v>
      </c>
      <c r="I532" s="127">
        <f t="shared" si="431"/>
        <v>1.130230259954115</v>
      </c>
      <c r="J532" s="127">
        <f t="shared" si="432"/>
        <v>20.976156123006124</v>
      </c>
      <c r="K532" s="127">
        <f t="shared" ref="K532:L535" si="440">I532*$G532</f>
        <v>2.7055452191290379</v>
      </c>
      <c r="L532" s="127">
        <f t="shared" si="440"/>
        <v>50.212722951345789</v>
      </c>
      <c r="M532" s="127">
        <f t="shared" ref="M532:M535" si="441">K532+L532</f>
        <v>52.918268170474825</v>
      </c>
      <c r="N532" s="128">
        <f t="shared" ref="N532:N536" si="442">IF(D532&gt;0,M532/H532,"PO")</f>
        <v>6.171226608801728</v>
      </c>
      <c r="O532" s="129" t="str">
        <f t="shared" si="433"/>
        <v>OK</v>
      </c>
    </row>
    <row r="533" spans="1:15" ht="14.25" customHeight="1" x14ac:dyDescent="0.25">
      <c r="A533" s="120" t="str">
        <f>IF(N533=MIN(N513:N536),1,"")</f>
        <v/>
      </c>
      <c r="B533" s="121">
        <f t="shared" si="438"/>
        <v>42330.833333333285</v>
      </c>
      <c r="C533" s="122">
        <f t="shared" si="439"/>
        <v>22</v>
      </c>
      <c r="D533" s="123">
        <v>1446.7429805077766</v>
      </c>
      <c r="E533" s="124">
        <v>38.327449798583984</v>
      </c>
      <c r="F533" s="125">
        <v>12.611296418215247</v>
      </c>
      <c r="G533" s="126">
        <v>2.3938000202178955</v>
      </c>
      <c r="H533" s="127">
        <f>HLOOKUP('Operational Worksheet'!E533,$B$773:$U$775,3)</f>
        <v>8.5750000000000011</v>
      </c>
      <c r="I533" s="127">
        <f t="shared" si="431"/>
        <v>1.1266686771328962</v>
      </c>
      <c r="J533" s="127">
        <f t="shared" si="432"/>
        <v>20.920862801140714</v>
      </c>
      <c r="K533" s="127">
        <f t="shared" si="440"/>
        <v>2.6970195020995966</v>
      </c>
      <c r="L533" s="127">
        <f t="shared" si="440"/>
        <v>50.080361796346459</v>
      </c>
      <c r="M533" s="127">
        <f t="shared" si="441"/>
        <v>52.777381298446059</v>
      </c>
      <c r="N533" s="128">
        <f t="shared" si="442"/>
        <v>6.1547966528800062</v>
      </c>
      <c r="O533" s="129" t="str">
        <f t="shared" si="433"/>
        <v>OK</v>
      </c>
    </row>
    <row r="534" spans="1:15" ht="14.25" customHeight="1" x14ac:dyDescent="0.25">
      <c r="A534" s="120" t="str">
        <f>IF(N534=MIN(N513:N536),1,"")</f>
        <v/>
      </c>
      <c r="B534" s="121">
        <f t="shared" si="438"/>
        <v>42330.874999999949</v>
      </c>
      <c r="C534" s="122">
        <f t="shared" si="439"/>
        <v>22</v>
      </c>
      <c r="D534" s="123">
        <v>1448.9449914151842</v>
      </c>
      <c r="E534" s="124">
        <v>38.327449798583984</v>
      </c>
      <c r="F534" s="125">
        <v>12.60413854010315</v>
      </c>
      <c r="G534" s="126">
        <v>2.4069628715515137</v>
      </c>
      <c r="H534" s="127">
        <f>HLOOKUP('Operational Worksheet'!E534,$B$773:$U$775,3)</f>
        <v>8.5750000000000011</v>
      </c>
      <c r="I534" s="127">
        <f t="shared" si="431"/>
        <v>1.1249564404843138</v>
      </c>
      <c r="J534" s="127">
        <f t="shared" si="432"/>
        <v>20.877212506668361</v>
      </c>
      <c r="K534" s="127">
        <f t="shared" si="440"/>
        <v>2.7077283843584934</v>
      </c>
      <c r="L534" s="127">
        <f t="shared" si="440"/>
        <v>50.250675365041651</v>
      </c>
      <c r="M534" s="127">
        <f t="shared" si="441"/>
        <v>52.958403749400148</v>
      </c>
      <c r="N534" s="128">
        <f t="shared" si="442"/>
        <v>6.1759071427871888</v>
      </c>
      <c r="O534" s="129" t="str">
        <f t="shared" si="433"/>
        <v>OK</v>
      </c>
    </row>
    <row r="535" spans="1:15" ht="14.25" customHeight="1" x14ac:dyDescent="0.25">
      <c r="A535" s="120" t="str">
        <f>IF(N535=MIN(N513:N536),1,"")</f>
        <v/>
      </c>
      <c r="B535" s="121">
        <f t="shared" si="438"/>
        <v>42330.916666666613</v>
      </c>
      <c r="C535" s="122">
        <f t="shared" si="439"/>
        <v>22</v>
      </c>
      <c r="D535" s="123">
        <v>1438.973161592857</v>
      </c>
      <c r="E535" s="124">
        <v>38.327449798583984</v>
      </c>
      <c r="F535" s="125">
        <v>12.60805020007006</v>
      </c>
      <c r="G535" s="126">
        <v>2.4069628715515137</v>
      </c>
      <c r="H535" s="127">
        <f>HLOOKUP('Operational Worksheet'!E535,$B$773:$U$775,3)</f>
        <v>8.5750000000000011</v>
      </c>
      <c r="I535" s="127">
        <f t="shared" si="431"/>
        <v>1.1327521898988635</v>
      </c>
      <c r="J535" s="127">
        <f t="shared" si="432"/>
        <v>21.02841198697055</v>
      </c>
      <c r="K535" s="127">
        <f t="shared" si="440"/>
        <v>2.7264924637552341</v>
      </c>
      <c r="L535" s="127">
        <f t="shared" si="440"/>
        <v>50.614606900326905</v>
      </c>
      <c r="M535" s="127">
        <f t="shared" si="441"/>
        <v>53.34109936408214</v>
      </c>
      <c r="N535" s="128">
        <f t="shared" si="442"/>
        <v>6.22053636898917</v>
      </c>
      <c r="O535" s="129" t="str">
        <f t="shared" si="433"/>
        <v>OK</v>
      </c>
    </row>
    <row r="536" spans="1:15" ht="14.25" customHeight="1" x14ac:dyDescent="0.25">
      <c r="A536" s="130" t="str">
        <f>IF(N536=MIN(N513:N536),1,"")</f>
        <v/>
      </c>
      <c r="B536" s="131">
        <f t="shared" si="438"/>
        <v>42330.958333333278</v>
      </c>
      <c r="C536" s="132">
        <f t="shared" si="439"/>
        <v>22</v>
      </c>
      <c r="D536" s="123">
        <v>1444.1373655379346</v>
      </c>
      <c r="E536" s="124">
        <v>37.615484740560113</v>
      </c>
      <c r="F536" s="125">
        <v>12.602735693394692</v>
      </c>
      <c r="G536" s="126">
        <v>2.4069628715515137</v>
      </c>
      <c r="H536" s="133">
        <f>HLOOKUP('Operational Worksheet'!E536,$B$773:$U$775,3)</f>
        <v>8.5750000000000011</v>
      </c>
      <c r="I536" s="134">
        <f t="shared" si="431"/>
        <v>1.1287014925985468</v>
      </c>
      <c r="J536" s="133">
        <f t="shared" si="432"/>
        <v>20.944382706198141</v>
      </c>
      <c r="K536" s="133">
        <f>I536*$G536</f>
        <v>2.7167425857494778</v>
      </c>
      <c r="L536" s="133">
        <f>J536*$G536</f>
        <v>50.412351541384538</v>
      </c>
      <c r="M536" s="133">
        <f>K536+L536</f>
        <v>53.129094127134017</v>
      </c>
      <c r="N536" s="134">
        <f t="shared" si="442"/>
        <v>6.1958127261963858</v>
      </c>
      <c r="O536" s="135" t="str">
        <f t="shared" si="433"/>
        <v>OK</v>
      </c>
    </row>
    <row r="537" spans="1:15" ht="14.25" customHeight="1" x14ac:dyDescent="0.25">
      <c r="A537" s="110" t="str">
        <f>IF(N537=MIN(N537:N560),1,"")</f>
        <v/>
      </c>
      <c r="B537" s="111">
        <f>'[1]Turbidity Daily Data Sheet'!B38</f>
        <v>42331</v>
      </c>
      <c r="C537" s="112">
        <f>DAY(B537)</f>
        <v>23</v>
      </c>
      <c r="D537" s="123">
        <v>1443.3024828294542</v>
      </c>
      <c r="E537" s="124">
        <v>37.592533111572266</v>
      </c>
      <c r="F537" s="125">
        <v>12.599324998351291</v>
      </c>
      <c r="G537" s="126">
        <v>2.4069628715515137</v>
      </c>
      <c r="H537" s="117">
        <f>HLOOKUP('Operational Worksheet'!E537,$B$773:$U$775,3)</f>
        <v>8.5750000000000011</v>
      </c>
      <c r="I537" s="117">
        <f t="shared" si="431"/>
        <v>1.1293543934079178</v>
      </c>
      <c r="J537" s="117">
        <f t="shared" si="432"/>
        <v>20.950826563232742</v>
      </c>
      <c r="K537" s="117">
        <f>I537*$G537</f>
        <v>2.7183140937564394</v>
      </c>
      <c r="L537" s="117">
        <f>J537*$G537</f>
        <v>50.427861666016412</v>
      </c>
      <c r="M537" s="117">
        <f>K537+L537</f>
        <v>53.146175759772852</v>
      </c>
      <c r="N537" s="118">
        <f>IF(D537&gt;0,M537/H537,"PO")</f>
        <v>6.1978047533262792</v>
      </c>
      <c r="O537" s="119" t="str">
        <f t="shared" si="433"/>
        <v>OK</v>
      </c>
    </row>
    <row r="538" spans="1:15" ht="14.25" customHeight="1" x14ac:dyDescent="0.25">
      <c r="A538" s="120" t="str">
        <f>IF(N538=MIN(N537:N560),1,"")</f>
        <v/>
      </c>
      <c r="B538" s="121">
        <f>B537+1/24</f>
        <v>42331.041666666664</v>
      </c>
      <c r="C538" s="122">
        <f>DAY(B538)</f>
        <v>23</v>
      </c>
      <c r="D538" s="123">
        <v>1440.7745577521528</v>
      </c>
      <c r="E538" s="124">
        <v>37.592533111572266</v>
      </c>
      <c r="F538" s="125">
        <v>12.611301533665996</v>
      </c>
      <c r="G538" s="126">
        <v>2.4069628715515137</v>
      </c>
      <c r="H538" s="127">
        <f>HLOOKUP('Operational Worksheet'!E538,$B$773:$U$775,3)</f>
        <v>8.5750000000000011</v>
      </c>
      <c r="I538" s="127">
        <f t="shared" si="431"/>
        <v>1.131335913193158</v>
      </c>
      <c r="J538" s="127">
        <f t="shared" si="432"/>
        <v>21.007536201930243</v>
      </c>
      <c r="K538" s="127">
        <f t="shared" ref="K538:L541" si="443">I538*$G538</f>
        <v>2.7230835383087575</v>
      </c>
      <c r="L538" s="127">
        <f t="shared" si="443"/>
        <v>50.564359660820401</v>
      </c>
      <c r="M538" s="127">
        <f t="shared" ref="M538:M541" si="444">K538+L538</f>
        <v>53.287443199129157</v>
      </c>
      <c r="N538" s="128">
        <f t="shared" ref="N538:N542" si="445">IF(D538&gt;0,M538/H538,"PO")</f>
        <v>6.2142790902774516</v>
      </c>
      <c r="O538" s="129" t="str">
        <f t="shared" si="433"/>
        <v>OK</v>
      </c>
    </row>
    <row r="539" spans="1:15" ht="14.25" customHeight="1" x14ac:dyDescent="0.25">
      <c r="A539" s="120" t="str">
        <f>IF(N539=MIN(N537:N560),1,"")</f>
        <v/>
      </c>
      <c r="B539" s="121">
        <f t="shared" ref="B539:B554" si="446">B538+1/24</f>
        <v>42331.083333333328</v>
      </c>
      <c r="C539" s="122">
        <f t="shared" ref="C539" si="447">DAY(B539)</f>
        <v>23</v>
      </c>
      <c r="D539" s="123">
        <v>1451.9015517505791</v>
      </c>
      <c r="E539" s="124">
        <v>37.592533111572266</v>
      </c>
      <c r="F539" s="125">
        <v>12.609330458115283</v>
      </c>
      <c r="G539" s="126">
        <v>2.4069628715515137</v>
      </c>
      <c r="H539" s="127">
        <f>HLOOKUP('Operational Worksheet'!E539,$B$773:$U$775,3)</f>
        <v>8.5750000000000011</v>
      </c>
      <c r="I539" s="127">
        <f t="shared" si="431"/>
        <v>1.1226656504600363</v>
      </c>
      <c r="J539" s="127">
        <f t="shared" si="432"/>
        <v>20.843281738344356</v>
      </c>
      <c r="K539" s="127">
        <f t="shared" si="443"/>
        <v>2.7022145378235369</v>
      </c>
      <c r="L539" s="127">
        <f t="shared" si="443"/>
        <v>50.169005265482554</v>
      </c>
      <c r="M539" s="127">
        <f t="shared" si="444"/>
        <v>52.87121980330609</v>
      </c>
      <c r="N539" s="128">
        <f t="shared" si="445"/>
        <v>6.1657399187528963</v>
      </c>
      <c r="O539" s="129" t="str">
        <f t="shared" si="433"/>
        <v>OK</v>
      </c>
    </row>
    <row r="540" spans="1:15" ht="14.25" customHeight="1" x14ac:dyDescent="0.25">
      <c r="A540" s="120" t="str">
        <f>IF(N540=MIN(N537:N560),1,"")</f>
        <v/>
      </c>
      <c r="B540" s="121">
        <f t="shared" si="446"/>
        <v>42331.124999999993</v>
      </c>
      <c r="C540" s="122">
        <f>DAY(B540)</f>
        <v>23</v>
      </c>
      <c r="D540" s="123">
        <v>1445.4364424430635</v>
      </c>
      <c r="E540" s="124">
        <v>37.895933516146918</v>
      </c>
      <c r="F540" s="125">
        <v>12.592397688547145</v>
      </c>
      <c r="G540" s="126">
        <v>2.4069628715515137</v>
      </c>
      <c r="H540" s="127">
        <f>HLOOKUP('Operational Worksheet'!E540,$B$773:$U$775,3)</f>
        <v>8.5750000000000011</v>
      </c>
      <c r="I540" s="127">
        <f t="shared" si="431"/>
        <v>1.127687079236074</v>
      </c>
      <c r="J540" s="127">
        <f t="shared" si="432"/>
        <v>20.908393869904518</v>
      </c>
      <c r="K540" s="127">
        <f t="shared" si="443"/>
        <v>2.7143009304496002</v>
      </c>
      <c r="L540" s="127">
        <f t="shared" si="443"/>
        <v>50.325727748635444</v>
      </c>
      <c r="M540" s="127">
        <f t="shared" si="444"/>
        <v>53.040028679085047</v>
      </c>
      <c r="N540" s="128">
        <f t="shared" si="445"/>
        <v>6.1854260850244946</v>
      </c>
      <c r="O540" s="129" t="str">
        <f t="shared" si="433"/>
        <v>OK</v>
      </c>
    </row>
    <row r="541" spans="1:15" ht="14.25" customHeight="1" x14ac:dyDescent="0.25">
      <c r="A541" s="120" t="str">
        <f>IF(N541=MIN(N537:N560),1,"")</f>
        <v/>
      </c>
      <c r="B541" s="121">
        <f t="shared" si="446"/>
        <v>42331.166666666657</v>
      </c>
      <c r="C541" s="122">
        <f t="shared" ref="C541:C542" si="448">DAY(B541)</f>
        <v>23</v>
      </c>
      <c r="D541" s="123">
        <v>1438.3532253948435</v>
      </c>
      <c r="E541" s="124">
        <v>39.521686553955078</v>
      </c>
      <c r="F541" s="125">
        <v>12.597323930660036</v>
      </c>
      <c r="G541" s="126">
        <v>2.4069628715515137</v>
      </c>
      <c r="H541" s="127">
        <f>HLOOKUP('Operational Worksheet'!E541,$B$773:$U$775,3)</f>
        <v>7.7875000000000005</v>
      </c>
      <c r="I541" s="127">
        <f t="shared" si="431"/>
        <v>1.1332404107847343</v>
      </c>
      <c r="J541" s="127">
        <f t="shared" si="432"/>
        <v>21.019577736396872</v>
      </c>
      <c r="K541" s="127">
        <f t="shared" si="443"/>
        <v>2.7276675933006409</v>
      </c>
      <c r="L541" s="127">
        <f t="shared" si="443"/>
        <v>50.59334318719808</v>
      </c>
      <c r="M541" s="127">
        <f t="shared" si="444"/>
        <v>53.321010780498725</v>
      </c>
      <c r="N541" s="128">
        <f t="shared" si="445"/>
        <v>6.8469997791972679</v>
      </c>
      <c r="O541" s="129" t="str">
        <f t="shared" si="433"/>
        <v>OK</v>
      </c>
    </row>
    <row r="542" spans="1:15" ht="14.25" customHeight="1" x14ac:dyDescent="0.25">
      <c r="A542" s="120" t="str">
        <f>IF(N542=MIN(N537:N560),1,"")</f>
        <v/>
      </c>
      <c r="B542" s="121">
        <f t="shared" si="446"/>
        <v>42331.208333333321</v>
      </c>
      <c r="C542" s="122">
        <f t="shared" si="448"/>
        <v>23</v>
      </c>
      <c r="D542" s="123">
        <v>1442.2947800058944</v>
      </c>
      <c r="E542" s="124">
        <v>39.521686553955078</v>
      </c>
      <c r="F542" s="125">
        <v>12.605524138394511</v>
      </c>
      <c r="G542" s="126">
        <v>2.3935861587524414</v>
      </c>
      <c r="H542" s="127">
        <f>HLOOKUP('Operational Worksheet'!E542,$B$773:$U$775,3)</f>
        <v>7.7875000000000005</v>
      </c>
      <c r="I542" s="128">
        <f t="shared" si="431"/>
        <v>1.130143450975631</v>
      </c>
      <c r="J542" s="127">
        <f t="shared" si="432"/>
        <v>20.975779952571958</v>
      </c>
      <c r="K542" s="127">
        <f>I542*$G542</f>
        <v>2.7050957216599887</v>
      </c>
      <c r="L542" s="127">
        <f>J542*$G542</f>
        <v>50.207336563513181</v>
      </c>
      <c r="M542" s="127">
        <f>K542+L542</f>
        <v>52.912432285173168</v>
      </c>
      <c r="N542" s="128">
        <f t="shared" si="445"/>
        <v>6.7945338407927016</v>
      </c>
      <c r="O542" s="129" t="str">
        <f t="shared" si="433"/>
        <v>OK</v>
      </c>
    </row>
    <row r="543" spans="1:15" ht="14.25" customHeight="1" x14ac:dyDescent="0.25">
      <c r="A543" s="120" t="str">
        <f>IF(N543=MIN(N537:N560),1,"")</f>
        <v/>
      </c>
      <c r="B543" s="121">
        <f t="shared" si="446"/>
        <v>42331.249999999985</v>
      </c>
      <c r="C543" s="122">
        <f>DAY(B543)</f>
        <v>23</v>
      </c>
      <c r="D543" s="123">
        <v>1458.0480905204984</v>
      </c>
      <c r="E543" s="124">
        <v>39.521686553955078</v>
      </c>
      <c r="F543" s="125">
        <v>12.599215040749652</v>
      </c>
      <c r="G543" s="126">
        <v>2.3935861587524414</v>
      </c>
      <c r="H543" s="127">
        <f>HLOOKUP('Operational Worksheet'!E543,$B$773:$U$775,3)</f>
        <v>7.7875000000000005</v>
      </c>
      <c r="I543" s="127">
        <f t="shared" si="431"/>
        <v>1.1179329478893372</v>
      </c>
      <c r="J543" s="127">
        <f t="shared" si="432"/>
        <v>20.738764581492418</v>
      </c>
      <c r="K543" s="127">
        <f>I543*$G543</f>
        <v>2.6758688304812317</v>
      </c>
      <c r="L543" s="127">
        <f>J543*$G543</f>
        <v>49.640019851885619</v>
      </c>
      <c r="M543" s="127">
        <f>K543+L543</f>
        <v>52.315888682366847</v>
      </c>
      <c r="N543" s="128">
        <f>IF(D543&gt;0,M543/H543,"PO")</f>
        <v>6.7179311309620342</v>
      </c>
      <c r="O543" s="129" t="str">
        <f t="shared" si="433"/>
        <v>OK</v>
      </c>
    </row>
    <row r="544" spans="1:15" ht="14.25" customHeight="1" x14ac:dyDescent="0.25">
      <c r="A544" s="120" t="str">
        <f>IF(N544=MIN(N537:N560),1,"")</f>
        <v/>
      </c>
      <c r="B544" s="121">
        <f t="shared" si="446"/>
        <v>42331.29166666665</v>
      </c>
      <c r="C544" s="122">
        <f t="shared" ref="C544:C548" si="449">DAY(B544)</f>
        <v>23</v>
      </c>
      <c r="D544" s="123">
        <v>1424.9043087686266</v>
      </c>
      <c r="E544" s="124">
        <v>39.521686553955078</v>
      </c>
      <c r="F544" s="125">
        <v>12.597967943842576</v>
      </c>
      <c r="G544" s="126">
        <v>2.3935861587524414</v>
      </c>
      <c r="H544" s="127">
        <f>HLOOKUP('Operational Worksheet'!E544,$B$773:$U$775,3)</f>
        <v>7.7875000000000005</v>
      </c>
      <c r="I544" s="127">
        <f t="shared" si="431"/>
        <v>1.1439364664484823</v>
      </c>
      <c r="J544" s="127">
        <f t="shared" si="432"/>
        <v>21.219055117708756</v>
      </c>
      <c r="K544" s="127">
        <f t="shared" ref="K544:L547" si="450">I544*$G544</f>
        <v>2.7381104925832638</v>
      </c>
      <c r="L544" s="127">
        <f t="shared" si="450"/>
        <v>50.789636631552831</v>
      </c>
      <c r="M544" s="127">
        <f t="shared" ref="M544:M547" si="451">K544+L544</f>
        <v>53.527747124136098</v>
      </c>
      <c r="N544" s="128">
        <f t="shared" ref="N544:N548" si="452">IF(D544&gt;0,M544/H544,"PO")</f>
        <v>6.8735469822325648</v>
      </c>
      <c r="O544" s="129" t="str">
        <f t="shared" si="433"/>
        <v>OK</v>
      </c>
    </row>
    <row r="545" spans="1:15" ht="14.25" customHeight="1" x14ac:dyDescent="0.25">
      <c r="A545" s="120" t="str">
        <f>IF(N545=MIN(N537:N560),1,"")</f>
        <v/>
      </c>
      <c r="B545" s="121">
        <f t="shared" si="446"/>
        <v>42331.333333333314</v>
      </c>
      <c r="C545" s="122">
        <f t="shared" si="449"/>
        <v>23</v>
      </c>
      <c r="D545" s="123">
        <v>1453.8664737135068</v>
      </c>
      <c r="E545" s="124">
        <v>39.620723865910115</v>
      </c>
      <c r="F545" s="125">
        <v>12.626207279654926</v>
      </c>
      <c r="G545" s="126">
        <v>2.3935861587524414</v>
      </c>
      <c r="H545" s="127">
        <f>HLOOKUP('Operational Worksheet'!E545,$B$773:$U$775,3)</f>
        <v>7.7875000000000005</v>
      </c>
      <c r="I545" s="127">
        <f t="shared" si="431"/>
        <v>1.1211483512902034</v>
      </c>
      <c r="J545" s="127">
        <f t="shared" si="432"/>
        <v>20.84297149639286</v>
      </c>
      <c r="K545" s="127">
        <f t="shared" si="450"/>
        <v>2.6835651755563505</v>
      </c>
      <c r="L545" s="127">
        <f t="shared" si="450"/>
        <v>49.889448081037614</v>
      </c>
      <c r="M545" s="127">
        <f t="shared" si="451"/>
        <v>52.573013256593967</v>
      </c>
      <c r="N545" s="128">
        <f t="shared" si="452"/>
        <v>6.7509487327889524</v>
      </c>
      <c r="O545" s="129" t="str">
        <f t="shared" si="433"/>
        <v>OK</v>
      </c>
    </row>
    <row r="546" spans="1:15" ht="14.25" customHeight="1" x14ac:dyDescent="0.25">
      <c r="A546" s="120" t="str">
        <f>IF(N546=MIN(N537:N560),1,"")</f>
        <v/>
      </c>
      <c r="B546" s="121">
        <f t="shared" si="446"/>
        <v>42331.374999999978</v>
      </c>
      <c r="C546" s="122">
        <f t="shared" si="449"/>
        <v>23</v>
      </c>
      <c r="D546" s="123">
        <v>1437.7223100459012</v>
      </c>
      <c r="E546" s="124">
        <v>40.185935974121094</v>
      </c>
      <c r="F546" s="125">
        <v>12.605098158829843</v>
      </c>
      <c r="G546" s="126">
        <v>2.3935861587524414</v>
      </c>
      <c r="H546" s="127">
        <f>HLOOKUP('Operational Worksheet'!E546,$B$773:$U$775,3)</f>
        <v>7.7875000000000005</v>
      </c>
      <c r="I546" s="127">
        <f t="shared" si="431"/>
        <v>1.1337377104122146</v>
      </c>
      <c r="J546" s="127">
        <f t="shared" si="432"/>
        <v>21.041779326792099</v>
      </c>
      <c r="K546" s="127">
        <f t="shared" si="450"/>
        <v>2.7136988912983604</v>
      </c>
      <c r="L546" s="127">
        <f t="shared" si="450"/>
        <v>50.365311752132833</v>
      </c>
      <c r="M546" s="127">
        <f t="shared" si="451"/>
        <v>53.079010643431189</v>
      </c>
      <c r="N546" s="128">
        <f t="shared" si="452"/>
        <v>6.8159243201837798</v>
      </c>
      <c r="O546" s="129" t="str">
        <f t="shared" si="433"/>
        <v>OK</v>
      </c>
    </row>
    <row r="547" spans="1:15" ht="14.25" customHeight="1" x14ac:dyDescent="0.25">
      <c r="A547" s="120" t="str">
        <f>IF(N547=MIN(N537:N560),1,"")</f>
        <v/>
      </c>
      <c r="B547" s="121">
        <f t="shared" si="446"/>
        <v>42331.416666666642</v>
      </c>
      <c r="C547" s="122">
        <f t="shared" si="449"/>
        <v>23</v>
      </c>
      <c r="D547" s="123">
        <v>1452.3259133236195</v>
      </c>
      <c r="E547" s="124">
        <v>40.185935974121094</v>
      </c>
      <c r="F547" s="125">
        <v>12.62042255604676</v>
      </c>
      <c r="G547" s="126">
        <v>2.3935861587524414</v>
      </c>
      <c r="H547" s="127">
        <f>HLOOKUP('Operational Worksheet'!E547,$B$773:$U$775,3)</f>
        <v>7.7875000000000005</v>
      </c>
      <c r="I547" s="127">
        <f t="shared" si="431"/>
        <v>1.1223376137865479</v>
      </c>
      <c r="J547" s="127">
        <f t="shared" si="432"/>
        <v>20.855521378942008</v>
      </c>
      <c r="K547" s="127">
        <f t="shared" si="450"/>
        <v>2.6864117778067245</v>
      </c>
      <c r="L547" s="127">
        <f t="shared" si="450"/>
        <v>49.919487306201219</v>
      </c>
      <c r="M547" s="127">
        <f t="shared" si="451"/>
        <v>52.605899084007945</v>
      </c>
      <c r="N547" s="128">
        <f t="shared" si="452"/>
        <v>6.7551716319753377</v>
      </c>
      <c r="O547" s="129" t="str">
        <f t="shared" si="433"/>
        <v>OK</v>
      </c>
    </row>
    <row r="548" spans="1:15" ht="14.25" customHeight="1" x14ac:dyDescent="0.25">
      <c r="A548" s="120" t="str">
        <f>IF(N548=MIN(N537:N560),1,"")</f>
        <v/>
      </c>
      <c r="B548" s="121">
        <f t="shared" si="446"/>
        <v>42331.458333333307</v>
      </c>
      <c r="C548" s="122">
        <f t="shared" si="449"/>
        <v>23</v>
      </c>
      <c r="D548" s="123">
        <v>1443.4037194986661</v>
      </c>
      <c r="E548" s="124">
        <v>40.185935974121094</v>
      </c>
      <c r="F548" s="125">
        <v>12.616671609455237</v>
      </c>
      <c r="G548" s="126">
        <v>2.15334153175354</v>
      </c>
      <c r="H548" s="127">
        <f>HLOOKUP('Operational Worksheet'!E548,$B$773:$U$775,3)</f>
        <v>7.7875000000000005</v>
      </c>
      <c r="I548" s="128">
        <f t="shared" si="431"/>
        <v>1.129275183360442</v>
      </c>
      <c r="J548" s="127">
        <f t="shared" si="432"/>
        <v>20.978199968342643</v>
      </c>
      <c r="K548" s="127">
        <f>I548*$G548</f>
        <v>2.4317151531086338</v>
      </c>
      <c r="L548" s="127">
        <f>J548*$G548</f>
        <v>45.17322925326301</v>
      </c>
      <c r="M548" s="127">
        <f>K548+L548</f>
        <v>47.604944406371644</v>
      </c>
      <c r="N548" s="128">
        <f t="shared" si="452"/>
        <v>6.1129944663077547</v>
      </c>
      <c r="O548" s="129" t="str">
        <f t="shared" si="433"/>
        <v>OK</v>
      </c>
    </row>
    <row r="549" spans="1:15" ht="14.25" customHeight="1" x14ac:dyDescent="0.25">
      <c r="A549" s="120" t="str">
        <f>IF(N549=MIN(N537:N560),1,"")</f>
        <v/>
      </c>
      <c r="B549" s="121">
        <f t="shared" si="446"/>
        <v>42331.499999999971</v>
      </c>
      <c r="C549" s="122">
        <f>DAY(B549)</f>
        <v>23</v>
      </c>
      <c r="D549" s="123">
        <v>1442.6093059363666</v>
      </c>
      <c r="E549" s="124">
        <v>40.185935974121094</v>
      </c>
      <c r="F549" s="125">
        <v>12.597765390041362</v>
      </c>
      <c r="G549" s="126">
        <v>2.2974882125854492</v>
      </c>
      <c r="H549" s="127">
        <f>HLOOKUP('Operational Worksheet'!E549,$B$773:$U$775,3)</f>
        <v>7.7875000000000005</v>
      </c>
      <c r="I549" s="127">
        <f t="shared" si="431"/>
        <v>1.1298970506377</v>
      </c>
      <c r="J549" s="127">
        <f t="shared" si="432"/>
        <v>20.958298835092169</v>
      </c>
      <c r="K549" s="127">
        <f>I549*$G549</f>
        <v>2.5959251552751801</v>
      </c>
      <c r="L549" s="127">
        <f>J549*$G549</f>
        <v>48.151444529467611</v>
      </c>
      <c r="M549" s="127">
        <f>K549+L549</f>
        <v>50.747369684742793</v>
      </c>
      <c r="N549" s="128">
        <f>IF(D549&gt;0,M549/H549,"PO")</f>
        <v>6.5165161713955424</v>
      </c>
      <c r="O549" s="129" t="str">
        <f t="shared" si="433"/>
        <v>OK</v>
      </c>
    </row>
    <row r="550" spans="1:15" ht="14.25" customHeight="1" x14ac:dyDescent="0.25">
      <c r="A550" s="120" t="str">
        <f>IF(N550=MIN(N537:N560),1,"")</f>
        <v/>
      </c>
      <c r="B550" s="121">
        <f t="shared" si="446"/>
        <v>42331.541666666635</v>
      </c>
      <c r="C550" s="122">
        <f t="shared" ref="C550:C554" si="453">DAY(B550)</f>
        <v>23</v>
      </c>
      <c r="D550" s="123">
        <v>1449.7164928032255</v>
      </c>
      <c r="E550" s="124">
        <v>40.185935974121094</v>
      </c>
      <c r="F550" s="125">
        <v>12.605899007931281</v>
      </c>
      <c r="G550" s="126">
        <v>2.2974882125854492</v>
      </c>
      <c r="H550" s="127">
        <f>HLOOKUP('Operational Worksheet'!E550,$B$773:$U$775,3)</f>
        <v>7.7875000000000005</v>
      </c>
      <c r="I550" s="127">
        <f t="shared" si="431"/>
        <v>1.1243577679441115</v>
      </c>
      <c r="J550" s="127">
        <f t="shared" si="432"/>
        <v>20.869016645133502</v>
      </c>
      <c r="K550" s="127">
        <f t="shared" ref="K550:L553" si="454">I550*$G550</f>
        <v>2.5831987185804821</v>
      </c>
      <c r="L550" s="127">
        <f t="shared" si="454"/>
        <v>47.946319750443756</v>
      </c>
      <c r="M550" s="127">
        <f t="shared" ref="M550:M553" si="455">K550+L550</f>
        <v>50.529518469024239</v>
      </c>
      <c r="N550" s="128">
        <f t="shared" ref="N550:N554" si="456">IF(D550&gt;0,M550/H550,"PO")</f>
        <v>6.4885416974669967</v>
      </c>
      <c r="O550" s="129" t="str">
        <f t="shared" si="433"/>
        <v>OK</v>
      </c>
    </row>
    <row r="551" spans="1:15" ht="14.25" customHeight="1" x14ac:dyDescent="0.25">
      <c r="A551" s="120" t="str">
        <f>IF(N551=MIN(N537:N560),1,"")</f>
        <v/>
      </c>
      <c r="B551" s="121">
        <f t="shared" si="446"/>
        <v>42331.583333333299</v>
      </c>
      <c r="C551" s="122">
        <f t="shared" si="453"/>
        <v>23</v>
      </c>
      <c r="D551" s="123">
        <v>1446.9082388622378</v>
      </c>
      <c r="E551" s="124">
        <v>40.185935974121094</v>
      </c>
      <c r="F551" s="125">
        <v>12.607869479763714</v>
      </c>
      <c r="G551" s="126">
        <v>2.1877999305725098</v>
      </c>
      <c r="H551" s="127">
        <f>HLOOKUP('Operational Worksheet'!E551,$B$773:$U$775,3)</f>
        <v>7.7875000000000005</v>
      </c>
      <c r="I551" s="127">
        <f t="shared" si="431"/>
        <v>1.1265399948802106</v>
      </c>
      <c r="J551" s="127">
        <f t="shared" si="432"/>
        <v>20.912789034380435</v>
      </c>
      <c r="K551" s="127">
        <f t="shared" si="454"/>
        <v>2.4646441225860802</v>
      </c>
      <c r="L551" s="127">
        <f t="shared" si="454"/>
        <v>45.752998397495055</v>
      </c>
      <c r="M551" s="127">
        <f t="shared" si="455"/>
        <v>48.217642520081135</v>
      </c>
      <c r="N551" s="128">
        <f t="shared" si="456"/>
        <v>6.1916715916637086</v>
      </c>
      <c r="O551" s="129" t="str">
        <f t="shared" si="433"/>
        <v>OK</v>
      </c>
    </row>
    <row r="552" spans="1:15" ht="14.25" customHeight="1" x14ac:dyDescent="0.25">
      <c r="A552" s="120" t="str">
        <f>IF(N552=MIN(N537:N560),1,"")</f>
        <v/>
      </c>
      <c r="B552" s="121">
        <f t="shared" si="446"/>
        <v>42331.624999999964</v>
      </c>
      <c r="C552" s="122">
        <f t="shared" si="453"/>
        <v>23</v>
      </c>
      <c r="D552" s="123">
        <v>1445.9037203062453</v>
      </c>
      <c r="E552" s="124">
        <v>39.460368799412507</v>
      </c>
      <c r="F552" s="125">
        <v>12.605979131427144</v>
      </c>
      <c r="G552" s="126">
        <v>2.1877999305725098</v>
      </c>
      <c r="H552" s="127">
        <f>HLOOKUP('Operational Worksheet'!E552,$B$773:$U$775,3)</f>
        <v>7.7875000000000005</v>
      </c>
      <c r="I552" s="127">
        <f t="shared" si="431"/>
        <v>1.127322640579943</v>
      </c>
      <c r="J552" s="127">
        <f t="shared" si="432"/>
        <v>20.924180144593038</v>
      </c>
      <c r="K552" s="127">
        <f t="shared" si="454"/>
        <v>2.4663563947936176</v>
      </c>
      <c r="L552" s="127">
        <f t="shared" si="454"/>
        <v>45.777919867627332</v>
      </c>
      <c r="M552" s="127">
        <f t="shared" si="455"/>
        <v>48.244276262420954</v>
      </c>
      <c r="N552" s="128">
        <f t="shared" si="456"/>
        <v>6.1950916548855153</v>
      </c>
      <c r="O552" s="129" t="str">
        <f t="shared" si="433"/>
        <v>OK</v>
      </c>
    </row>
    <row r="553" spans="1:15" ht="14.25" customHeight="1" x14ac:dyDescent="0.25">
      <c r="A553" s="120" t="str">
        <f>IF(N553=MIN(N537:N560),1,"")</f>
        <v/>
      </c>
      <c r="B553" s="121">
        <f t="shared" si="446"/>
        <v>42331.666666666628</v>
      </c>
      <c r="C553" s="122">
        <f t="shared" si="453"/>
        <v>23</v>
      </c>
      <c r="D553" s="123">
        <v>1446.9384256213582</v>
      </c>
      <c r="E553" s="124">
        <v>39.048229217529297</v>
      </c>
      <c r="F553" s="125">
        <v>12.606632135062387</v>
      </c>
      <c r="G553" s="126">
        <v>2.1877999305725098</v>
      </c>
      <c r="H553" s="127">
        <f>HLOOKUP('Operational Worksheet'!E553,$B$773:$U$775,3)</f>
        <v>8.5750000000000011</v>
      </c>
      <c r="I553" s="127">
        <f t="shared" si="431"/>
        <v>1.126516492434728</v>
      </c>
      <c r="J553" s="127">
        <f t="shared" si="432"/>
        <v>20.910300389014097</v>
      </c>
      <c r="K553" s="127">
        <f t="shared" si="454"/>
        <v>2.4645927039374849</v>
      </c>
      <c r="L553" s="127">
        <f t="shared" si="454"/>
        <v>45.747553739335366</v>
      </c>
      <c r="M553" s="127">
        <f t="shared" si="455"/>
        <v>48.21214644327285</v>
      </c>
      <c r="N553" s="128">
        <f t="shared" si="456"/>
        <v>5.6224077484866291</v>
      </c>
      <c r="O553" s="129" t="str">
        <f t="shared" si="433"/>
        <v>OK</v>
      </c>
    </row>
    <row r="554" spans="1:15" ht="14.25" customHeight="1" x14ac:dyDescent="0.25">
      <c r="A554" s="120">
        <f>IF(N554=MIN(N537:N560),1,"")</f>
        <v>1</v>
      </c>
      <c r="B554" s="121">
        <f t="shared" si="446"/>
        <v>42331.708333333292</v>
      </c>
      <c r="C554" s="122">
        <f t="shared" si="453"/>
        <v>23</v>
      </c>
      <c r="D554" s="123">
        <v>1460.9660484041972</v>
      </c>
      <c r="E554" s="124">
        <v>39.048229217529297</v>
      </c>
      <c r="F554" s="125">
        <v>12.60680512843261</v>
      </c>
      <c r="G554" s="126">
        <v>2.1877999305725098</v>
      </c>
      <c r="H554" s="127">
        <f>HLOOKUP('Operational Worksheet'!E554,$B$773:$U$775,3)</f>
        <v>8.5750000000000011</v>
      </c>
      <c r="I554" s="128">
        <f t="shared" si="431"/>
        <v>1.1157001230661296</v>
      </c>
      <c r="J554" s="127">
        <f t="shared" si="432"/>
        <v>20.709812073516041</v>
      </c>
      <c r="K554" s="127">
        <f>I554*$G554</f>
        <v>2.4409286517838189</v>
      </c>
      <c r="L554" s="127">
        <f>J554*$G554</f>
        <v>45.308925416608119</v>
      </c>
      <c r="M554" s="127">
        <f>K554+L554</f>
        <v>47.74985406839194</v>
      </c>
      <c r="N554" s="128">
        <f t="shared" si="456"/>
        <v>5.5684961012701963</v>
      </c>
      <c r="O554" s="129" t="str">
        <f t="shared" si="433"/>
        <v>OK</v>
      </c>
    </row>
    <row r="555" spans="1:15" ht="14.25" customHeight="1" x14ac:dyDescent="0.25">
      <c r="A555" s="120" t="str">
        <f>IF(N555=MIN(N537:N560),1,"")</f>
        <v/>
      </c>
      <c r="B555" s="121">
        <f>B554+1/24</f>
        <v>42331.749999999956</v>
      </c>
      <c r="C555" s="122">
        <f>DAY(B555)</f>
        <v>23</v>
      </c>
      <c r="D555" s="123">
        <v>1435.5513981211768</v>
      </c>
      <c r="E555" s="124">
        <v>39.026015528542715</v>
      </c>
      <c r="F555" s="125">
        <v>12.597941911648467</v>
      </c>
      <c r="G555" s="126">
        <v>2.1877999305725098</v>
      </c>
      <c r="H555" s="127">
        <f>HLOOKUP('Operational Worksheet'!E555,$B$773:$U$775,3)</f>
        <v>8.5750000000000011</v>
      </c>
      <c r="I555" s="127">
        <f t="shared" si="431"/>
        <v>1.1354522047300528</v>
      </c>
      <c r="J555" s="127">
        <f t="shared" si="432"/>
        <v>21.061635708430511</v>
      </c>
      <c r="K555" s="127">
        <f>I555*$G555</f>
        <v>2.4841422546768128</v>
      </c>
      <c r="L555" s="127">
        <f>J555*$G555</f>
        <v>46.078645140647765</v>
      </c>
      <c r="M555" s="127">
        <f>K555+L555</f>
        <v>48.562787395324577</v>
      </c>
      <c r="N555" s="128">
        <f>IF(D555&gt;0,M555/H555,"PO")</f>
        <v>5.6632988216121944</v>
      </c>
      <c r="O555" s="129" t="str">
        <f t="shared" si="433"/>
        <v>OK</v>
      </c>
    </row>
    <row r="556" spans="1:15" ht="14.25" customHeight="1" x14ac:dyDescent="0.25">
      <c r="A556" s="120" t="str">
        <f>IF(N556=MIN(N537:N560),1,"")</f>
        <v/>
      </c>
      <c r="B556" s="121">
        <f t="shared" ref="B556:B560" si="457">B555+1/24</f>
        <v>42331.791666666621</v>
      </c>
      <c r="C556" s="122">
        <f t="shared" ref="C556:C560" si="458">DAY(B556)</f>
        <v>23</v>
      </c>
      <c r="D556" s="123">
        <v>1457.0063318907485</v>
      </c>
      <c r="E556" s="124">
        <v>38.846836090087891</v>
      </c>
      <c r="F556" s="125">
        <v>12.610754953091917</v>
      </c>
      <c r="G556" s="126">
        <v>2.1877999305725098</v>
      </c>
      <c r="H556" s="127">
        <f>HLOOKUP('Operational Worksheet'!E556,$B$773:$U$775,3)</f>
        <v>8.5750000000000011</v>
      </c>
      <c r="I556" s="127">
        <f t="shared" si="431"/>
        <v>1.1187322692584039</v>
      </c>
      <c r="J556" s="127">
        <f t="shared" si="432"/>
        <v>20.772601480835593</v>
      </c>
      <c r="K556" s="127">
        <f t="shared" ref="K556:L559" si="459">I556*$G556</f>
        <v>2.4475623810127622</v>
      </c>
      <c r="L556" s="127">
        <f t="shared" si="459"/>
        <v>45.446296077582524</v>
      </c>
      <c r="M556" s="127">
        <f t="shared" ref="M556:M559" si="460">K556+L556</f>
        <v>47.89385845859529</v>
      </c>
      <c r="N556" s="128">
        <f t="shared" ref="N556:N560" si="461">IF(D556&gt;0,M556/H556,"PO")</f>
        <v>5.585289616162715</v>
      </c>
      <c r="O556" s="129" t="str">
        <f t="shared" si="433"/>
        <v>OK</v>
      </c>
    </row>
    <row r="557" spans="1:15" ht="14.25" customHeight="1" x14ac:dyDescent="0.25">
      <c r="A557" s="120" t="str">
        <f>IF(N557=MIN(N537:N560),1,"")</f>
        <v/>
      </c>
      <c r="B557" s="121">
        <f t="shared" si="457"/>
        <v>42331.833333333285</v>
      </c>
      <c r="C557" s="122">
        <f t="shared" si="458"/>
        <v>23</v>
      </c>
      <c r="D557" s="123">
        <v>1440.0040127872248</v>
      </c>
      <c r="E557" s="124">
        <v>38.859265943472273</v>
      </c>
      <c r="F557" s="125">
        <v>12.605221383342291</v>
      </c>
      <c r="G557" s="126">
        <v>2.1877999305725098</v>
      </c>
      <c r="H557" s="127">
        <f>HLOOKUP('Operational Worksheet'!E557,$B$773:$U$775,3)</f>
        <v>8.5750000000000011</v>
      </c>
      <c r="I557" s="127">
        <f t="shared" si="431"/>
        <v>1.1319412901114247</v>
      </c>
      <c r="J557" s="127">
        <f t="shared" si="432"/>
        <v>21.008643761669585</v>
      </c>
      <c r="K557" s="127">
        <f t="shared" si="459"/>
        <v>2.4764610759179324</v>
      </c>
      <c r="L557" s="127">
        <f t="shared" si="459"/>
        <v>45.962709363203309</v>
      </c>
      <c r="M557" s="127">
        <f t="shared" si="460"/>
        <v>48.439170439121241</v>
      </c>
      <c r="N557" s="128">
        <f t="shared" si="461"/>
        <v>5.648882850043293</v>
      </c>
      <c r="O557" s="129" t="str">
        <f t="shared" si="433"/>
        <v>OK</v>
      </c>
    </row>
    <row r="558" spans="1:15" ht="14.25" customHeight="1" x14ac:dyDescent="0.25">
      <c r="A558" s="120" t="str">
        <f>IF(N558=MIN(N537:N560),1,"")</f>
        <v/>
      </c>
      <c r="B558" s="121">
        <f t="shared" si="457"/>
        <v>42331.874999999949</v>
      </c>
      <c r="C558" s="122">
        <f t="shared" si="458"/>
        <v>23</v>
      </c>
      <c r="D558" s="123">
        <v>1440.8402055030001</v>
      </c>
      <c r="E558" s="124">
        <v>38.942234039306641</v>
      </c>
      <c r="F558" s="125">
        <v>12.601088930252995</v>
      </c>
      <c r="G558" s="126">
        <v>2.1877999305725098</v>
      </c>
      <c r="H558" s="127">
        <f>HLOOKUP('Operational Worksheet'!E558,$B$773:$U$775,3)</f>
        <v>8.5750000000000011</v>
      </c>
      <c r="I558" s="127">
        <f t="shared" si="431"/>
        <v>1.1312843671175623</v>
      </c>
      <c r="J558" s="127">
        <f t="shared" si="432"/>
        <v>20.98956797367369</v>
      </c>
      <c r="K558" s="127">
        <f t="shared" si="459"/>
        <v>2.4750238598375685</v>
      </c>
      <c r="L558" s="127">
        <f t="shared" si="459"/>
        <v>45.920975355550276</v>
      </c>
      <c r="M558" s="127">
        <f t="shared" si="460"/>
        <v>48.395999215387846</v>
      </c>
      <c r="N558" s="128">
        <f t="shared" si="461"/>
        <v>5.6438483050014971</v>
      </c>
      <c r="O558" s="129" t="str">
        <f t="shared" si="433"/>
        <v>OK</v>
      </c>
    </row>
    <row r="559" spans="1:15" ht="14.25" customHeight="1" x14ac:dyDescent="0.25">
      <c r="A559" s="120" t="str">
        <f>IF(N559=MIN(N537:N560),1,"")</f>
        <v/>
      </c>
      <c r="B559" s="121">
        <f t="shared" si="457"/>
        <v>42331.916666666613</v>
      </c>
      <c r="C559" s="122">
        <f t="shared" si="458"/>
        <v>23</v>
      </c>
      <c r="D559" s="123">
        <v>1443.8081774607724</v>
      </c>
      <c r="E559" s="124">
        <v>38.942234039306641</v>
      </c>
      <c r="F559" s="125">
        <v>12.616681353154124</v>
      </c>
      <c r="G559" s="126">
        <v>2.4071767330169678</v>
      </c>
      <c r="H559" s="127">
        <f>HLOOKUP('Operational Worksheet'!E559,$B$773:$U$775,3)</f>
        <v>8.5750000000000011</v>
      </c>
      <c r="I559" s="127">
        <f t="shared" si="431"/>
        <v>1.1289588363924379</v>
      </c>
      <c r="J559" s="127">
        <f t="shared" si="432"/>
        <v>20.972339484060438</v>
      </c>
      <c r="K559" s="127">
        <f t="shared" si="459"/>
        <v>2.717603443497786</v>
      </c>
      <c r="L559" s="127">
        <f t="shared" si="459"/>
        <v>50.484127642963365</v>
      </c>
      <c r="M559" s="127">
        <f t="shared" si="460"/>
        <v>53.201731086461152</v>
      </c>
      <c r="N559" s="128">
        <f t="shared" si="461"/>
        <v>6.2042835086252062</v>
      </c>
      <c r="O559" s="129" t="str">
        <f t="shared" si="433"/>
        <v>OK</v>
      </c>
    </row>
    <row r="560" spans="1:15" ht="14.25" customHeight="1" x14ac:dyDescent="0.25">
      <c r="A560" s="130" t="str">
        <f>IF(N560=MIN(N537:N560),1,"")</f>
        <v/>
      </c>
      <c r="B560" s="131">
        <f t="shared" si="457"/>
        <v>42331.958333333278</v>
      </c>
      <c r="C560" s="132">
        <f t="shared" si="458"/>
        <v>23</v>
      </c>
      <c r="D560" s="123">
        <v>1439.999442221264</v>
      </c>
      <c r="E560" s="124">
        <v>38.942234039306641</v>
      </c>
      <c r="F560" s="125">
        <v>12.603865032708345</v>
      </c>
      <c r="G560" s="126">
        <v>2.4071767330169678</v>
      </c>
      <c r="H560" s="133">
        <f>HLOOKUP('Operational Worksheet'!E560,$B$773:$U$775,3)</f>
        <v>8.5750000000000011</v>
      </c>
      <c r="I560" s="134">
        <f t="shared" si="431"/>
        <v>1.131944882899157</v>
      </c>
      <c r="J560" s="133">
        <f t="shared" si="432"/>
        <v>21.006449857952138</v>
      </c>
      <c r="K560" s="133">
        <f>I560*$G560</f>
        <v>2.724791385172467</v>
      </c>
      <c r="L560" s="133">
        <f>J560*$G560</f>
        <v>50.566237341349975</v>
      </c>
      <c r="M560" s="133">
        <f>K560+L560</f>
        <v>53.291028726522441</v>
      </c>
      <c r="N560" s="134">
        <f t="shared" si="461"/>
        <v>6.214697227582791</v>
      </c>
      <c r="O560" s="135" t="str">
        <f t="shared" si="433"/>
        <v>OK</v>
      </c>
    </row>
    <row r="561" spans="1:15" ht="14.25" customHeight="1" x14ac:dyDescent="0.25">
      <c r="A561" s="110" t="str">
        <f>IF(N561=MIN(N561:N584),1,"")</f>
        <v/>
      </c>
      <c r="B561" s="111">
        <f>'[1]Turbidity Daily Data Sheet'!B39</f>
        <v>42332</v>
      </c>
      <c r="C561" s="112">
        <f>DAY(B561)</f>
        <v>24</v>
      </c>
      <c r="D561" s="123">
        <v>1444.6664063248247</v>
      </c>
      <c r="E561" s="124">
        <v>38.942234039306641</v>
      </c>
      <c r="F561" s="125">
        <v>12.611124133258246</v>
      </c>
      <c r="G561" s="126">
        <v>2.4071767330169678</v>
      </c>
      <c r="H561" s="117">
        <f>HLOOKUP('Operational Worksheet'!E561,$B$773:$U$775,3)</f>
        <v>8.5750000000000011</v>
      </c>
      <c r="I561" s="117">
        <f t="shared" si="431"/>
        <v>1.1282881590267311</v>
      </c>
      <c r="J561" s="117">
        <f t="shared" si="432"/>
        <v>20.950648390043963</v>
      </c>
      <c r="K561" s="117">
        <f>I561*$G561</f>
        <v>2.7159890045476955</v>
      </c>
      <c r="L561" s="117">
        <f>J561*$G561</f>
        <v>50.431913346133221</v>
      </c>
      <c r="M561" s="117">
        <f>K561+L561</f>
        <v>53.147902350680916</v>
      </c>
      <c r="N561" s="118">
        <f>IF(D561&gt;0,M561/H561,"PO")</f>
        <v>6.1980061050356747</v>
      </c>
      <c r="O561" s="119" t="str">
        <f t="shared" si="433"/>
        <v>OK</v>
      </c>
    </row>
    <row r="562" spans="1:15" ht="14.25" customHeight="1" x14ac:dyDescent="0.25">
      <c r="A562" s="120" t="str">
        <f>IF(N562=MIN(N561:N584),1,"")</f>
        <v/>
      </c>
      <c r="B562" s="121">
        <f>B561+1/24</f>
        <v>42332.041666666664</v>
      </c>
      <c r="C562" s="122">
        <f>DAY(B562)</f>
        <v>24</v>
      </c>
      <c r="D562" s="123">
        <v>1445.3879906283382</v>
      </c>
      <c r="E562" s="124">
        <v>39.239901226801607</v>
      </c>
      <c r="F562" s="125">
        <v>12.599867588694332</v>
      </c>
      <c r="G562" s="126">
        <v>2.4071767330169678</v>
      </c>
      <c r="H562" s="127">
        <f>HLOOKUP('Operational Worksheet'!E562,$B$773:$U$775,3)</f>
        <v>7.7875000000000005</v>
      </c>
      <c r="I562" s="127">
        <f t="shared" si="431"/>
        <v>1.1277248811866822</v>
      </c>
      <c r="J562" s="127">
        <f t="shared" si="432"/>
        <v>20.921498178299256</v>
      </c>
      <c r="K562" s="127">
        <f t="shared" ref="K562:L565" si="462">I562*$G562</f>
        <v>2.714633095236906</v>
      </c>
      <c r="L562" s="127">
        <f t="shared" si="462"/>
        <v>50.361743634658843</v>
      </c>
      <c r="M562" s="127">
        <f t="shared" ref="M562:M565" si="463">K562+L562</f>
        <v>53.076376729895749</v>
      </c>
      <c r="N562" s="128">
        <f t="shared" ref="N562:N566" si="464">IF(D562&gt;0,M562/H562,"PO")</f>
        <v>6.8155860969368529</v>
      </c>
      <c r="O562" s="129" t="str">
        <f t="shared" si="433"/>
        <v>OK</v>
      </c>
    </row>
    <row r="563" spans="1:15" ht="14.25" customHeight="1" x14ac:dyDescent="0.25">
      <c r="A563" s="120" t="str">
        <f>IF(N563=MIN(N561:N584),1,"")</f>
        <v/>
      </c>
      <c r="B563" s="121">
        <f t="shared" ref="B563:B578" si="465">B562+1/24</f>
        <v>42332.083333333328</v>
      </c>
      <c r="C563" s="122">
        <f t="shared" ref="C563" si="466">DAY(B563)</f>
        <v>24</v>
      </c>
      <c r="D563" s="123">
        <v>1456.0661016212584</v>
      </c>
      <c r="E563" s="124">
        <v>39.708946228027344</v>
      </c>
      <c r="F563" s="125">
        <v>12.612194908780852</v>
      </c>
      <c r="G563" s="126">
        <v>2.4071767330169678</v>
      </c>
      <c r="H563" s="127">
        <f>HLOOKUP('Operational Worksheet'!E563,$B$773:$U$775,3)</f>
        <v>7.7875000000000005</v>
      </c>
      <c r="I563" s="127">
        <f t="shared" si="431"/>
        <v>1.1194546718621323</v>
      </c>
      <c r="J563" s="127">
        <f t="shared" si="432"/>
        <v>20.788388485502608</v>
      </c>
      <c r="K563" s="127">
        <f t="shared" si="462"/>
        <v>2.6947252397736694</v>
      </c>
      <c r="L563" s="127">
        <f t="shared" si="462"/>
        <v>50.041325079219718</v>
      </c>
      <c r="M563" s="127">
        <f t="shared" si="463"/>
        <v>52.736050318993385</v>
      </c>
      <c r="N563" s="128">
        <f t="shared" si="464"/>
        <v>6.7718844711387973</v>
      </c>
      <c r="O563" s="129" t="str">
        <f t="shared" si="433"/>
        <v>OK</v>
      </c>
    </row>
    <row r="564" spans="1:15" ht="14.25" customHeight="1" x14ac:dyDescent="0.25">
      <c r="A564" s="120" t="str">
        <f>IF(N564=MIN(N561:N584),1,"")</f>
        <v/>
      </c>
      <c r="B564" s="121">
        <f t="shared" si="465"/>
        <v>42332.124999999993</v>
      </c>
      <c r="C564" s="122">
        <f>DAY(B564)</f>
        <v>24</v>
      </c>
      <c r="D564" s="123">
        <v>1440.2052146511389</v>
      </c>
      <c r="E564" s="124">
        <v>39.034717475141939</v>
      </c>
      <c r="F564" s="125">
        <v>12.598972803586776</v>
      </c>
      <c r="G564" s="126">
        <v>2.4071767330169678</v>
      </c>
      <c r="H564" s="127">
        <f>HLOOKUP('Operational Worksheet'!E564,$B$773:$U$775,3)</f>
        <v>8.5750000000000011</v>
      </c>
      <c r="I564" s="127">
        <f t="shared" si="431"/>
        <v>1.1317831538298069</v>
      </c>
      <c r="J564" s="127">
        <f t="shared" si="432"/>
        <v>20.995295962688694</v>
      </c>
      <c r="K564" s="127">
        <f t="shared" si="462"/>
        <v>2.7244020747196749</v>
      </c>
      <c r="L564" s="127">
        <f t="shared" si="462"/>
        <v>50.539387944189301</v>
      </c>
      <c r="M564" s="127">
        <f t="shared" si="463"/>
        <v>53.263790018908978</v>
      </c>
      <c r="N564" s="128">
        <f t="shared" si="464"/>
        <v>6.2115207019135825</v>
      </c>
      <c r="O564" s="129" t="str">
        <f t="shared" si="433"/>
        <v>OK</v>
      </c>
    </row>
    <row r="565" spans="1:15" ht="14.25" customHeight="1" x14ac:dyDescent="0.25">
      <c r="A565" s="120">
        <f>IF(N565=MIN(N561:N584),1,"")</f>
        <v>1</v>
      </c>
      <c r="B565" s="121">
        <f t="shared" si="465"/>
        <v>42332.166666666657</v>
      </c>
      <c r="C565" s="122">
        <f t="shared" ref="C565:C566" si="467">DAY(B565)</f>
        <v>24</v>
      </c>
      <c r="D565" s="123">
        <v>1443.5964058409402</v>
      </c>
      <c r="E565" s="124">
        <v>38.500579833984375</v>
      </c>
      <c r="F565" s="125">
        <v>12.599323455392321</v>
      </c>
      <c r="G565" s="126">
        <v>2.4071767330169678</v>
      </c>
      <c r="H565" s="127">
        <f>HLOOKUP('Operational Worksheet'!E565,$B$773:$U$775,3)</f>
        <v>8.5750000000000011</v>
      </c>
      <c r="I565" s="127">
        <f t="shared" si="431"/>
        <v>1.1291244515467422</v>
      </c>
      <c r="J565" s="127">
        <f t="shared" si="432"/>
        <v>20.946558311307772</v>
      </c>
      <c r="K565" s="127">
        <f t="shared" si="462"/>
        <v>2.7180021084438626</v>
      </c>
      <c r="L565" s="127">
        <f t="shared" si="462"/>
        <v>50.422067803763255</v>
      </c>
      <c r="M565" s="127">
        <f t="shared" si="463"/>
        <v>53.140069912207117</v>
      </c>
      <c r="N565" s="128">
        <f t="shared" si="464"/>
        <v>6.1970927011320249</v>
      </c>
      <c r="O565" s="129" t="str">
        <f t="shared" si="433"/>
        <v>OK</v>
      </c>
    </row>
    <row r="566" spans="1:15" ht="14.25" customHeight="1" x14ac:dyDescent="0.25">
      <c r="A566" s="120" t="str">
        <f>IF(N566=MIN(N561:N584),1,"")</f>
        <v/>
      </c>
      <c r="B566" s="121">
        <f t="shared" si="465"/>
        <v>42332.208333333321</v>
      </c>
      <c r="C566" s="122">
        <f t="shared" si="467"/>
        <v>24</v>
      </c>
      <c r="D566" s="123">
        <v>1446.086135639438</v>
      </c>
      <c r="E566" s="124">
        <v>39.267067344630007</v>
      </c>
      <c r="F566" s="125">
        <v>12.607218287897231</v>
      </c>
      <c r="G566" s="126">
        <v>2.4071767330169678</v>
      </c>
      <c r="H566" s="127">
        <f>HLOOKUP('Operational Worksheet'!E566,$B$773:$U$775,3)</f>
        <v>7.7875000000000005</v>
      </c>
      <c r="I566" s="128">
        <f t="shared" si="431"/>
        <v>1.1271804354027901</v>
      </c>
      <c r="J566" s="127">
        <f t="shared" si="432"/>
        <v>20.923597250017206</v>
      </c>
      <c r="K566" s="127">
        <f>I566*$G566</f>
        <v>2.7133225180135314</v>
      </c>
      <c r="L566" s="127">
        <f>J566*$G566</f>
        <v>50.366796471259228</v>
      </c>
      <c r="M566" s="127">
        <f>K566+L566</f>
        <v>53.080118989272762</v>
      </c>
      <c r="N566" s="128">
        <f t="shared" si="464"/>
        <v>6.8160666438873525</v>
      </c>
      <c r="O566" s="129" t="str">
        <f t="shared" si="433"/>
        <v>OK</v>
      </c>
    </row>
    <row r="567" spans="1:15" ht="14.25" customHeight="1" x14ac:dyDescent="0.25">
      <c r="A567" s="120" t="str">
        <f>IF(N567=MIN(N561:N584),1,"")</f>
        <v/>
      </c>
      <c r="B567" s="121">
        <f t="shared" si="465"/>
        <v>42332.249999999985</v>
      </c>
      <c r="C567" s="122">
        <f>DAY(B567)</f>
        <v>24</v>
      </c>
      <c r="D567" s="123">
        <v>1446.6335965003691</v>
      </c>
      <c r="E567" s="124">
        <v>39.705413818359375</v>
      </c>
      <c r="F567" s="125">
        <v>12.605547100637862</v>
      </c>
      <c r="G567" s="126">
        <v>2.3935861587524414</v>
      </c>
      <c r="H567" s="127">
        <f>HLOOKUP('Operational Worksheet'!E567,$B$773:$U$775,3)</f>
        <v>7.7875000000000005</v>
      </c>
      <c r="I567" s="127">
        <f t="shared" si="431"/>
        <v>1.126753867698927</v>
      </c>
      <c r="J567" s="127">
        <f t="shared" si="432"/>
        <v>20.912906429602028</v>
      </c>
      <c r="K567" s="127">
        <f>I567*$G567</f>
        <v>2.6969824620449314</v>
      </c>
      <c r="L567" s="127">
        <f>J567*$G567</f>
        <v>50.056843369180356</v>
      </c>
      <c r="M567" s="127">
        <f>K567+L567</f>
        <v>52.753825831225285</v>
      </c>
      <c r="N567" s="128">
        <f>IF(D567&gt;0,M567/H567,"PO")</f>
        <v>6.7741670409278054</v>
      </c>
      <c r="O567" s="129" t="str">
        <f t="shared" si="433"/>
        <v>OK</v>
      </c>
    </row>
    <row r="568" spans="1:15" ht="14.25" customHeight="1" x14ac:dyDescent="0.25">
      <c r="A568" s="120" t="str">
        <f>IF(N568=MIN(N561:N584),1,"")</f>
        <v/>
      </c>
      <c r="B568" s="121">
        <f t="shared" si="465"/>
        <v>42332.29166666665</v>
      </c>
      <c r="C568" s="122">
        <f t="shared" ref="C568:C572" si="468">DAY(B568)</f>
        <v>24</v>
      </c>
      <c r="D568" s="123">
        <v>1439.3424362254871</v>
      </c>
      <c r="E568" s="124">
        <v>39.705413818359375</v>
      </c>
      <c r="F568" s="125">
        <v>12.592732117452771</v>
      </c>
      <c r="G568" s="126">
        <v>2.3935861587524414</v>
      </c>
      <c r="H568" s="127">
        <f>HLOOKUP('Operational Worksheet'!E568,$B$773:$U$775,3)</f>
        <v>7.7875000000000005</v>
      </c>
      <c r="I568" s="127">
        <f t="shared" si="431"/>
        <v>1.132461573407431</v>
      </c>
      <c r="J568" s="127">
        <f t="shared" si="432"/>
        <v>20.99747518119586</v>
      </c>
      <c r="K568" s="127">
        <f t="shared" ref="K568:L571" si="469">I568*$G568</f>
        <v>2.710644347427039</v>
      </c>
      <c r="L568" s="127">
        <f t="shared" si="469"/>
        <v>50.259265962458322</v>
      </c>
      <c r="M568" s="127">
        <f t="shared" ref="M568:M571" si="470">K568+L568</f>
        <v>52.969910309885364</v>
      </c>
      <c r="N568" s="128">
        <f t="shared" ref="N568:N572" si="471">IF(D568&gt;0,M568/H568,"PO")</f>
        <v>6.8019146465342359</v>
      </c>
      <c r="O568" s="129" t="str">
        <f t="shared" si="433"/>
        <v>OK</v>
      </c>
    </row>
    <row r="569" spans="1:15" ht="14.25" customHeight="1" x14ac:dyDescent="0.25">
      <c r="A569" s="120" t="str">
        <f>IF(N569=MIN(N561:N584),1,"")</f>
        <v/>
      </c>
      <c r="B569" s="121">
        <f t="shared" si="465"/>
        <v>42332.333333333314</v>
      </c>
      <c r="C569" s="122">
        <f t="shared" si="468"/>
        <v>24</v>
      </c>
      <c r="D569" s="123">
        <v>1440.4049480939809</v>
      </c>
      <c r="E569" s="124">
        <v>39.705413818359375</v>
      </c>
      <c r="F569" s="125">
        <v>12.596488650821668</v>
      </c>
      <c r="G569" s="126">
        <v>2.3935861587524414</v>
      </c>
      <c r="H569" s="127">
        <f>HLOOKUP('Operational Worksheet'!E569,$B$773:$U$775,3)</f>
        <v>7.7875000000000005</v>
      </c>
      <c r="I569" s="127">
        <f t="shared" si="431"/>
        <v>1.1316262153617989</v>
      </c>
      <c r="J569" s="127">
        <f t="shared" si="432"/>
        <v>20.988245563843694</v>
      </c>
      <c r="K569" s="127">
        <f t="shared" si="469"/>
        <v>2.7086448459714112</v>
      </c>
      <c r="L569" s="127">
        <f t="shared" si="469"/>
        <v>50.237174078113597</v>
      </c>
      <c r="M569" s="127">
        <f t="shared" si="470"/>
        <v>52.94581892408501</v>
      </c>
      <c r="N569" s="128">
        <f t="shared" si="471"/>
        <v>6.7988210496417345</v>
      </c>
      <c r="O569" s="129" t="str">
        <f t="shared" si="433"/>
        <v>OK</v>
      </c>
    </row>
    <row r="570" spans="1:15" ht="14.25" customHeight="1" x14ac:dyDescent="0.25">
      <c r="A570" s="120" t="str">
        <f>IF(N570=MIN(N561:N584),1,"")</f>
        <v/>
      </c>
      <c r="B570" s="121">
        <f t="shared" si="465"/>
        <v>42332.374999999978</v>
      </c>
      <c r="C570" s="122">
        <f t="shared" si="468"/>
        <v>24</v>
      </c>
      <c r="D570" s="123">
        <v>1445.2390755359597</v>
      </c>
      <c r="E570" s="124">
        <v>39.705413818359375</v>
      </c>
      <c r="F570" s="125">
        <v>12.600245312597592</v>
      </c>
      <c r="G570" s="126">
        <v>2.3935861587524414</v>
      </c>
      <c r="H570" s="127">
        <f>HLOOKUP('Operational Worksheet'!E570,$B$773:$U$775,3)</f>
        <v>7.7875000000000005</v>
      </c>
      <c r="I570" s="127">
        <f t="shared" si="431"/>
        <v>1.1278410801309968</v>
      </c>
      <c r="J570" s="127">
        <f t="shared" si="432"/>
        <v>20.924281153289218</v>
      </c>
      <c r="K570" s="127">
        <f t="shared" si="469"/>
        <v>2.699584798673957</v>
      </c>
      <c r="L570" s="127">
        <f t="shared" si="469"/>
        <v>50.084069750357642</v>
      </c>
      <c r="M570" s="127">
        <f t="shared" si="470"/>
        <v>52.783654549031596</v>
      </c>
      <c r="N570" s="128">
        <f t="shared" si="471"/>
        <v>6.7779973738724353</v>
      </c>
      <c r="O570" s="129" t="str">
        <f t="shared" si="433"/>
        <v>OK</v>
      </c>
    </row>
    <row r="571" spans="1:15" ht="14.25" customHeight="1" x14ac:dyDescent="0.25">
      <c r="A571" s="120" t="str">
        <f>IF(N571=MIN(N561:N584),1,"")</f>
        <v/>
      </c>
      <c r="B571" s="121">
        <f t="shared" si="465"/>
        <v>42332.416666666642</v>
      </c>
      <c r="C571" s="122">
        <f t="shared" si="468"/>
        <v>24</v>
      </c>
      <c r="D571" s="123">
        <v>1439.6523832605915</v>
      </c>
      <c r="E571" s="124">
        <v>39.705413818359375</v>
      </c>
      <c r="F571" s="125">
        <v>12.600187089627385</v>
      </c>
      <c r="G571" s="126">
        <v>2.3935861587524414</v>
      </c>
      <c r="H571" s="127">
        <f>HLOOKUP('Operational Worksheet'!E571,$B$773:$U$775,3)</f>
        <v>7.7875000000000005</v>
      </c>
      <c r="I571" s="127">
        <f t="shared" si="431"/>
        <v>1.1322177623936553</v>
      </c>
      <c r="J571" s="127">
        <f t="shared" si="432"/>
        <v>21.005382526173261</v>
      </c>
      <c r="K571" s="127">
        <f t="shared" si="469"/>
        <v>2.7100607647591137</v>
      </c>
      <c r="L571" s="127">
        <f t="shared" si="469"/>
        <v>50.278192873948711</v>
      </c>
      <c r="M571" s="127">
        <f t="shared" si="470"/>
        <v>52.988253638707825</v>
      </c>
      <c r="N571" s="128">
        <f t="shared" si="471"/>
        <v>6.8042701301711483</v>
      </c>
      <c r="O571" s="129" t="str">
        <f t="shared" si="433"/>
        <v>OK</v>
      </c>
    </row>
    <row r="572" spans="1:15" ht="14.25" customHeight="1" x14ac:dyDescent="0.25">
      <c r="A572" s="120" t="str">
        <f>IF(N572=MIN(N561:N584),1,"")</f>
        <v/>
      </c>
      <c r="B572" s="121">
        <f t="shared" si="465"/>
        <v>42332.458333333307</v>
      </c>
      <c r="C572" s="122">
        <f t="shared" si="468"/>
        <v>24</v>
      </c>
      <c r="D572" s="123">
        <v>1449.8725340928656</v>
      </c>
      <c r="E572" s="124">
        <v>40.009108149703579</v>
      </c>
      <c r="F572" s="125">
        <v>12.593923678702739</v>
      </c>
      <c r="G572" s="126">
        <v>2.215087890625</v>
      </c>
      <c r="H572" s="127">
        <f>HLOOKUP('Operational Worksheet'!E572,$B$773:$U$775,3)</f>
        <v>7.7875000000000005</v>
      </c>
      <c r="I572" s="128">
        <f t="shared" si="431"/>
        <v>1.1242367599023688</v>
      </c>
      <c r="J572" s="127">
        <f t="shared" si="432"/>
        <v>20.846947657917774</v>
      </c>
      <c r="K572" s="127">
        <f>I572*$G572</f>
        <v>2.4902832330552229</v>
      </c>
      <c r="L572" s="127">
        <f>J572*$G572</f>
        <v>46.177821313546865</v>
      </c>
      <c r="M572" s="127">
        <f>K572+L572</f>
        <v>48.668104546602088</v>
      </c>
      <c r="N572" s="128">
        <f t="shared" si="471"/>
        <v>6.2495158326294815</v>
      </c>
      <c r="O572" s="129" t="str">
        <f t="shared" si="433"/>
        <v>OK</v>
      </c>
    </row>
    <row r="573" spans="1:15" ht="14.25" customHeight="1" x14ac:dyDescent="0.25">
      <c r="A573" s="120" t="str">
        <f>IF(N573=MIN(N561:N584),1,"")</f>
        <v/>
      </c>
      <c r="B573" s="121">
        <f t="shared" si="465"/>
        <v>42332.499999999971</v>
      </c>
      <c r="C573" s="122">
        <f>DAY(B573)</f>
        <v>24</v>
      </c>
      <c r="D573" s="123">
        <v>1436.4362609753709</v>
      </c>
      <c r="E573" s="124">
        <v>40.016338348388672</v>
      </c>
      <c r="F573" s="125">
        <v>12.603134572650148</v>
      </c>
      <c r="G573" s="126">
        <v>2.3524930477142334</v>
      </c>
      <c r="H573" s="127">
        <f>HLOOKUP('Operational Worksheet'!E573,$B$773:$U$775,3)</f>
        <v>7.7875000000000005</v>
      </c>
      <c r="I573" s="127">
        <f t="shared" si="431"/>
        <v>1.134752751850747</v>
      </c>
      <c r="J573" s="127">
        <f t="shared" si="432"/>
        <v>21.05733738148718</v>
      </c>
      <c r="K573" s="127">
        <f>I573*$G573</f>
        <v>2.6694979596034769</v>
      </c>
      <c r="L573" s="127">
        <f>J573*$G573</f>
        <v>49.537239793321632</v>
      </c>
      <c r="M573" s="127">
        <f>K573+L573</f>
        <v>52.206737752925108</v>
      </c>
      <c r="N573" s="128">
        <f>IF(D573&gt;0,M573/H573,"PO")</f>
        <v>6.7039149602472046</v>
      </c>
      <c r="O573" s="129" t="str">
        <f t="shared" si="433"/>
        <v>OK</v>
      </c>
    </row>
    <row r="574" spans="1:15" ht="14.25" customHeight="1" x14ac:dyDescent="0.25">
      <c r="A574" s="120" t="str">
        <f>IF(N574=MIN(N561:N584),1,"")</f>
        <v/>
      </c>
      <c r="B574" s="121">
        <f t="shared" si="465"/>
        <v>42332.541666666635</v>
      </c>
      <c r="C574" s="122">
        <f t="shared" ref="C574:C578" si="472">DAY(B574)</f>
        <v>24</v>
      </c>
      <c r="D574" s="123">
        <v>1444.3499788493195</v>
      </c>
      <c r="E574" s="124">
        <v>40.016338348388672</v>
      </c>
      <c r="F574" s="125">
        <v>12.595179627313907</v>
      </c>
      <c r="G574" s="126">
        <v>2.4005417823791504</v>
      </c>
      <c r="H574" s="127">
        <f>HLOOKUP('Operational Worksheet'!E574,$B$773:$U$775,3)</f>
        <v>7.7875000000000005</v>
      </c>
      <c r="I574" s="127">
        <f t="shared" si="431"/>
        <v>1.1285353438358365</v>
      </c>
      <c r="J574" s="127">
        <f t="shared" si="432"/>
        <v>20.928744105106489</v>
      </c>
      <c r="K574" s="127">
        <f t="shared" ref="K574:L577" si="473">I574*$G574</f>
        <v>2.7090962457695462</v>
      </c>
      <c r="L574" s="127">
        <f t="shared" si="473"/>
        <v>50.24032467702947</v>
      </c>
      <c r="M574" s="127">
        <f t="shared" ref="M574:M577" si="474">K574+L574</f>
        <v>52.949420922799014</v>
      </c>
      <c r="N574" s="128">
        <f t="shared" ref="N574:N578" si="475">IF(D574&gt;0,M574/H574,"PO")</f>
        <v>6.7992835855921685</v>
      </c>
      <c r="O574" s="129" t="str">
        <f t="shared" si="433"/>
        <v>OK</v>
      </c>
    </row>
    <row r="575" spans="1:15" ht="14.25" customHeight="1" x14ac:dyDescent="0.25">
      <c r="A575" s="120" t="str">
        <f>IF(N575=MIN(N561:N584),1,"")</f>
        <v/>
      </c>
      <c r="B575" s="121">
        <f t="shared" si="465"/>
        <v>42332.583333333299</v>
      </c>
      <c r="C575" s="122">
        <f t="shared" si="472"/>
        <v>24</v>
      </c>
      <c r="D575" s="123">
        <v>1436.6034744379967</v>
      </c>
      <c r="E575" s="124">
        <v>40.016338348388672</v>
      </c>
      <c r="F575" s="125">
        <v>12.591658715632596</v>
      </c>
      <c r="G575" s="126">
        <v>2.3455371856689453</v>
      </c>
      <c r="H575" s="127">
        <f>HLOOKUP('Operational Worksheet'!E575,$B$773:$U$775,3)</f>
        <v>7.7875000000000005</v>
      </c>
      <c r="I575" s="127">
        <f t="shared" si="431"/>
        <v>1.1346206723032328</v>
      </c>
      <c r="J575" s="127">
        <f t="shared" si="432"/>
        <v>21.035714764187357</v>
      </c>
      <c r="K575" s="127">
        <f t="shared" si="473"/>
        <v>2.6612949785159312</v>
      </c>
      <c r="L575" s="127">
        <f t="shared" si="473"/>
        <v>49.340051206526695</v>
      </c>
      <c r="M575" s="127">
        <f t="shared" si="474"/>
        <v>52.001346185042628</v>
      </c>
      <c r="N575" s="128">
        <f t="shared" si="475"/>
        <v>6.6775404410969665</v>
      </c>
      <c r="O575" s="129" t="str">
        <f t="shared" si="433"/>
        <v>OK</v>
      </c>
    </row>
    <row r="576" spans="1:15" ht="14.25" customHeight="1" x14ac:dyDescent="0.25">
      <c r="A576" s="120" t="str">
        <f>IF(N576=MIN(N561:N584),1,"")</f>
        <v/>
      </c>
      <c r="B576" s="121">
        <f t="shared" si="465"/>
        <v>42332.624999999964</v>
      </c>
      <c r="C576" s="122">
        <f t="shared" si="472"/>
        <v>24</v>
      </c>
      <c r="D576" s="123">
        <v>1450.7827688160278</v>
      </c>
      <c r="E576" s="124">
        <v>40.015264093161512</v>
      </c>
      <c r="F576" s="125">
        <v>12.606116818927278</v>
      </c>
      <c r="G576" s="126">
        <v>2.3455371856689453</v>
      </c>
      <c r="H576" s="127">
        <f>HLOOKUP('Operational Worksheet'!E576,$B$773:$U$775,3)</f>
        <v>7.7875000000000005</v>
      </c>
      <c r="I576" s="127">
        <f t="shared" si="431"/>
        <v>1.1235314032094756</v>
      </c>
      <c r="J576" s="127">
        <f t="shared" si="432"/>
        <v>20.85403894762003</v>
      </c>
      <c r="K576" s="127">
        <f t="shared" si="473"/>
        <v>2.6352846854946343</v>
      </c>
      <c r="L576" s="127">
        <f t="shared" si="473"/>
        <v>48.913923823031261</v>
      </c>
      <c r="M576" s="127">
        <f t="shared" si="474"/>
        <v>51.549208508525894</v>
      </c>
      <c r="N576" s="128">
        <f t="shared" si="475"/>
        <v>6.619481028382137</v>
      </c>
      <c r="O576" s="129" t="str">
        <f t="shared" si="433"/>
        <v>OK</v>
      </c>
    </row>
    <row r="577" spans="1:15" ht="14.25" customHeight="1" x14ac:dyDescent="0.25">
      <c r="A577" s="120" t="str">
        <f>IF(N577=MIN(N561:N584),1,"")</f>
        <v/>
      </c>
      <c r="B577" s="121">
        <f t="shared" si="465"/>
        <v>42332.666666666628</v>
      </c>
      <c r="C577" s="122">
        <f t="shared" si="472"/>
        <v>24</v>
      </c>
      <c r="D577" s="123">
        <v>1437.8946120561588</v>
      </c>
      <c r="E577" s="124">
        <v>39.440422058105469</v>
      </c>
      <c r="F577" s="125">
        <v>12.596498974419552</v>
      </c>
      <c r="G577" s="126">
        <v>2.3455371856689453</v>
      </c>
      <c r="H577" s="127">
        <f>HLOOKUP('Operational Worksheet'!E577,$B$773:$U$775,3)</f>
        <v>7.7875000000000005</v>
      </c>
      <c r="I577" s="127">
        <f t="shared" si="431"/>
        <v>1.1336018553328706</v>
      </c>
      <c r="J577" s="127">
        <f t="shared" si="432"/>
        <v>21.024904944442611</v>
      </c>
      <c r="K577" s="127">
        <f t="shared" si="473"/>
        <v>2.6589053054265563</v>
      </c>
      <c r="L577" s="127">
        <f t="shared" si="473"/>
        <v>49.314696372345011</v>
      </c>
      <c r="M577" s="127">
        <f t="shared" si="474"/>
        <v>51.973601677771569</v>
      </c>
      <c r="N577" s="128">
        <f t="shared" si="475"/>
        <v>6.6739777435340697</v>
      </c>
      <c r="O577" s="129" t="str">
        <f t="shared" si="433"/>
        <v>OK</v>
      </c>
    </row>
    <row r="578" spans="1:15" ht="14.25" customHeight="1" x14ac:dyDescent="0.25">
      <c r="A578" s="120" t="str">
        <f>IF(N578=MIN(N561:N584),1,"")</f>
        <v/>
      </c>
      <c r="B578" s="121">
        <f t="shared" si="465"/>
        <v>42332.708333333292</v>
      </c>
      <c r="C578" s="122">
        <f t="shared" si="472"/>
        <v>24</v>
      </c>
      <c r="D578" s="123">
        <v>1439.2625362037568</v>
      </c>
      <c r="E578" s="124">
        <v>39.440422058105469</v>
      </c>
      <c r="F578" s="125">
        <v>12.591215141647552</v>
      </c>
      <c r="G578" s="126">
        <v>2.3455371856689453</v>
      </c>
      <c r="H578" s="127">
        <f>HLOOKUP('Operational Worksheet'!E578,$B$773:$U$775,3)</f>
        <v>7.7875000000000005</v>
      </c>
      <c r="I578" s="128">
        <f t="shared" si="431"/>
        <v>1.1325244415097042</v>
      </c>
      <c r="J578" s="127">
        <f t="shared" si="432"/>
        <v>20.99611125824234</v>
      </c>
      <c r="K578" s="127">
        <f>I578*$G578</f>
        <v>2.6563781912399658</v>
      </c>
      <c r="L578" s="127">
        <f>J578*$G578</f>
        <v>49.247159710649797</v>
      </c>
      <c r="M578" s="127">
        <f>K578+L578</f>
        <v>51.903537901889763</v>
      </c>
      <c r="N578" s="128">
        <f t="shared" si="475"/>
        <v>6.6649807899697926</v>
      </c>
      <c r="O578" s="129" t="str">
        <f t="shared" si="433"/>
        <v>OK</v>
      </c>
    </row>
    <row r="579" spans="1:15" ht="14.25" customHeight="1" x14ac:dyDescent="0.25">
      <c r="A579" s="120" t="str">
        <f>IF(N579=MIN(N561:N584),1,"")</f>
        <v/>
      </c>
      <c r="B579" s="121">
        <f>B578+1/24</f>
        <v>42332.749999999956</v>
      </c>
      <c r="C579" s="122">
        <f>DAY(B579)</f>
        <v>24</v>
      </c>
      <c r="D579" s="123">
        <v>1447.7064194966856</v>
      </c>
      <c r="E579" s="124">
        <v>39.440422058105469</v>
      </c>
      <c r="F579" s="125">
        <v>12.614687082379303</v>
      </c>
      <c r="G579" s="126">
        <v>2.3455371856689453</v>
      </c>
      <c r="H579" s="127">
        <f>HLOOKUP('Operational Worksheet'!E579,$B$773:$U$775,3)</f>
        <v>7.7875000000000005</v>
      </c>
      <c r="I579" s="127">
        <f t="shared" si="431"/>
        <v>1.1259188866252947</v>
      </c>
      <c r="J579" s="127">
        <f t="shared" si="432"/>
        <v>20.912561131169067</v>
      </c>
      <c r="K579" s="127">
        <f>I579*$G579</f>
        <v>2.640884616626606</v>
      </c>
      <c r="L579" s="127">
        <f>J579*$G579</f>
        <v>49.051189780732066</v>
      </c>
      <c r="M579" s="127">
        <f>K579+L579</f>
        <v>51.692074397358674</v>
      </c>
      <c r="N579" s="128">
        <f>IF(D579&gt;0,M579/H579,"PO")</f>
        <v>6.6378265678791228</v>
      </c>
      <c r="O579" s="129" t="str">
        <f t="shared" si="433"/>
        <v>OK</v>
      </c>
    </row>
    <row r="580" spans="1:15" ht="14.25" customHeight="1" x14ac:dyDescent="0.25">
      <c r="A580" s="120" t="str">
        <f>IF(N580=MIN(N561:N584),1,"")</f>
        <v/>
      </c>
      <c r="B580" s="121">
        <f t="shared" ref="B580:B584" si="476">B579+1/24</f>
        <v>42332.791666666621</v>
      </c>
      <c r="C580" s="122">
        <f t="shared" ref="C580:C584" si="477">DAY(B580)</f>
        <v>24</v>
      </c>
      <c r="D580" s="123">
        <v>1438.9863146564855</v>
      </c>
      <c r="E580" s="124">
        <v>39.440422058105469</v>
      </c>
      <c r="F580" s="125">
        <v>12.59133342557779</v>
      </c>
      <c r="G580" s="126">
        <v>2.3455371856689453</v>
      </c>
      <c r="H580" s="127">
        <f>HLOOKUP('Operational Worksheet'!E580,$B$773:$U$775,3)</f>
        <v>7.7875000000000005</v>
      </c>
      <c r="I580" s="127">
        <f t="shared" si="431"/>
        <v>1.1327418359702144</v>
      </c>
      <c r="J580" s="127">
        <f t="shared" si="432"/>
        <v>21.000338859095137</v>
      </c>
      <c r="K580" s="127">
        <f t="shared" ref="K580:L583" si="478">I580*$G580</f>
        <v>2.6568880980310507</v>
      </c>
      <c r="L580" s="127">
        <f t="shared" si="478"/>
        <v>49.257075705656199</v>
      </c>
      <c r="M580" s="127">
        <f t="shared" ref="M580:M583" si="479">K580+L580</f>
        <v>51.913963803687253</v>
      </c>
      <c r="N580" s="128">
        <f t="shared" ref="N580:N584" si="480">IF(D580&gt;0,M580/H580,"PO")</f>
        <v>6.6663195895585554</v>
      </c>
      <c r="O580" s="129" t="str">
        <f t="shared" si="433"/>
        <v>OK</v>
      </c>
    </row>
    <row r="581" spans="1:15" ht="14.25" customHeight="1" x14ac:dyDescent="0.25">
      <c r="A581" s="120" t="str">
        <f>IF(N581=MIN(N561:N584),1,"")</f>
        <v/>
      </c>
      <c r="B581" s="121">
        <f t="shared" si="476"/>
        <v>42332.833333333285</v>
      </c>
      <c r="C581" s="122">
        <f t="shared" si="477"/>
        <v>24</v>
      </c>
      <c r="D581" s="123">
        <v>1455.7141724540415</v>
      </c>
      <c r="E581" s="124">
        <v>39.440422058105469</v>
      </c>
      <c r="F581" s="125">
        <v>12.608141201213437</v>
      </c>
      <c r="G581" s="126">
        <v>2.3111858367919922</v>
      </c>
      <c r="H581" s="127">
        <f>HLOOKUP('Operational Worksheet'!E581,$B$773:$U$775,3)</f>
        <v>7.7875000000000005</v>
      </c>
      <c r="I581" s="127">
        <f t="shared" si="431"/>
        <v>1.1197253079237028</v>
      </c>
      <c r="J581" s="127">
        <f t="shared" si="432"/>
        <v>20.786730977483547</v>
      </c>
      <c r="K581" s="127">
        <f t="shared" si="478"/>
        <v>2.5878932727708142</v>
      </c>
      <c r="L581" s="127">
        <f t="shared" si="478"/>
        <v>48.041998228365337</v>
      </c>
      <c r="M581" s="127">
        <f t="shared" si="479"/>
        <v>50.62989150113615</v>
      </c>
      <c r="N581" s="128">
        <f t="shared" si="480"/>
        <v>6.5014306903545611</v>
      </c>
      <c r="O581" s="129" t="str">
        <f t="shared" si="433"/>
        <v>OK</v>
      </c>
    </row>
    <row r="582" spans="1:15" ht="14.25" customHeight="1" x14ac:dyDescent="0.25">
      <c r="A582" s="120" t="str">
        <f>IF(N582=MIN(N561:N584),1,"")</f>
        <v/>
      </c>
      <c r="B582" s="121">
        <f t="shared" si="476"/>
        <v>42332.874999999949</v>
      </c>
      <c r="C582" s="122">
        <f t="shared" si="477"/>
        <v>24</v>
      </c>
      <c r="D582" s="123">
        <v>1441.0586111934228</v>
      </c>
      <c r="E582" s="124">
        <v>39.440422058105469</v>
      </c>
      <c r="F582" s="125">
        <v>12.596031512807759</v>
      </c>
      <c r="G582" s="126">
        <v>2.3111858367919922</v>
      </c>
      <c r="H582" s="127">
        <f>HLOOKUP('Operational Worksheet'!E582,$B$773:$U$775,3)</f>
        <v>7.7875000000000005</v>
      </c>
      <c r="I582" s="127">
        <f t="shared" si="431"/>
        <v>1.1311129105637863</v>
      </c>
      <c r="J582" s="127">
        <f t="shared" si="432"/>
        <v>20.977963974486116</v>
      </c>
      <c r="K582" s="127">
        <f t="shared" si="478"/>
        <v>2.6142121387075901</v>
      </c>
      <c r="L582" s="127">
        <f t="shared" si="478"/>
        <v>48.483973222564963</v>
      </c>
      <c r="M582" s="127">
        <f t="shared" si="479"/>
        <v>51.098185361272556</v>
      </c>
      <c r="N582" s="128">
        <f t="shared" si="480"/>
        <v>6.5615647333897336</v>
      </c>
      <c r="O582" s="129" t="str">
        <f t="shared" si="433"/>
        <v>OK</v>
      </c>
    </row>
    <row r="583" spans="1:15" ht="14.25" customHeight="1" x14ac:dyDescent="0.25">
      <c r="A583" s="120" t="str">
        <f>IF(N583=MIN(N561:N584),1,"")</f>
        <v/>
      </c>
      <c r="B583" s="121">
        <f t="shared" si="476"/>
        <v>42332.916666666613</v>
      </c>
      <c r="C583" s="122">
        <f t="shared" si="477"/>
        <v>24</v>
      </c>
      <c r="D583" s="123">
        <v>1444.5143664377206</v>
      </c>
      <c r="E583" s="124">
        <v>39.440422058105469</v>
      </c>
      <c r="F583" s="125">
        <v>12.608147032530212</v>
      </c>
      <c r="G583" s="126">
        <v>2.3111858367919922</v>
      </c>
      <c r="H583" s="127">
        <f>HLOOKUP('Operational Worksheet'!E583,$B$773:$U$775,3)</f>
        <v>7.7875000000000005</v>
      </c>
      <c r="I583" s="127">
        <f t="shared" si="431"/>
        <v>1.1284069150656499</v>
      </c>
      <c r="J583" s="127">
        <f t="shared" si="432"/>
        <v>20.947907186755646</v>
      </c>
      <c r="K583" s="127">
        <f t="shared" si="478"/>
        <v>2.6079580802378746</v>
      </c>
      <c r="L583" s="127">
        <f t="shared" si="478"/>
        <v>48.414506400462834</v>
      </c>
      <c r="M583" s="127">
        <f t="shared" si="479"/>
        <v>51.022464480700705</v>
      </c>
      <c r="N583" s="128">
        <f t="shared" si="480"/>
        <v>6.5518413458363662</v>
      </c>
      <c r="O583" s="129" t="str">
        <f t="shared" si="433"/>
        <v>OK</v>
      </c>
    </row>
    <row r="584" spans="1:15" ht="14.25" customHeight="1" x14ac:dyDescent="0.25">
      <c r="A584" s="130" t="str">
        <f>IF(N584=MIN(N561:N584),1,"")</f>
        <v/>
      </c>
      <c r="B584" s="131">
        <f t="shared" si="476"/>
        <v>42332.958333333278</v>
      </c>
      <c r="C584" s="132">
        <f t="shared" si="477"/>
        <v>24</v>
      </c>
      <c r="D584" s="123">
        <v>1439.1575469272905</v>
      </c>
      <c r="E584" s="124">
        <v>39.464578627619723</v>
      </c>
      <c r="F584" s="125">
        <v>12.58895071079438</v>
      </c>
      <c r="G584" s="126">
        <v>2.3111858367919922</v>
      </c>
      <c r="H584" s="133">
        <f>HLOOKUP('Operational Worksheet'!E584,$B$773:$U$775,3)</f>
        <v>7.7875000000000005</v>
      </c>
      <c r="I584" s="134">
        <f t="shared" si="431"/>
        <v>1.1326070613187365</v>
      </c>
      <c r="J584" s="133">
        <f t="shared" si="432"/>
        <v>20.993866703763299</v>
      </c>
      <c r="K584" s="133">
        <f>I584*$G584</f>
        <v>2.617665398770463</v>
      </c>
      <c r="L584" s="133">
        <f>J584*$G584</f>
        <v>48.520727385236725</v>
      </c>
      <c r="M584" s="133">
        <f>K584+L584</f>
        <v>51.138392784007188</v>
      </c>
      <c r="N584" s="134">
        <f t="shared" si="480"/>
        <v>6.5667278053299754</v>
      </c>
      <c r="O584" s="135" t="str">
        <f t="shared" si="433"/>
        <v>OK</v>
      </c>
    </row>
    <row r="585" spans="1:15" ht="14.25" customHeight="1" x14ac:dyDescent="0.25">
      <c r="A585" s="110" t="str">
        <f>IF(N585=MIN(N585:N608),1,"")</f>
        <v/>
      </c>
      <c r="B585" s="111">
        <f>'[1]Turbidity Daily Data Sheet'!B40</f>
        <v>42333</v>
      </c>
      <c r="C585" s="112">
        <f>DAY(B585)</f>
        <v>25</v>
      </c>
      <c r="D585" s="123">
        <v>1451.8879795086123</v>
      </c>
      <c r="E585" s="124">
        <v>39.85028076171875</v>
      </c>
      <c r="F585" s="125">
        <v>12.599177684384131</v>
      </c>
      <c r="G585" s="126">
        <v>2.3111858367919922</v>
      </c>
      <c r="H585" s="117">
        <f>HLOOKUP('Operational Worksheet'!E585,$B$773:$U$775,3)</f>
        <v>7.7875000000000005</v>
      </c>
      <c r="I585" s="117">
        <f t="shared" ref="I585:I648" si="481">$G$768/D585*$H$768</f>
        <v>1.1226761451332281</v>
      </c>
      <c r="J585" s="117">
        <f t="shared" ref="J585:J648" si="482">$G$769*F585/D585*$H$769</f>
        <v>20.826693842286577</v>
      </c>
      <c r="K585" s="117">
        <f>I585*$G585</f>
        <v>2.5947132059361477</v>
      </c>
      <c r="L585" s="117">
        <f>J585*$G585</f>
        <v>48.134359835495736</v>
      </c>
      <c r="M585" s="117">
        <f>K585+L585</f>
        <v>50.729073041431882</v>
      </c>
      <c r="N585" s="118">
        <f>IF(D585&gt;0,M585/H585,"PO")</f>
        <v>6.5141666826878817</v>
      </c>
      <c r="O585" s="119" t="str">
        <f t="shared" ref="O585:O648" si="483">+IF(N585&gt;=1, "OK","Alarm")</f>
        <v>OK</v>
      </c>
    </row>
    <row r="586" spans="1:15" ht="14.25" customHeight="1" x14ac:dyDescent="0.25">
      <c r="A586" s="120" t="str">
        <f>IF(N586=MIN(N585:N608),1,"")</f>
        <v/>
      </c>
      <c r="B586" s="121">
        <f>B585+1/24</f>
        <v>42333.041666666664</v>
      </c>
      <c r="C586" s="122">
        <f>DAY(B586)</f>
        <v>25</v>
      </c>
      <c r="D586" s="123">
        <v>1438.6879554651441</v>
      </c>
      <c r="E586" s="124">
        <v>39.85028076171875</v>
      </c>
      <c r="F586" s="125">
        <v>12.593754485785025</v>
      </c>
      <c r="G586" s="126">
        <v>2.3181416988372803</v>
      </c>
      <c r="H586" s="127">
        <f>HLOOKUP('Operational Worksheet'!E586,$B$773:$U$775,3)</f>
        <v>7.7875000000000005</v>
      </c>
      <c r="I586" s="127">
        <f t="shared" si="481"/>
        <v>1.1329767471869898</v>
      </c>
      <c r="J586" s="127">
        <f t="shared" si="482"/>
        <v>21.008732749216605</v>
      </c>
      <c r="K586" s="127">
        <f t="shared" ref="K586:L589" si="484">I586*$G586</f>
        <v>2.6264006414671845</v>
      </c>
      <c r="L586" s="127">
        <f t="shared" si="484"/>
        <v>48.701219425687384</v>
      </c>
      <c r="M586" s="127">
        <f t="shared" ref="M586:M589" si="485">K586+L586</f>
        <v>51.327620067154569</v>
      </c>
      <c r="N586" s="128">
        <f t="shared" ref="N586:N590" si="486">IF(D586&gt;0,M586/H586,"PO")</f>
        <v>6.5910266538882265</v>
      </c>
      <c r="O586" s="129" t="str">
        <f t="shared" si="483"/>
        <v>OK</v>
      </c>
    </row>
    <row r="587" spans="1:15" ht="14.25" customHeight="1" x14ac:dyDescent="0.25">
      <c r="A587" s="120" t="str">
        <f>IF(N587=MIN(N585:N608),1,"")</f>
        <v/>
      </c>
      <c r="B587" s="121">
        <f t="shared" ref="B587:B602" si="487">B586+1/24</f>
        <v>42333.083333333328</v>
      </c>
      <c r="C587" s="122">
        <f t="shared" ref="C587" si="488">DAY(B587)</f>
        <v>25</v>
      </c>
      <c r="D587" s="123">
        <v>1441.604964909146</v>
      </c>
      <c r="E587" s="124">
        <v>39.85028076171875</v>
      </c>
      <c r="F587" s="125">
        <v>12.594375543563773</v>
      </c>
      <c r="G587" s="126">
        <v>2.3181416988372803</v>
      </c>
      <c r="H587" s="127">
        <f>HLOOKUP('Operational Worksheet'!E587,$B$773:$U$775,3)</f>
        <v>7.7875000000000005</v>
      </c>
      <c r="I587" s="127">
        <f t="shared" si="481"/>
        <v>1.130684230199448</v>
      </c>
      <c r="J587" s="127">
        <f t="shared" si="482"/>
        <v>20.967256662062074</v>
      </c>
      <c r="K587" s="127">
        <f t="shared" si="484"/>
        <v>2.6210862622430708</v>
      </c>
      <c r="L587" s="127">
        <f t="shared" si="484"/>
        <v>48.605071978549859</v>
      </c>
      <c r="M587" s="127">
        <f t="shared" si="485"/>
        <v>51.226158240792927</v>
      </c>
      <c r="N587" s="128">
        <f t="shared" si="486"/>
        <v>6.5779978479348857</v>
      </c>
      <c r="O587" s="129" t="str">
        <f t="shared" si="483"/>
        <v>OK</v>
      </c>
    </row>
    <row r="588" spans="1:15" ht="14.25" customHeight="1" x14ac:dyDescent="0.25">
      <c r="A588" s="120" t="str">
        <f>IF(N588=MIN(N585:N608),1,"")</f>
        <v/>
      </c>
      <c r="B588" s="121">
        <f t="shared" si="487"/>
        <v>42333.124999999993</v>
      </c>
      <c r="C588" s="122">
        <f>DAY(B588)</f>
        <v>25</v>
      </c>
      <c r="D588" s="123">
        <v>1441.8373624479977</v>
      </c>
      <c r="E588" s="124">
        <v>39.85028076171875</v>
      </c>
      <c r="F588" s="125">
        <v>12.6037849390743</v>
      </c>
      <c r="G588" s="126">
        <v>2.3181416988372803</v>
      </c>
      <c r="H588" s="127">
        <f>HLOOKUP('Operational Worksheet'!E588,$B$773:$U$775,3)</f>
        <v>7.7875000000000005</v>
      </c>
      <c r="I588" s="127">
        <f t="shared" si="481"/>
        <v>1.1305019847956594</v>
      </c>
      <c r="J588" s="127">
        <f t="shared" si="482"/>
        <v>20.979539469292465</v>
      </c>
      <c r="K588" s="127">
        <f t="shared" si="484"/>
        <v>2.620663791573127</v>
      </c>
      <c r="L588" s="127">
        <f t="shared" si="484"/>
        <v>48.633545266169406</v>
      </c>
      <c r="M588" s="127">
        <f t="shared" si="485"/>
        <v>51.254209057742536</v>
      </c>
      <c r="N588" s="128">
        <f t="shared" si="486"/>
        <v>6.5815998790038561</v>
      </c>
      <c r="O588" s="129" t="str">
        <f t="shared" si="483"/>
        <v>OK</v>
      </c>
    </row>
    <row r="589" spans="1:15" ht="14.25" customHeight="1" x14ac:dyDescent="0.25">
      <c r="A589" s="120" t="str">
        <f>IF(N589=MIN(N585:N608),1,"")</f>
        <v/>
      </c>
      <c r="B589" s="121">
        <f t="shared" si="487"/>
        <v>42333.166666666657</v>
      </c>
      <c r="C589" s="122">
        <f t="shared" ref="C589:C590" si="489">DAY(B589)</f>
        <v>25</v>
      </c>
      <c r="D589" s="123">
        <v>1438.0408067466574</v>
      </c>
      <c r="E589" s="124">
        <v>39.85028076171875</v>
      </c>
      <c r="F589" s="125">
        <v>12.59475786654561</v>
      </c>
      <c r="G589" s="126">
        <v>2.167039155960083</v>
      </c>
      <c r="H589" s="127">
        <f>HLOOKUP('Operational Worksheet'!E589,$B$773:$U$775,3)</f>
        <v>7.7875000000000005</v>
      </c>
      <c r="I589" s="127">
        <f t="shared" si="481"/>
        <v>1.1334866106391099</v>
      </c>
      <c r="J589" s="127">
        <f t="shared" si="482"/>
        <v>21.019861702043265</v>
      </c>
      <c r="K589" s="127">
        <f t="shared" si="484"/>
        <v>2.4563098680114321</v>
      </c>
      <c r="L589" s="127">
        <f t="shared" si="484"/>
        <v>45.550863361193514</v>
      </c>
      <c r="M589" s="127">
        <f t="shared" si="485"/>
        <v>48.007173229204945</v>
      </c>
      <c r="N589" s="128">
        <f t="shared" si="486"/>
        <v>6.1646450374580981</v>
      </c>
      <c r="O589" s="129" t="str">
        <f t="shared" si="483"/>
        <v>OK</v>
      </c>
    </row>
    <row r="590" spans="1:15" ht="14.25" customHeight="1" x14ac:dyDescent="0.25">
      <c r="A590" s="120" t="str">
        <f>IF(N590=MIN(N585:N608),1,"")</f>
        <v/>
      </c>
      <c r="B590" s="121">
        <f t="shared" si="487"/>
        <v>42333.208333333321</v>
      </c>
      <c r="C590" s="122">
        <f t="shared" si="489"/>
        <v>25</v>
      </c>
      <c r="D590" s="123">
        <v>1442.4977945282694</v>
      </c>
      <c r="E590" s="124">
        <v>39.85028076171875</v>
      </c>
      <c r="F590" s="125">
        <v>12.609292115730078</v>
      </c>
      <c r="G590" s="126">
        <v>2.167039155960083</v>
      </c>
      <c r="H590" s="127">
        <f>HLOOKUP('Operational Worksheet'!E590,$B$773:$U$775,3)</f>
        <v>7.7875000000000005</v>
      </c>
      <c r="I590" s="128">
        <f t="shared" si="481"/>
        <v>1.1299843966368408</v>
      </c>
      <c r="J590" s="127">
        <f t="shared" si="482"/>
        <v>20.979096947353508</v>
      </c>
      <c r="K590" s="127">
        <f>I590*$G590</f>
        <v>2.4487204331359633</v>
      </c>
      <c r="L590" s="127">
        <f>J590*$G590</f>
        <v>45.462524541597702</v>
      </c>
      <c r="M590" s="127">
        <f>K590+L590</f>
        <v>47.911244974733663</v>
      </c>
      <c r="N590" s="128">
        <f t="shared" si="486"/>
        <v>6.1523268025340174</v>
      </c>
      <c r="O590" s="129" t="str">
        <f t="shared" si="483"/>
        <v>OK</v>
      </c>
    </row>
    <row r="591" spans="1:15" ht="14.25" customHeight="1" x14ac:dyDescent="0.25">
      <c r="A591" s="120" t="str">
        <f>IF(N591=MIN(N585:N608),1,"")</f>
        <v/>
      </c>
      <c r="B591" s="121">
        <f t="shared" si="487"/>
        <v>42333.249999999985</v>
      </c>
      <c r="C591" s="122">
        <f>DAY(B591)</f>
        <v>25</v>
      </c>
      <c r="D591" s="123">
        <v>1447.2779792663093</v>
      </c>
      <c r="E591" s="124">
        <v>39.85028076171875</v>
      </c>
      <c r="F591" s="125">
        <v>12.599017321043066</v>
      </c>
      <c r="G591" s="126">
        <v>2.167039155960083</v>
      </c>
      <c r="H591" s="127">
        <f>HLOOKUP('Operational Worksheet'!E591,$B$773:$U$775,3)</f>
        <v>7.7875000000000005</v>
      </c>
      <c r="I591" s="127">
        <f t="shared" si="481"/>
        <v>1.126252194361667</v>
      </c>
      <c r="J591" s="127">
        <f t="shared" si="482"/>
        <v>20.892766976135565</v>
      </c>
      <c r="K591" s="127">
        <f>I591*$G591</f>
        <v>2.440632604667698</v>
      </c>
      <c r="L591" s="127">
        <f>J591*$G591</f>
        <v>45.275444113635508</v>
      </c>
      <c r="M591" s="127">
        <f>K591+L591</f>
        <v>47.716076718303206</v>
      </c>
      <c r="N591" s="128">
        <f>IF(D591&gt;0,M591/H591,"PO")</f>
        <v>6.1272650681609253</v>
      </c>
      <c r="O591" s="129" t="str">
        <f t="shared" si="483"/>
        <v>OK</v>
      </c>
    </row>
    <row r="592" spans="1:15" ht="14.25" customHeight="1" x14ac:dyDescent="0.25">
      <c r="A592" s="120" t="str">
        <f>IF(N592=MIN(N585:N608),1,"")</f>
        <v/>
      </c>
      <c r="B592" s="121">
        <f t="shared" si="487"/>
        <v>42333.29166666665</v>
      </c>
      <c r="C592" s="122">
        <f t="shared" ref="C592:C596" si="490">DAY(B592)</f>
        <v>25</v>
      </c>
      <c r="D592" s="123">
        <v>1445.29260779324</v>
      </c>
      <c r="E592" s="124">
        <v>39.846845163644133</v>
      </c>
      <c r="F592" s="125">
        <v>12.606553951618242</v>
      </c>
      <c r="G592" s="126">
        <v>2.167039155960083</v>
      </c>
      <c r="H592" s="127">
        <f>HLOOKUP('Operational Worksheet'!E592,$B$773:$U$775,3)</f>
        <v>7.7875000000000005</v>
      </c>
      <c r="I592" s="127">
        <f t="shared" si="481"/>
        <v>1.1277993059749905</v>
      </c>
      <c r="J592" s="127">
        <f t="shared" si="482"/>
        <v>20.933982032939376</v>
      </c>
      <c r="K592" s="127">
        <f t="shared" ref="K592:L595" si="491">I592*$G592</f>
        <v>2.4439852561124109</v>
      </c>
      <c r="L592" s="127">
        <f t="shared" si="491"/>
        <v>45.364758755544486</v>
      </c>
      <c r="M592" s="127">
        <f t="shared" ref="M592:M595" si="492">K592+L592</f>
        <v>47.808744011656898</v>
      </c>
      <c r="N592" s="128">
        <f t="shared" ref="N592:N596" si="493">IF(D592&gt;0,M592/H592,"PO")</f>
        <v>6.1391645600843523</v>
      </c>
      <c r="O592" s="129" t="str">
        <f t="shared" si="483"/>
        <v>OK</v>
      </c>
    </row>
    <row r="593" spans="1:15" ht="14.25" customHeight="1" x14ac:dyDescent="0.25">
      <c r="A593" s="120" t="str">
        <f>IF(N593=MIN(N585:N608),1,"")</f>
        <v/>
      </c>
      <c r="B593" s="121">
        <f t="shared" si="487"/>
        <v>42333.333333333314</v>
      </c>
      <c r="C593" s="122">
        <f t="shared" si="490"/>
        <v>25</v>
      </c>
      <c r="D593" s="123">
        <v>1440.3005162078186</v>
      </c>
      <c r="E593" s="124">
        <v>39.825542449951172</v>
      </c>
      <c r="F593" s="125">
        <v>12.608948912921752</v>
      </c>
      <c r="G593" s="126">
        <v>2.167039155960083</v>
      </c>
      <c r="H593" s="127">
        <f>HLOOKUP('Operational Worksheet'!E593,$B$773:$U$775,3)</f>
        <v>7.7875000000000005</v>
      </c>
      <c r="I593" s="127">
        <f t="shared" si="481"/>
        <v>1.1317082661968649</v>
      </c>
      <c r="J593" s="127">
        <f t="shared" si="482"/>
        <v>21.010530129287147</v>
      </c>
      <c r="K593" s="127">
        <f t="shared" si="491"/>
        <v>2.452456125972303</v>
      </c>
      <c r="L593" s="127">
        <f t="shared" si="491"/>
        <v>45.530641477644316</v>
      </c>
      <c r="M593" s="127">
        <f t="shared" si="492"/>
        <v>47.983097603616621</v>
      </c>
      <c r="N593" s="128">
        <f t="shared" si="493"/>
        <v>6.1615534643488434</v>
      </c>
      <c r="O593" s="129" t="str">
        <f t="shared" si="483"/>
        <v>OK</v>
      </c>
    </row>
    <row r="594" spans="1:15" ht="14.25" customHeight="1" x14ac:dyDescent="0.25">
      <c r="A594" s="120" t="str">
        <f>IF(N594=MIN(N585:N608),1,"")</f>
        <v/>
      </c>
      <c r="B594" s="121">
        <f t="shared" si="487"/>
        <v>42333.374999999978</v>
      </c>
      <c r="C594" s="122">
        <f t="shared" si="490"/>
        <v>25</v>
      </c>
      <c r="D594" s="123">
        <v>1445.5068472322614</v>
      </c>
      <c r="E594" s="124">
        <v>39.839444551241691</v>
      </c>
      <c r="F594" s="125">
        <v>12.61005089155922</v>
      </c>
      <c r="G594" s="126">
        <v>2.167039155960083</v>
      </c>
      <c r="H594" s="127">
        <f>HLOOKUP('Operational Worksheet'!E594,$B$773:$U$775,3)</f>
        <v>7.7875000000000005</v>
      </c>
      <c r="I594" s="127">
        <f t="shared" si="481"/>
        <v>1.1276321541616985</v>
      </c>
      <c r="J594" s="127">
        <f t="shared" si="482"/>
        <v>20.936685424693351</v>
      </c>
      <c r="K594" s="127">
        <f t="shared" si="491"/>
        <v>2.4436230315880172</v>
      </c>
      <c r="L594" s="127">
        <f t="shared" si="491"/>
        <v>45.370617111329253</v>
      </c>
      <c r="M594" s="127">
        <f t="shared" si="492"/>
        <v>47.814240142917271</v>
      </c>
      <c r="N594" s="128">
        <f t="shared" si="493"/>
        <v>6.1398703233280596</v>
      </c>
      <c r="O594" s="129" t="str">
        <f t="shared" si="483"/>
        <v>OK</v>
      </c>
    </row>
    <row r="595" spans="1:15" ht="14.25" customHeight="1" x14ac:dyDescent="0.25">
      <c r="A595" s="120" t="str">
        <f>IF(N595=MIN(N585:N608),1,"")</f>
        <v/>
      </c>
      <c r="B595" s="121">
        <f t="shared" si="487"/>
        <v>42333.416666666642</v>
      </c>
      <c r="C595" s="122">
        <f t="shared" si="490"/>
        <v>25</v>
      </c>
      <c r="D595" s="123">
        <v>1440.1411339791164</v>
      </c>
      <c r="E595" s="124">
        <v>39.936439593189597</v>
      </c>
      <c r="F595" s="125">
        <v>12.608046673289023</v>
      </c>
      <c r="G595" s="126">
        <v>2.3868441581726074</v>
      </c>
      <c r="H595" s="127">
        <f>HLOOKUP('Operational Worksheet'!E595,$B$773:$U$775,3)</f>
        <v>7.7875000000000005</v>
      </c>
      <c r="I595" s="127">
        <f t="shared" si="481"/>
        <v>1.1318335137725721</v>
      </c>
      <c r="J595" s="127">
        <f t="shared" si="482"/>
        <v>21.011351805699096</v>
      </c>
      <c r="K595" s="127">
        <f t="shared" si="491"/>
        <v>2.7015102103720392</v>
      </c>
      <c r="L595" s="127">
        <f t="shared" si="491"/>
        <v>50.150822312742356</v>
      </c>
      <c r="M595" s="127">
        <f t="shared" si="492"/>
        <v>52.852332523114399</v>
      </c>
      <c r="N595" s="128">
        <f t="shared" si="493"/>
        <v>6.7868163753597939</v>
      </c>
      <c r="O595" s="129" t="str">
        <f t="shared" si="483"/>
        <v>OK</v>
      </c>
    </row>
    <row r="596" spans="1:15" ht="14.25" customHeight="1" x14ac:dyDescent="0.25">
      <c r="A596" s="120" t="str">
        <f>IF(N596=MIN(N585:N608),1,"")</f>
        <v/>
      </c>
      <c r="B596" s="121">
        <f t="shared" si="487"/>
        <v>42333.458333333307</v>
      </c>
      <c r="C596" s="122">
        <f t="shared" si="490"/>
        <v>25</v>
      </c>
      <c r="D596" s="123">
        <v>1433.4262286159492</v>
      </c>
      <c r="E596" s="124">
        <v>39.928009033203125</v>
      </c>
      <c r="F596" s="125">
        <v>12.602617189872909</v>
      </c>
      <c r="G596" s="126">
        <v>2.3868441581726074</v>
      </c>
      <c r="H596" s="127">
        <f>HLOOKUP('Operational Worksheet'!E596,$B$773:$U$775,3)</f>
        <v>7.7875000000000005</v>
      </c>
      <c r="I596" s="128">
        <f t="shared" si="481"/>
        <v>1.1371356038139846</v>
      </c>
      <c r="J596" s="127">
        <f t="shared" si="482"/>
        <v>21.100689140381785</v>
      </c>
      <c r="K596" s="127">
        <f>I596*$G596</f>
        <v>2.7141654730134896</v>
      </c>
      <c r="L596" s="127">
        <f>J596*$G596</f>
        <v>50.364056608136444</v>
      </c>
      <c r="M596" s="127">
        <f>K596+L596</f>
        <v>53.078222081149931</v>
      </c>
      <c r="N596" s="128">
        <f t="shared" si="493"/>
        <v>6.815823060179766</v>
      </c>
      <c r="O596" s="129" t="str">
        <f t="shared" si="483"/>
        <v>OK</v>
      </c>
    </row>
    <row r="597" spans="1:15" ht="14.25" customHeight="1" x14ac:dyDescent="0.25">
      <c r="A597" s="120" t="str">
        <f>IF(N597=MIN(N585:N608),1,"")</f>
        <v/>
      </c>
      <c r="B597" s="121">
        <f t="shared" si="487"/>
        <v>42333.499999999971</v>
      </c>
      <c r="C597" s="122">
        <f>DAY(B597)</f>
        <v>25</v>
      </c>
      <c r="D597" s="123">
        <v>1740.1979474675511</v>
      </c>
      <c r="E597" s="124">
        <v>39.928009033203125</v>
      </c>
      <c r="F597" s="125">
        <v>12.617551412543593</v>
      </c>
      <c r="G597" s="126">
        <v>2.3868441581726074</v>
      </c>
      <c r="H597" s="127">
        <f>HLOOKUP('Operational Worksheet'!E597,$B$773:$U$775,3)</f>
        <v>7.7875000000000005</v>
      </c>
      <c r="I597" s="127">
        <f t="shared" si="481"/>
        <v>0.93667505031371956</v>
      </c>
      <c r="J597" s="127">
        <f t="shared" si="482"/>
        <v>17.401539539897247</v>
      </c>
      <c r="K597" s="127">
        <f>I597*$G597</f>
        <v>2.2356973719473348</v>
      </c>
      <c r="L597" s="127">
        <f>J597*$G597</f>
        <v>41.534762994013384</v>
      </c>
      <c r="M597" s="127">
        <f>K597+L597</f>
        <v>43.770460365960716</v>
      </c>
      <c r="N597" s="128">
        <f>IF(D597&gt;0,M597/H597,"PO")</f>
        <v>5.6206048624026597</v>
      </c>
      <c r="O597" s="129" t="str">
        <f t="shared" si="483"/>
        <v>OK</v>
      </c>
    </row>
    <row r="598" spans="1:15" ht="14.25" customHeight="1" x14ac:dyDescent="0.25">
      <c r="A598" s="120" t="str">
        <f>IF(N598=MIN(N585:N608),1,"")</f>
        <v/>
      </c>
      <c r="B598" s="121">
        <f t="shared" si="487"/>
        <v>42333.541666666635</v>
      </c>
      <c r="C598" s="122">
        <f t="shared" ref="C598:C602" si="494">DAY(B598)</f>
        <v>25</v>
      </c>
      <c r="D598" s="123">
        <v>1793.7966336375157</v>
      </c>
      <c r="E598" s="124">
        <v>39.928009033203125</v>
      </c>
      <c r="F598" s="125">
        <v>12.603935254344693</v>
      </c>
      <c r="G598" s="126">
        <v>2.3868441581726074</v>
      </c>
      <c r="H598" s="127">
        <f>HLOOKUP('Operational Worksheet'!E598,$B$773:$U$775,3)</f>
        <v>7.7875000000000005</v>
      </c>
      <c r="I598" s="127">
        <f t="shared" si="481"/>
        <v>0.90868717748379102</v>
      </c>
      <c r="J598" s="127">
        <f t="shared" si="482"/>
        <v>16.863363462270812</v>
      </c>
      <c r="K598" s="127">
        <f t="shared" ref="K598:L601" si="495">I598*$G598</f>
        <v>2.1688946811835419</v>
      </c>
      <c r="L598" s="127">
        <f t="shared" si="495"/>
        <v>40.250220567062485</v>
      </c>
      <c r="M598" s="127">
        <f t="shared" ref="M598:M601" si="496">K598+L598</f>
        <v>42.41911524824603</v>
      </c>
      <c r="N598" s="128">
        <f t="shared" ref="N598:N602" si="497">IF(D598&gt;0,M598/H598,"PO")</f>
        <v>5.4470773994537431</v>
      </c>
      <c r="O598" s="129" t="str">
        <f t="shared" si="483"/>
        <v>OK</v>
      </c>
    </row>
    <row r="599" spans="1:15" ht="14.25" customHeight="1" x14ac:dyDescent="0.25">
      <c r="A599" s="120">
        <f>IF(N599=MIN(N585:N608),1,"")</f>
        <v>1</v>
      </c>
      <c r="B599" s="121">
        <f t="shared" si="487"/>
        <v>42333.583333333299</v>
      </c>
      <c r="C599" s="122">
        <f t="shared" si="494"/>
        <v>25</v>
      </c>
      <c r="D599" s="123">
        <v>1797.8031643974439</v>
      </c>
      <c r="E599" s="124">
        <v>39.928009033203125</v>
      </c>
      <c r="F599" s="125">
        <v>12.612259723455111</v>
      </c>
      <c r="G599" s="126">
        <v>2.3868441581726074</v>
      </c>
      <c r="H599" s="127">
        <f>HLOOKUP('Operational Worksheet'!E599,$B$773:$U$775,3)</f>
        <v>7.7875000000000005</v>
      </c>
      <c r="I599" s="127">
        <f t="shared" si="481"/>
        <v>0.90666210421668425</v>
      </c>
      <c r="J599" s="127">
        <f t="shared" si="482"/>
        <v>16.836895126078744</v>
      </c>
      <c r="K599" s="127">
        <f t="shared" si="495"/>
        <v>2.1640611468860764</v>
      </c>
      <c r="L599" s="127">
        <f t="shared" si="495"/>
        <v>40.187044773445898</v>
      </c>
      <c r="M599" s="127">
        <f t="shared" si="496"/>
        <v>42.351105920331975</v>
      </c>
      <c r="N599" s="128">
        <f t="shared" si="497"/>
        <v>5.438344259432677</v>
      </c>
      <c r="O599" s="129" t="str">
        <f t="shared" si="483"/>
        <v>OK</v>
      </c>
    </row>
    <row r="600" spans="1:15" ht="14.25" customHeight="1" x14ac:dyDescent="0.25">
      <c r="A600" s="120" t="str">
        <f>IF(N600=MIN(N585:N608),1,"")</f>
        <v/>
      </c>
      <c r="B600" s="121">
        <f t="shared" si="487"/>
        <v>42333.624999999964</v>
      </c>
      <c r="C600" s="122">
        <f t="shared" si="494"/>
        <v>25</v>
      </c>
      <c r="D600" s="123">
        <v>1556.8876050802937</v>
      </c>
      <c r="E600" s="124">
        <v>39.928009033203125</v>
      </c>
      <c r="F600" s="125">
        <v>12.610385954033925</v>
      </c>
      <c r="G600" s="126">
        <v>2.3868441581726074</v>
      </c>
      <c r="H600" s="127">
        <f>HLOOKUP('Operational Worksheet'!E600,$B$773:$U$775,3)</f>
        <v>7.7875000000000005</v>
      </c>
      <c r="I600" s="127">
        <f t="shared" si="481"/>
        <v>1.0469606121091417</v>
      </c>
      <c r="J600" s="127">
        <f t="shared" si="482"/>
        <v>19.439377762995651</v>
      </c>
      <c r="K600" s="127">
        <f t="shared" si="495"/>
        <v>2.4989318208495219</v>
      </c>
      <c r="L600" s="127">
        <f t="shared" si="495"/>
        <v>46.398765252116661</v>
      </c>
      <c r="M600" s="127">
        <f t="shared" si="496"/>
        <v>48.897697072966182</v>
      </c>
      <c r="N600" s="128">
        <f t="shared" si="497"/>
        <v>6.2789980190004719</v>
      </c>
      <c r="O600" s="129" t="str">
        <f t="shared" si="483"/>
        <v>OK</v>
      </c>
    </row>
    <row r="601" spans="1:15" ht="14.25" customHeight="1" x14ac:dyDescent="0.25">
      <c r="A601" s="120" t="str">
        <f>IF(N601=MIN(N585:N608),1,"")</f>
        <v/>
      </c>
      <c r="B601" s="121">
        <f t="shared" si="487"/>
        <v>42333.666666666628</v>
      </c>
      <c r="C601" s="122">
        <f t="shared" si="494"/>
        <v>25</v>
      </c>
      <c r="D601" s="123">
        <v>1454.9925634994331</v>
      </c>
      <c r="E601" s="124">
        <v>39.928009033203125</v>
      </c>
      <c r="F601" s="125">
        <v>12.620706682506173</v>
      </c>
      <c r="G601" s="126">
        <v>2.2426974773406982</v>
      </c>
      <c r="H601" s="127">
        <f>HLOOKUP('Operational Worksheet'!E601,$B$773:$U$775,3)</f>
        <v>7.7875000000000005</v>
      </c>
      <c r="I601" s="127">
        <f t="shared" si="481"/>
        <v>1.120280639840284</v>
      </c>
      <c r="J601" s="127">
        <f t="shared" si="482"/>
        <v>20.817766906769908</v>
      </c>
      <c r="K601" s="127">
        <f t="shared" si="495"/>
        <v>2.5124505648834283</v>
      </c>
      <c r="L601" s="127">
        <f t="shared" si="495"/>
        <v>46.687953325679544</v>
      </c>
      <c r="M601" s="127">
        <f t="shared" si="496"/>
        <v>49.200403890562974</v>
      </c>
      <c r="N601" s="128">
        <f t="shared" si="497"/>
        <v>6.3178688784029493</v>
      </c>
      <c r="O601" s="129" t="str">
        <f t="shared" si="483"/>
        <v>OK</v>
      </c>
    </row>
    <row r="602" spans="1:15" ht="14.25" customHeight="1" x14ac:dyDescent="0.25">
      <c r="A602" s="120" t="str">
        <f>IF(N602=MIN(N585:N608),1,"")</f>
        <v/>
      </c>
      <c r="B602" s="121">
        <f t="shared" si="487"/>
        <v>42333.708333333292</v>
      </c>
      <c r="C602" s="122">
        <f t="shared" si="494"/>
        <v>25</v>
      </c>
      <c r="D602" s="123">
        <v>1437.7964535007125</v>
      </c>
      <c r="E602" s="124">
        <v>39.438473316806295</v>
      </c>
      <c r="F602" s="125">
        <v>12.603935363610621</v>
      </c>
      <c r="G602" s="126">
        <v>2.2425904273986816</v>
      </c>
      <c r="H602" s="127">
        <f>HLOOKUP('Operational Worksheet'!E602,$B$773:$U$775,3)</f>
        <v>7.7875000000000005</v>
      </c>
      <c r="I602" s="128">
        <f t="shared" si="481"/>
        <v>1.1336792464825705</v>
      </c>
      <c r="J602" s="127">
        <f t="shared" si="482"/>
        <v>21.038753294330963</v>
      </c>
      <c r="K602" s="127">
        <f>I602*$G602</f>
        <v>2.5423782259023628</v>
      </c>
      <c r="L602" s="127">
        <f>J602*$G602</f>
        <v>47.181306742269093</v>
      </c>
      <c r="M602" s="127">
        <f>K602+L602</f>
        <v>49.723684968171455</v>
      </c>
      <c r="N602" s="128">
        <f t="shared" si="497"/>
        <v>6.3850638803430435</v>
      </c>
      <c r="O602" s="129" t="str">
        <f t="shared" si="483"/>
        <v>OK</v>
      </c>
    </row>
    <row r="603" spans="1:15" ht="14.25" customHeight="1" x14ac:dyDescent="0.25">
      <c r="A603" s="120" t="str">
        <f>IF(N603=MIN(N585:N608),1,"")</f>
        <v/>
      </c>
      <c r="B603" s="121">
        <f>B602+1/24</f>
        <v>42333.749999999956</v>
      </c>
      <c r="C603" s="122">
        <f>DAY(B603)</f>
        <v>25</v>
      </c>
      <c r="D603" s="123">
        <v>1452.2139468820546</v>
      </c>
      <c r="E603" s="124">
        <v>38.868038177490234</v>
      </c>
      <c r="F603" s="125">
        <v>12.612047303903607</v>
      </c>
      <c r="G603" s="126">
        <v>2.2425904273986816</v>
      </c>
      <c r="H603" s="127">
        <f>HLOOKUP('Operational Worksheet'!E603,$B$773:$U$775,3)</f>
        <v>8.5750000000000011</v>
      </c>
      <c r="I603" s="127">
        <f t="shared" si="481"/>
        <v>1.1224241465933151</v>
      </c>
      <c r="J603" s="127">
        <f t="shared" si="482"/>
        <v>20.843287997857953</v>
      </c>
      <c r="K603" s="127">
        <f>I603*$G603</f>
        <v>2.5171376466313031</v>
      </c>
      <c r="L603" s="127">
        <f>J603*$G603</f>
        <v>46.74295813951008</v>
      </c>
      <c r="M603" s="127">
        <f>K603+L603</f>
        <v>49.260095786141385</v>
      </c>
      <c r="N603" s="128">
        <f>IF(D603&gt;0,M603/H603,"PO")</f>
        <v>5.7446175843896654</v>
      </c>
      <c r="O603" s="129" t="str">
        <f t="shared" si="483"/>
        <v>OK</v>
      </c>
    </row>
    <row r="604" spans="1:15" ht="14.25" customHeight="1" x14ac:dyDescent="0.25">
      <c r="A604" s="120" t="str">
        <f>IF(N604=MIN(N585:N608),1,"")</f>
        <v/>
      </c>
      <c r="B604" s="121">
        <f t="shared" ref="B604:B608" si="498">B603+1/24</f>
        <v>42333.791666666621</v>
      </c>
      <c r="C604" s="122">
        <f t="shared" ref="C604:C608" si="499">DAY(B604)</f>
        <v>25</v>
      </c>
      <c r="D604" s="123">
        <v>1441.2698899822872</v>
      </c>
      <c r="E604" s="124">
        <v>38.868038177490234</v>
      </c>
      <c r="F604" s="125">
        <v>12.614360554524216</v>
      </c>
      <c r="G604" s="126">
        <v>2.2425904273986816</v>
      </c>
      <c r="H604" s="127">
        <f>HLOOKUP('Operational Worksheet'!E604,$B$773:$U$775,3)</f>
        <v>8.5750000000000011</v>
      </c>
      <c r="I604" s="127">
        <f t="shared" si="481"/>
        <v>1.1309470983398067</v>
      </c>
      <c r="J604" s="127">
        <f t="shared" si="482"/>
        <v>21.005410257498813</v>
      </c>
      <c r="K604" s="127">
        <f t="shared" ref="K604:L607" si="500">I604*$G604</f>
        <v>2.536251136631166</v>
      </c>
      <c r="L604" s="127">
        <f t="shared" si="500"/>
        <v>47.106531967048916</v>
      </c>
      <c r="M604" s="127">
        <f t="shared" ref="M604:M607" si="501">K604+L604</f>
        <v>49.642783103680081</v>
      </c>
      <c r="N604" s="128">
        <f t="shared" ref="N604:N608" si="502">IF(D604&gt;0,M604/H604,"PO")</f>
        <v>5.7892458429947613</v>
      </c>
      <c r="O604" s="129" t="str">
        <f t="shared" si="483"/>
        <v>OK</v>
      </c>
    </row>
    <row r="605" spans="1:15" ht="14.25" customHeight="1" x14ac:dyDescent="0.25">
      <c r="A605" s="120" t="str">
        <f>IF(N605=MIN(N585:N608),1,"")</f>
        <v/>
      </c>
      <c r="B605" s="121">
        <f t="shared" si="498"/>
        <v>42333.833333333285</v>
      </c>
      <c r="C605" s="122">
        <f t="shared" si="499"/>
        <v>25</v>
      </c>
      <c r="D605" s="123">
        <v>1440.6183216865238</v>
      </c>
      <c r="E605" s="124">
        <v>38.868038177490234</v>
      </c>
      <c r="F605" s="125">
        <v>12.608498788885113</v>
      </c>
      <c r="G605" s="126">
        <v>2.2425904273986816</v>
      </c>
      <c r="H605" s="127">
        <f>HLOOKUP('Operational Worksheet'!E605,$B$773:$U$775,3)</f>
        <v>8.5750000000000011</v>
      </c>
      <c r="I605" s="127">
        <f t="shared" si="481"/>
        <v>1.1314586073650432</v>
      </c>
      <c r="J605" s="127">
        <f t="shared" si="482"/>
        <v>21.005145247561885</v>
      </c>
      <c r="K605" s="127">
        <f t="shared" si="500"/>
        <v>2.5373982418746892</v>
      </c>
      <c r="L605" s="127">
        <f t="shared" si="500"/>
        <v>47.105937658301194</v>
      </c>
      <c r="M605" s="127">
        <f t="shared" si="501"/>
        <v>49.643335900175884</v>
      </c>
      <c r="N605" s="128">
        <f t="shared" si="502"/>
        <v>5.7893103090584113</v>
      </c>
      <c r="O605" s="129" t="str">
        <f t="shared" si="483"/>
        <v>OK</v>
      </c>
    </row>
    <row r="606" spans="1:15" ht="14.25" customHeight="1" x14ac:dyDescent="0.25">
      <c r="A606" s="120" t="str">
        <f>IF(N606=MIN(N585:N608),1,"")</f>
        <v/>
      </c>
      <c r="B606" s="121">
        <f t="shared" si="498"/>
        <v>42333.874999999949</v>
      </c>
      <c r="C606" s="122">
        <f t="shared" si="499"/>
        <v>25</v>
      </c>
      <c r="D606" s="123">
        <v>1441.3565889670685</v>
      </c>
      <c r="E606" s="124">
        <v>38.868038177490234</v>
      </c>
      <c r="F606" s="125">
        <v>12.613748566078417</v>
      </c>
      <c r="G606" s="126">
        <v>2.2425904273986816</v>
      </c>
      <c r="H606" s="127">
        <f>HLOOKUP('Operational Worksheet'!E606,$B$773:$U$775,3)</f>
        <v>8.5750000000000011</v>
      </c>
      <c r="I606" s="127">
        <f t="shared" si="481"/>
        <v>1.1308790707843648</v>
      </c>
      <c r="J606" s="127">
        <f t="shared" si="482"/>
        <v>21.003127741125457</v>
      </c>
      <c r="K606" s="127">
        <f t="shared" si="500"/>
        <v>2.5360985786865324</v>
      </c>
      <c r="L606" s="127">
        <f t="shared" si="500"/>
        <v>47.101413217679642</v>
      </c>
      <c r="M606" s="127">
        <f t="shared" si="501"/>
        <v>49.637511796366176</v>
      </c>
      <c r="N606" s="128">
        <f t="shared" si="502"/>
        <v>5.7886311132788535</v>
      </c>
      <c r="O606" s="129" t="str">
        <f t="shared" si="483"/>
        <v>OK</v>
      </c>
    </row>
    <row r="607" spans="1:15" ht="14.25" customHeight="1" x14ac:dyDescent="0.25">
      <c r="A607" s="120" t="str">
        <f>IF(N607=MIN(N585:N608),1,"")</f>
        <v/>
      </c>
      <c r="B607" s="121">
        <f t="shared" si="498"/>
        <v>42333.916666666613</v>
      </c>
      <c r="C607" s="122">
        <f t="shared" si="499"/>
        <v>25</v>
      </c>
      <c r="D607" s="123">
        <v>1440.2963213349631</v>
      </c>
      <c r="E607" s="124">
        <v>38.868038177490234</v>
      </c>
      <c r="F607" s="125">
        <v>12.609959289425722</v>
      </c>
      <c r="G607" s="126">
        <v>2.2425904273986816</v>
      </c>
      <c r="H607" s="127">
        <f>HLOOKUP('Operational Worksheet'!E607,$B$773:$U$775,3)</f>
        <v>8.5750000000000011</v>
      </c>
      <c r="I607" s="127">
        <f t="shared" si="481"/>
        <v>1.1317115623049061</v>
      </c>
      <c r="J607" s="127">
        <f t="shared" si="482"/>
        <v>21.012274936987357</v>
      </c>
      <c r="K607" s="127">
        <f t="shared" si="500"/>
        <v>2.537965516201389</v>
      </c>
      <c r="L607" s="127">
        <f t="shared" si="500"/>
        <v>47.121926631557081</v>
      </c>
      <c r="M607" s="127">
        <f t="shared" si="501"/>
        <v>49.65989214775847</v>
      </c>
      <c r="N607" s="128">
        <f t="shared" si="502"/>
        <v>5.7912410667939902</v>
      </c>
      <c r="O607" s="129" t="str">
        <f t="shared" si="483"/>
        <v>OK</v>
      </c>
    </row>
    <row r="608" spans="1:15" ht="14.25" customHeight="1" x14ac:dyDescent="0.25">
      <c r="A608" s="130" t="str">
        <f>IF(N608=MIN(N585:N608),1,"")</f>
        <v/>
      </c>
      <c r="B608" s="131">
        <f t="shared" si="498"/>
        <v>42333.958333333278</v>
      </c>
      <c r="C608" s="132">
        <f t="shared" si="499"/>
        <v>25</v>
      </c>
      <c r="D608" s="123">
        <v>1446.9090581141095</v>
      </c>
      <c r="E608" s="124">
        <v>38.868038177490234</v>
      </c>
      <c r="F608" s="125">
        <v>12.614539005526533</v>
      </c>
      <c r="G608" s="126">
        <v>2.2425904273986816</v>
      </c>
      <c r="H608" s="133">
        <f>HLOOKUP('Operational Worksheet'!E608,$B$773:$U$775,3)</f>
        <v>8.5750000000000011</v>
      </c>
      <c r="I608" s="134">
        <f t="shared" si="481"/>
        <v>1.1265393570239515</v>
      </c>
      <c r="J608" s="133">
        <f t="shared" si="482"/>
        <v>20.923839990831038</v>
      </c>
      <c r="K608" s="133">
        <f>I608*$G608</f>
        <v>2.5263663781497794</v>
      </c>
      <c r="L608" s="133">
        <f>J608*$G608</f>
        <v>46.923603267859406</v>
      </c>
      <c r="M608" s="133">
        <f>K608+L608</f>
        <v>49.449969646009187</v>
      </c>
      <c r="N608" s="134">
        <f t="shared" si="502"/>
        <v>5.7667603085724988</v>
      </c>
      <c r="O608" s="135" t="str">
        <f t="shared" si="483"/>
        <v>OK</v>
      </c>
    </row>
    <row r="609" spans="1:15" ht="14.25" customHeight="1" x14ac:dyDescent="0.25">
      <c r="A609" s="110" t="str">
        <f>IF(N609=MIN(N609:N632),1,"")</f>
        <v/>
      </c>
      <c r="B609" s="111">
        <f>'[1]Turbidity Daily Data Sheet'!B41</f>
        <v>42334</v>
      </c>
      <c r="C609" s="112">
        <f>DAY(B609)</f>
        <v>26</v>
      </c>
      <c r="D609" s="123">
        <v>1439.2824309137638</v>
      </c>
      <c r="E609" s="124">
        <v>38.868038177490234</v>
      </c>
      <c r="F609" s="125">
        <v>12.60190162973532</v>
      </c>
      <c r="G609" s="126">
        <v>2.3868441581726074</v>
      </c>
      <c r="H609" s="117">
        <f>HLOOKUP('Operational Worksheet'!E609,$B$773:$U$775,3)</f>
        <v>8.5750000000000011</v>
      </c>
      <c r="I609" s="117">
        <f t="shared" si="481"/>
        <v>1.1325087870107289</v>
      </c>
      <c r="J609" s="117">
        <f t="shared" si="482"/>
        <v>21.013640729403789</v>
      </c>
      <c r="K609" s="117">
        <f>I609*$G609</f>
        <v>2.7031219823557038</v>
      </c>
      <c r="L609" s="117">
        <f>J609*$G609</f>
        <v>50.156285616915405</v>
      </c>
      <c r="M609" s="117">
        <f>K609+L609</f>
        <v>52.859407599271108</v>
      </c>
      <c r="N609" s="118">
        <f>IF(D609&gt;0,M609/H609,"PO")</f>
        <v>6.1643624022473587</v>
      </c>
      <c r="O609" s="119" t="str">
        <f t="shared" si="483"/>
        <v>OK</v>
      </c>
    </row>
    <row r="610" spans="1:15" ht="14.25" customHeight="1" x14ac:dyDescent="0.25">
      <c r="A610" s="120" t="str">
        <f>IF(N610=MIN(N609:N632),1,"")</f>
        <v/>
      </c>
      <c r="B610" s="121">
        <f>B609+1/24</f>
        <v>42334.041666666664</v>
      </c>
      <c r="C610" s="122">
        <f>DAY(B610)</f>
        <v>26</v>
      </c>
      <c r="D610" s="123">
        <v>1460.4719602335902</v>
      </c>
      <c r="E610" s="124">
        <v>39.161881147975016</v>
      </c>
      <c r="F610" s="125">
        <v>12.614908641300238</v>
      </c>
      <c r="G610" s="126">
        <v>2.3868441581726074</v>
      </c>
      <c r="H610" s="127">
        <f>HLOOKUP('Operational Worksheet'!E610,$B$773:$U$775,3)</f>
        <v>8.5750000000000011</v>
      </c>
      <c r="I610" s="127">
        <f t="shared" si="481"/>
        <v>1.1160775724439758</v>
      </c>
      <c r="J610" s="127">
        <f t="shared" si="482"/>
        <v>20.730134890284514</v>
      </c>
      <c r="K610" s="127">
        <f t="shared" ref="K610:L613" si="503">I610*$G610</f>
        <v>2.6639032338553688</v>
      </c>
      <c r="L610" s="127">
        <f t="shared" si="503"/>
        <v>49.479601361005741</v>
      </c>
      <c r="M610" s="127">
        <f t="shared" ref="M610:M613" si="504">K610+L610</f>
        <v>52.143504594861113</v>
      </c>
      <c r="N610" s="128">
        <f t="shared" ref="N610:N614" si="505">IF(D610&gt;0,M610/H610,"PO")</f>
        <v>6.0808751714123739</v>
      </c>
      <c r="O610" s="129" t="str">
        <f t="shared" si="483"/>
        <v>OK</v>
      </c>
    </row>
    <row r="611" spans="1:15" ht="14.25" customHeight="1" x14ac:dyDescent="0.25">
      <c r="A611" s="120" t="str">
        <f>IF(N611=MIN(N609:N632),1,"")</f>
        <v/>
      </c>
      <c r="B611" s="121">
        <f t="shared" ref="B611:B626" si="506">B610+1/24</f>
        <v>42334.083333333328</v>
      </c>
      <c r="C611" s="122">
        <f t="shared" ref="C611" si="507">DAY(B611)</f>
        <v>26</v>
      </c>
      <c r="D611" s="123">
        <v>1439.8344065373317</v>
      </c>
      <c r="E611" s="124">
        <v>39.330890655517578</v>
      </c>
      <c r="F611" s="125">
        <v>12.603839017322496</v>
      </c>
      <c r="G611" s="126">
        <v>2.3868441581726074</v>
      </c>
      <c r="H611" s="127">
        <f>HLOOKUP('Operational Worksheet'!E611,$B$773:$U$775,3)</f>
        <v>7.7875000000000005</v>
      </c>
      <c r="I611" s="127">
        <f t="shared" si="481"/>
        <v>1.1320746278872436</v>
      </c>
      <c r="J611" s="127">
        <f t="shared" si="482"/>
        <v>21.008814280470311</v>
      </c>
      <c r="K611" s="127">
        <f t="shared" si="503"/>
        <v>2.7020857121880955</v>
      </c>
      <c r="L611" s="127">
        <f t="shared" si="503"/>
        <v>50.14476563547381</v>
      </c>
      <c r="M611" s="127">
        <f t="shared" si="504"/>
        <v>52.846851347661904</v>
      </c>
      <c r="N611" s="128">
        <f t="shared" si="505"/>
        <v>6.7861125326050598</v>
      </c>
      <c r="O611" s="129" t="str">
        <f t="shared" si="483"/>
        <v>OK</v>
      </c>
    </row>
    <row r="612" spans="1:15" ht="14.25" customHeight="1" x14ac:dyDescent="0.25">
      <c r="A612" s="120" t="str">
        <f>IF(N612=MIN(N609:N632),1,"")</f>
        <v/>
      </c>
      <c r="B612" s="121">
        <f t="shared" si="506"/>
        <v>42334.124999999993</v>
      </c>
      <c r="C612" s="122">
        <f>DAY(B612)</f>
        <v>26</v>
      </c>
      <c r="D612" s="123">
        <v>1453.4928557757269</v>
      </c>
      <c r="E612" s="124">
        <v>39.330890655517578</v>
      </c>
      <c r="F612" s="125">
        <v>12.608170585466857</v>
      </c>
      <c r="G612" s="126">
        <v>2.3868441581726074</v>
      </c>
      <c r="H612" s="127">
        <f>HLOOKUP('Operational Worksheet'!E612,$B$773:$U$775,3)</f>
        <v>7.7875000000000005</v>
      </c>
      <c r="I612" s="127">
        <f t="shared" si="481"/>
        <v>1.1214365406220532</v>
      </c>
      <c r="J612" s="127">
        <f t="shared" si="482"/>
        <v>20.818547050216456</v>
      </c>
      <c r="K612" s="127">
        <f t="shared" si="503"/>
        <v>2.6766942557450455</v>
      </c>
      <c r="L612" s="127">
        <f t="shared" si="503"/>
        <v>49.690627408450716</v>
      </c>
      <c r="M612" s="127">
        <f t="shared" si="504"/>
        <v>52.367321664195764</v>
      </c>
      <c r="N612" s="128">
        <f t="shared" si="505"/>
        <v>6.7245356872161492</v>
      </c>
      <c r="O612" s="129" t="str">
        <f t="shared" si="483"/>
        <v>OK</v>
      </c>
    </row>
    <row r="613" spans="1:15" ht="14.25" customHeight="1" x14ac:dyDescent="0.25">
      <c r="A613" s="120" t="str">
        <f>IF(N613=MIN(N609:N632),1,"")</f>
        <v/>
      </c>
      <c r="B613" s="121">
        <f t="shared" si="506"/>
        <v>42334.166666666657</v>
      </c>
      <c r="C613" s="122">
        <f t="shared" ref="C613:C614" si="508">DAY(B613)</f>
        <v>26</v>
      </c>
      <c r="D613" s="123">
        <v>1443.8714521385191</v>
      </c>
      <c r="E613" s="124">
        <v>39.330890655517578</v>
      </c>
      <c r="F613" s="125">
        <v>12.605475777669319</v>
      </c>
      <c r="G613" s="126">
        <v>2.3868441581726074</v>
      </c>
      <c r="H613" s="127">
        <f>HLOOKUP('Operational Worksheet'!E613,$B$773:$U$775,3)</f>
        <v>7.7875000000000005</v>
      </c>
      <c r="I613" s="127">
        <f t="shared" si="481"/>
        <v>1.1289093621082442</v>
      </c>
      <c r="J613" s="127">
        <f t="shared" si="482"/>
        <v>20.952794531395721</v>
      </c>
      <c r="K613" s="127">
        <f t="shared" si="503"/>
        <v>2.6945307160544276</v>
      </c>
      <c r="L613" s="127">
        <f t="shared" si="503"/>
        <v>50.011055224652836</v>
      </c>
      <c r="M613" s="127">
        <f t="shared" si="504"/>
        <v>52.705585940707266</v>
      </c>
      <c r="N613" s="128">
        <f t="shared" si="505"/>
        <v>6.7679725124503705</v>
      </c>
      <c r="O613" s="129" t="str">
        <f t="shared" si="483"/>
        <v>OK</v>
      </c>
    </row>
    <row r="614" spans="1:15" ht="14.25" customHeight="1" x14ac:dyDescent="0.25">
      <c r="A614" s="120" t="str">
        <f>IF(N614=MIN(N609:N632),1,"")</f>
        <v/>
      </c>
      <c r="B614" s="121">
        <f t="shared" si="506"/>
        <v>42334.208333333321</v>
      </c>
      <c r="C614" s="122">
        <f t="shared" si="508"/>
        <v>26</v>
      </c>
      <c r="D614" s="123">
        <v>1440.6157044772774</v>
      </c>
      <c r="E614" s="124">
        <v>39.330890655517578</v>
      </c>
      <c r="F614" s="125">
        <v>12.603569958868015</v>
      </c>
      <c r="G614" s="126">
        <v>2.3868441581726074</v>
      </c>
      <c r="H614" s="127">
        <f>HLOOKUP('Operational Worksheet'!E614,$B$773:$U$775,3)</f>
        <v>7.7875000000000005</v>
      </c>
      <c r="I614" s="128">
        <f t="shared" si="481"/>
        <v>1.1314606629194286</v>
      </c>
      <c r="J614" s="127">
        <f t="shared" si="482"/>
        <v>20.996972202422867</v>
      </c>
      <c r="K614" s="127">
        <f>I614*$G614</f>
        <v>2.700620273491344</v>
      </c>
      <c r="L614" s="127">
        <f>J614*$G614</f>
        <v>50.116500440665646</v>
      </c>
      <c r="M614" s="127">
        <f>K614+L614</f>
        <v>52.817120714156992</v>
      </c>
      <c r="N614" s="128">
        <f t="shared" si="505"/>
        <v>6.7822947947553116</v>
      </c>
      <c r="O614" s="129" t="str">
        <f t="shared" si="483"/>
        <v>OK</v>
      </c>
    </row>
    <row r="615" spans="1:15" ht="14.25" customHeight="1" x14ac:dyDescent="0.25">
      <c r="A615" s="120" t="str">
        <f>IF(N615=MIN(N609:N632),1,"")</f>
        <v/>
      </c>
      <c r="B615" s="121">
        <f t="shared" si="506"/>
        <v>42334.249999999985</v>
      </c>
      <c r="C615" s="122">
        <f>DAY(B615)</f>
        <v>26</v>
      </c>
      <c r="D615" s="123">
        <v>1451.635424419979</v>
      </c>
      <c r="E615" s="124">
        <v>39.330890655517578</v>
      </c>
      <c r="F615" s="125">
        <v>12.600208481322166</v>
      </c>
      <c r="G615" s="126">
        <v>2.3868441581726074</v>
      </c>
      <c r="H615" s="127">
        <f>HLOOKUP('Operational Worksheet'!E615,$B$773:$U$775,3)</f>
        <v>7.7875000000000005</v>
      </c>
      <c r="I615" s="127">
        <f t="shared" si="481"/>
        <v>1.1228714679867289</v>
      </c>
      <c r="J615" s="127">
        <f t="shared" si="482"/>
        <v>20.832021488629771</v>
      </c>
      <c r="K615" s="127">
        <f>I615*$G615</f>
        <v>2.6801192037428239</v>
      </c>
      <c r="L615" s="127">
        <f>J615*$G615</f>
        <v>49.722788793062193</v>
      </c>
      <c r="M615" s="127">
        <f>K615+L615</f>
        <v>52.40290799680502</v>
      </c>
      <c r="N615" s="128">
        <f>IF(D615&gt;0,M615/H615,"PO")</f>
        <v>6.7291053607454279</v>
      </c>
      <c r="O615" s="129" t="str">
        <f t="shared" si="483"/>
        <v>OK</v>
      </c>
    </row>
    <row r="616" spans="1:15" ht="14.25" customHeight="1" x14ac:dyDescent="0.25">
      <c r="A616" s="120" t="str">
        <f>IF(N616=MIN(N609:N632),1,"")</f>
        <v/>
      </c>
      <c r="B616" s="121">
        <f t="shared" si="506"/>
        <v>42334.29166666665</v>
      </c>
      <c r="C616" s="122">
        <f t="shared" ref="C616:C620" si="509">DAY(B616)</f>
        <v>26</v>
      </c>
      <c r="D616" s="123">
        <v>1441.6206813277456</v>
      </c>
      <c r="E616" s="124">
        <v>39.6050137860476</v>
      </c>
      <c r="F616" s="125">
        <v>12.599679653398034</v>
      </c>
      <c r="G616" s="126">
        <v>2.3868441581726074</v>
      </c>
      <c r="H616" s="127">
        <f>HLOOKUP('Operational Worksheet'!E616,$B$773:$U$775,3)</f>
        <v>7.7875000000000005</v>
      </c>
      <c r="I616" s="127">
        <f t="shared" si="481"/>
        <v>1.1306719035819848</v>
      </c>
      <c r="J616" s="127">
        <f t="shared" si="482"/>
        <v>20.975858323775348</v>
      </c>
      <c r="K616" s="127">
        <f t="shared" ref="K616:L619" si="510">I616*$G616</f>
        <v>2.6987376278745621</v>
      </c>
      <c r="L616" s="127">
        <f t="shared" si="510"/>
        <v>50.066104902759449</v>
      </c>
      <c r="M616" s="127">
        <f t="shared" ref="M616:M619" si="511">K616+L616</f>
        <v>52.764842530634013</v>
      </c>
      <c r="N616" s="128">
        <f t="shared" ref="N616:N620" si="512">IF(D616&gt;0,M616/H616,"PO")</f>
        <v>6.7755817053783636</v>
      </c>
      <c r="O616" s="129" t="str">
        <f t="shared" si="483"/>
        <v>OK</v>
      </c>
    </row>
    <row r="617" spans="1:15" ht="14.25" customHeight="1" x14ac:dyDescent="0.25">
      <c r="A617" s="120" t="str">
        <f>IF(N617=MIN(N609:N632),1,"")</f>
        <v/>
      </c>
      <c r="B617" s="121">
        <f t="shared" si="506"/>
        <v>42334.333333333314</v>
      </c>
      <c r="C617" s="122">
        <f t="shared" si="509"/>
        <v>26</v>
      </c>
      <c r="D617" s="123">
        <v>1441.8279773769934</v>
      </c>
      <c r="E617" s="124">
        <v>40.16473388671875</v>
      </c>
      <c r="F617" s="125">
        <v>12.600019513358786</v>
      </c>
      <c r="G617" s="126">
        <v>2.2357416152954102</v>
      </c>
      <c r="H617" s="127">
        <f>HLOOKUP('Operational Worksheet'!E617,$B$773:$U$775,3)</f>
        <v>7.7875000000000005</v>
      </c>
      <c r="I617" s="127">
        <f t="shared" si="481"/>
        <v>1.130509343399851</v>
      </c>
      <c r="J617" s="127">
        <f t="shared" si="482"/>
        <v>20.973408275149769</v>
      </c>
      <c r="K617" s="127">
        <f t="shared" si="510"/>
        <v>2.5275267855193362</v>
      </c>
      <c r="L617" s="127">
        <f t="shared" si="510"/>
        <v>46.891121695333467</v>
      </c>
      <c r="M617" s="127">
        <f t="shared" si="511"/>
        <v>49.418648480852802</v>
      </c>
      <c r="N617" s="128">
        <f t="shared" si="512"/>
        <v>6.345893865920103</v>
      </c>
      <c r="O617" s="129" t="str">
        <f t="shared" si="483"/>
        <v>OK</v>
      </c>
    </row>
    <row r="618" spans="1:15" ht="14.25" customHeight="1" x14ac:dyDescent="0.25">
      <c r="A618" s="120" t="str">
        <f>IF(N618=MIN(N609:N632),1,"")</f>
        <v/>
      </c>
      <c r="B618" s="121">
        <f t="shared" si="506"/>
        <v>42334.374999999978</v>
      </c>
      <c r="C618" s="122">
        <f t="shared" si="509"/>
        <v>26</v>
      </c>
      <c r="D618" s="123">
        <v>1435.8444145342601</v>
      </c>
      <c r="E618" s="124">
        <v>40.16473388671875</v>
      </c>
      <c r="F618" s="125">
        <v>12.596978462313704</v>
      </c>
      <c r="G618" s="126">
        <v>2.2357416152954102</v>
      </c>
      <c r="H618" s="127">
        <f>HLOOKUP('Operational Worksheet'!E618,$B$773:$U$775,3)</f>
        <v>7.7875000000000005</v>
      </c>
      <c r="I618" s="127">
        <f t="shared" si="481"/>
        <v>1.1352204901174598</v>
      </c>
      <c r="J618" s="127">
        <f t="shared" si="482"/>
        <v>21.055727210778183</v>
      </c>
      <c r="K618" s="127">
        <f t="shared" si="510"/>
        <v>2.538059692291657</v>
      </c>
      <c r="L618" s="127">
        <f t="shared" si="510"/>
        <v>47.075165565444735</v>
      </c>
      <c r="M618" s="127">
        <f t="shared" si="511"/>
        <v>49.613225257736389</v>
      </c>
      <c r="N618" s="128">
        <f t="shared" si="512"/>
        <v>6.3708796478634202</v>
      </c>
      <c r="O618" s="129" t="str">
        <f t="shared" si="483"/>
        <v>OK</v>
      </c>
    </row>
    <row r="619" spans="1:15" ht="14.25" customHeight="1" x14ac:dyDescent="0.25">
      <c r="A619" s="120" t="str">
        <f>IF(N619=MIN(N609:N632),1,"")</f>
        <v/>
      </c>
      <c r="B619" s="121">
        <f t="shared" si="506"/>
        <v>42334.416666666642</v>
      </c>
      <c r="C619" s="122">
        <f t="shared" si="509"/>
        <v>26</v>
      </c>
      <c r="D619" s="123">
        <v>1443.1564313029753</v>
      </c>
      <c r="E619" s="124">
        <v>40.093262464415446</v>
      </c>
      <c r="F619" s="125">
        <v>12.603736094122414</v>
      </c>
      <c r="G619" s="126">
        <v>2.2357416152954102</v>
      </c>
      <c r="H619" s="127">
        <f>HLOOKUP('Operational Worksheet'!E619,$B$773:$U$775,3)</f>
        <v>7.7875000000000005</v>
      </c>
      <c r="I619" s="127">
        <f t="shared" si="481"/>
        <v>1.1294686872776019</v>
      </c>
      <c r="J619" s="127">
        <f t="shared" si="482"/>
        <v>20.96028259291549</v>
      </c>
      <c r="K619" s="127">
        <f t="shared" si="510"/>
        <v>2.525200147319612</v>
      </c>
      <c r="L619" s="127">
        <f t="shared" si="510"/>
        <v>46.861776061333146</v>
      </c>
      <c r="M619" s="127">
        <f t="shared" si="511"/>
        <v>49.386976208652754</v>
      </c>
      <c r="N619" s="128">
        <f t="shared" si="512"/>
        <v>6.341826800469053</v>
      </c>
      <c r="O619" s="129" t="str">
        <f t="shared" si="483"/>
        <v>OK</v>
      </c>
    </row>
    <row r="620" spans="1:15" ht="14.25" customHeight="1" x14ac:dyDescent="0.25">
      <c r="A620" s="120" t="str">
        <f>IF(N620=MIN(N609:N632),1,"")</f>
        <v/>
      </c>
      <c r="B620" s="121">
        <f t="shared" si="506"/>
        <v>42334.458333333307</v>
      </c>
      <c r="C620" s="122">
        <f t="shared" si="509"/>
        <v>26</v>
      </c>
      <c r="D620" s="123">
        <v>1439.8781562433535</v>
      </c>
      <c r="E620" s="124">
        <v>40.090538024902344</v>
      </c>
      <c r="F620" s="125">
        <v>12.6086394983923</v>
      </c>
      <c r="G620" s="126">
        <v>2.2357416152954102</v>
      </c>
      <c r="H620" s="127">
        <f>HLOOKUP('Operational Worksheet'!E620,$B$773:$U$775,3)</f>
        <v>7.7875000000000005</v>
      </c>
      <c r="I620" s="128">
        <f t="shared" si="481"/>
        <v>1.1320402305794228</v>
      </c>
      <c r="J620" s="127">
        <f t="shared" si="482"/>
        <v>21.016177420936692</v>
      </c>
      <c r="K620" s="127">
        <f>I620*$G620</f>
        <v>2.5309494536950274</v>
      </c>
      <c r="L620" s="127">
        <f>J620*$G620</f>
        <v>46.986742454419925</v>
      </c>
      <c r="M620" s="127">
        <f>K620+L620</f>
        <v>49.517691908114955</v>
      </c>
      <c r="N620" s="128">
        <f t="shared" si="512"/>
        <v>6.358612123032418</v>
      </c>
      <c r="O620" s="129" t="str">
        <f t="shared" si="483"/>
        <v>OK</v>
      </c>
    </row>
    <row r="621" spans="1:15" ht="14.25" customHeight="1" x14ac:dyDescent="0.25">
      <c r="A621" s="120" t="str">
        <f>IF(N621=MIN(N609:N632),1,"")</f>
        <v/>
      </c>
      <c r="B621" s="121">
        <f t="shared" si="506"/>
        <v>42334.499999999971</v>
      </c>
      <c r="C621" s="122">
        <f>DAY(B621)</f>
        <v>26</v>
      </c>
      <c r="D621" s="123">
        <v>1446.1355928464636</v>
      </c>
      <c r="E621" s="124">
        <v>40.090538024902344</v>
      </c>
      <c r="F621" s="125">
        <v>12.600688547702338</v>
      </c>
      <c r="G621" s="126">
        <v>2.2769417762756348</v>
      </c>
      <c r="H621" s="127">
        <f>HLOOKUP('Operational Worksheet'!E621,$B$773:$U$775,3)</f>
        <v>7.7875000000000005</v>
      </c>
      <c r="I621" s="127">
        <f t="shared" si="481"/>
        <v>1.1271418863231433</v>
      </c>
      <c r="J621" s="127">
        <f t="shared" si="482"/>
        <v>20.912044945218614</v>
      </c>
      <c r="K621" s="127">
        <f>I621*$G621</f>
        <v>2.5664364487592874</v>
      </c>
      <c r="L621" s="127">
        <f>J621*$G621</f>
        <v>47.61550876312198</v>
      </c>
      <c r="M621" s="127">
        <f>K621+L621</f>
        <v>50.181945211881271</v>
      </c>
      <c r="N621" s="128">
        <f>IF(D621&gt;0,M621/H621,"PO")</f>
        <v>6.443909497512843</v>
      </c>
      <c r="O621" s="129" t="str">
        <f t="shared" si="483"/>
        <v>OK</v>
      </c>
    </row>
    <row r="622" spans="1:15" ht="14.25" customHeight="1" x14ac:dyDescent="0.25">
      <c r="A622" s="120" t="str">
        <f>IF(N622=MIN(N609:N632),1,"")</f>
        <v/>
      </c>
      <c r="B622" s="121">
        <f t="shared" si="506"/>
        <v>42334.541666666635</v>
      </c>
      <c r="C622" s="122">
        <f t="shared" ref="C622:C626" si="513">DAY(B622)</f>
        <v>26</v>
      </c>
      <c r="D622" s="123">
        <v>1441.0774154624696</v>
      </c>
      <c r="E622" s="124">
        <v>40.090538024902344</v>
      </c>
      <c r="F622" s="125">
        <v>12.596132415372109</v>
      </c>
      <c r="G622" s="126">
        <v>2.2769417762756348</v>
      </c>
      <c r="H622" s="127">
        <f>HLOOKUP('Operational Worksheet'!E622,$B$773:$U$775,3)</f>
        <v>7.7875000000000005</v>
      </c>
      <c r="I622" s="127">
        <f t="shared" si="481"/>
        <v>1.1310981509462499</v>
      </c>
      <c r="J622" s="127">
        <f t="shared" si="482"/>
        <v>20.977858283339646</v>
      </c>
      <c r="K622" s="127">
        <f t="shared" ref="K622:L625" si="514">I622*$G622</f>
        <v>2.5754446329576401</v>
      </c>
      <c r="L622" s="127">
        <f t="shared" si="514"/>
        <v>47.76536190212591</v>
      </c>
      <c r="M622" s="127">
        <f t="shared" ref="M622:M625" si="515">K622+L622</f>
        <v>50.340806535083551</v>
      </c>
      <c r="N622" s="128">
        <f t="shared" ref="N622:N626" si="516">IF(D622&gt;0,M622/H622,"PO")</f>
        <v>6.4643090253718842</v>
      </c>
      <c r="O622" s="129" t="str">
        <f t="shared" si="483"/>
        <v>OK</v>
      </c>
    </row>
    <row r="623" spans="1:15" ht="14.25" customHeight="1" x14ac:dyDescent="0.25">
      <c r="A623" s="120" t="str">
        <f>IF(N623=MIN(N609:N632),1,"")</f>
        <v/>
      </c>
      <c r="B623" s="121">
        <f t="shared" si="506"/>
        <v>42334.583333333299</v>
      </c>
      <c r="C623" s="122">
        <f t="shared" si="513"/>
        <v>26</v>
      </c>
      <c r="D623" s="123">
        <v>1443.417554962555</v>
      </c>
      <c r="E623" s="124">
        <v>40.090538024902344</v>
      </c>
      <c r="F623" s="125">
        <v>12.594684991245838</v>
      </c>
      <c r="G623" s="126">
        <v>2.2634580135345459</v>
      </c>
      <c r="H623" s="127">
        <f>HLOOKUP('Operational Worksheet'!E623,$B$773:$U$775,3)</f>
        <v>7.7875000000000005</v>
      </c>
      <c r="I623" s="127">
        <f t="shared" si="481"/>
        <v>1.1292643590179179</v>
      </c>
      <c r="J623" s="127">
        <f t="shared" si="482"/>
        <v>20.94144128638796</v>
      </c>
      <c r="K623" s="127">
        <f t="shared" si="514"/>
        <v>2.5560424628180587</v>
      </c>
      <c r="L623" s="127">
        <f t="shared" si="514"/>
        <v>47.400073094638017</v>
      </c>
      <c r="M623" s="127">
        <f t="shared" si="515"/>
        <v>49.956115557456073</v>
      </c>
      <c r="N623" s="128">
        <f t="shared" si="516"/>
        <v>6.4149105049702815</v>
      </c>
      <c r="O623" s="129" t="str">
        <f t="shared" si="483"/>
        <v>OK</v>
      </c>
    </row>
    <row r="624" spans="1:15" ht="14.25" customHeight="1" x14ac:dyDescent="0.25">
      <c r="A624" s="120" t="str">
        <f>IF(N624=MIN(N609:N632),1,"")</f>
        <v/>
      </c>
      <c r="B624" s="121">
        <f t="shared" si="506"/>
        <v>42334.624999999964</v>
      </c>
      <c r="C624" s="122">
        <f t="shared" si="513"/>
        <v>26</v>
      </c>
      <c r="D624" s="123">
        <v>1435.4265327197129</v>
      </c>
      <c r="E624" s="124">
        <v>39.620277143392137</v>
      </c>
      <c r="F624" s="125">
        <v>12.591690664942043</v>
      </c>
      <c r="G624" s="126">
        <v>2.2634580135345459</v>
      </c>
      <c r="H624" s="127">
        <f>HLOOKUP('Operational Worksheet'!E624,$B$773:$U$775,3)</f>
        <v>7.7875000000000005</v>
      </c>
      <c r="I624" s="127">
        <f t="shared" si="481"/>
        <v>1.1355509758563731</v>
      </c>
      <c r="J624" s="127">
        <f t="shared" si="482"/>
        <v>21.053015885531071</v>
      </c>
      <c r="K624" s="127">
        <f t="shared" si="514"/>
        <v>2.5702719560790812</v>
      </c>
      <c r="L624" s="127">
        <f t="shared" si="514"/>
        <v>47.652617515175393</v>
      </c>
      <c r="M624" s="127">
        <f t="shared" si="515"/>
        <v>50.222889471254476</v>
      </c>
      <c r="N624" s="128">
        <f t="shared" si="516"/>
        <v>6.4491671873199961</v>
      </c>
      <c r="O624" s="129" t="str">
        <f t="shared" si="483"/>
        <v>OK</v>
      </c>
    </row>
    <row r="625" spans="1:15" ht="14.25" customHeight="1" x14ac:dyDescent="0.25">
      <c r="A625" s="120" t="str">
        <f>IF(N625=MIN(N609:N632),1,"")</f>
        <v/>
      </c>
      <c r="B625" s="121">
        <f t="shared" si="506"/>
        <v>42334.666666666628</v>
      </c>
      <c r="C625" s="122">
        <f t="shared" si="513"/>
        <v>26</v>
      </c>
      <c r="D625" s="123">
        <v>1449.2165580452458</v>
      </c>
      <c r="E625" s="124">
        <v>38.274448394775391</v>
      </c>
      <c r="F625" s="125">
        <v>12.605599390015179</v>
      </c>
      <c r="G625" s="126">
        <v>2.2634580135345459</v>
      </c>
      <c r="H625" s="127">
        <f>HLOOKUP('Operational Worksheet'!E625,$B$773:$U$775,3)</f>
        <v>8.5750000000000011</v>
      </c>
      <c r="I625" s="127">
        <f t="shared" si="481"/>
        <v>1.1247456364965918</v>
      </c>
      <c r="J625" s="127">
        <f t="shared" si="482"/>
        <v>20.875719621119519</v>
      </c>
      <c r="K625" s="127">
        <f t="shared" si="514"/>
        <v>2.5458145241162242</v>
      </c>
      <c r="L625" s="127">
        <f t="shared" si="514"/>
        <v>47.251314864723327</v>
      </c>
      <c r="M625" s="127">
        <f t="shared" si="515"/>
        <v>49.797129388839551</v>
      </c>
      <c r="N625" s="128">
        <f t="shared" si="516"/>
        <v>5.8072454097772059</v>
      </c>
      <c r="O625" s="129" t="str">
        <f t="shared" si="483"/>
        <v>OK</v>
      </c>
    </row>
    <row r="626" spans="1:15" ht="14.25" customHeight="1" x14ac:dyDescent="0.25">
      <c r="A626" s="120" t="str">
        <f>IF(N626=MIN(N609:N632),1,"")</f>
        <v/>
      </c>
      <c r="B626" s="121">
        <f t="shared" si="506"/>
        <v>42334.708333333292</v>
      </c>
      <c r="C626" s="122">
        <f t="shared" si="513"/>
        <v>26</v>
      </c>
      <c r="D626" s="123">
        <v>1443.2569165120383</v>
      </c>
      <c r="E626" s="124">
        <v>38.274448394775391</v>
      </c>
      <c r="F626" s="125">
        <v>12.592131741230288</v>
      </c>
      <c r="G626" s="126">
        <v>2.2634580135345459</v>
      </c>
      <c r="H626" s="127">
        <f>HLOOKUP('Operational Worksheet'!E626,$B$773:$U$775,3)</f>
        <v>8.5750000000000011</v>
      </c>
      <c r="I626" s="128">
        <f t="shared" si="481"/>
        <v>1.1293900492361881</v>
      </c>
      <c r="J626" s="127">
        <f t="shared" si="482"/>
        <v>20.939526312466224</v>
      </c>
      <c r="K626" s="127">
        <f>I626*$G626</f>
        <v>2.5563269573498255</v>
      </c>
      <c r="L626" s="127">
        <f>J626*$G626</f>
        <v>47.395738631569152</v>
      </c>
      <c r="M626" s="127">
        <f>K626+L626</f>
        <v>49.952065588918977</v>
      </c>
      <c r="N626" s="128">
        <f t="shared" si="516"/>
        <v>5.8253137713025041</v>
      </c>
      <c r="O626" s="129" t="str">
        <f t="shared" si="483"/>
        <v>OK</v>
      </c>
    </row>
    <row r="627" spans="1:15" ht="14.25" customHeight="1" x14ac:dyDescent="0.25">
      <c r="A627" s="120" t="str">
        <f>IF(N627=MIN(N609:N632),1,"")</f>
        <v/>
      </c>
      <c r="B627" s="121">
        <f>B626+1/24</f>
        <v>42334.749999999956</v>
      </c>
      <c r="C627" s="122">
        <f>DAY(B627)</f>
        <v>26</v>
      </c>
      <c r="D627" s="123">
        <v>1453.5688833619772</v>
      </c>
      <c r="E627" s="124">
        <v>38.274448394775391</v>
      </c>
      <c r="F627" s="125">
        <v>12.59234496143694</v>
      </c>
      <c r="G627" s="126">
        <v>2.2634580135345459</v>
      </c>
      <c r="H627" s="127">
        <f>HLOOKUP('Operational Worksheet'!E627,$B$773:$U$775,3)</f>
        <v>8.5750000000000011</v>
      </c>
      <c r="I627" s="127">
        <f t="shared" si="481"/>
        <v>1.1213778849131339</v>
      </c>
      <c r="J627" s="127">
        <f t="shared" si="482"/>
        <v>20.791328332200315</v>
      </c>
      <c r="K627" s="127">
        <f>I627*$G627</f>
        <v>2.5381917598070527</v>
      </c>
      <c r="L627" s="127">
        <f>J627*$G627</f>
        <v>47.060298725546652</v>
      </c>
      <c r="M627" s="127">
        <f>K627+L627</f>
        <v>49.598490485353707</v>
      </c>
      <c r="N627" s="128">
        <f>IF(D627&gt;0,M627/H627,"PO")</f>
        <v>5.7840805230733183</v>
      </c>
      <c r="O627" s="129" t="str">
        <f t="shared" si="483"/>
        <v>OK</v>
      </c>
    </row>
    <row r="628" spans="1:15" ht="14.25" customHeight="1" x14ac:dyDescent="0.25">
      <c r="A628" s="120" t="str">
        <f>IF(N628=MIN(N609:N632),1,"")</f>
        <v/>
      </c>
      <c r="B628" s="121">
        <f t="shared" ref="B628:B632" si="517">B627+1/24</f>
        <v>42334.791666666621</v>
      </c>
      <c r="C628" s="122">
        <f t="shared" ref="C628:C632" si="518">DAY(B628)</f>
        <v>26</v>
      </c>
      <c r="D628" s="123">
        <v>1790.3858821476038</v>
      </c>
      <c r="E628" s="124">
        <v>38.274448394775391</v>
      </c>
      <c r="F628" s="125">
        <v>12.605684631496068</v>
      </c>
      <c r="G628" s="126">
        <v>2.2634580135345459</v>
      </c>
      <c r="H628" s="127">
        <f>HLOOKUP('Operational Worksheet'!E628,$B$773:$U$775,3)</f>
        <v>8.5750000000000011</v>
      </c>
      <c r="I628" s="127">
        <f t="shared" si="481"/>
        <v>0.91041826024945094</v>
      </c>
      <c r="J628" s="127">
        <f t="shared" si="482"/>
        <v>16.897833823008426</v>
      </c>
      <c r="K628" s="127">
        <f t="shared" ref="K628:L631" si="519">I628*$G628</f>
        <v>2.0606935068297996</v>
      </c>
      <c r="L628" s="127">
        <f t="shared" si="519"/>
        <v>38.247537378063512</v>
      </c>
      <c r="M628" s="127">
        <f t="shared" ref="M628:M631" si="520">K628+L628</f>
        <v>40.308230884893312</v>
      </c>
      <c r="N628" s="128">
        <f t="shared" ref="N628:N632" si="521">IF(D628&gt;0,M628/H628,"PO")</f>
        <v>4.7006683247688992</v>
      </c>
      <c r="O628" s="129" t="str">
        <f t="shared" si="483"/>
        <v>OK</v>
      </c>
    </row>
    <row r="629" spans="1:15" ht="14.25" customHeight="1" x14ac:dyDescent="0.25">
      <c r="A629" s="120" t="str">
        <f>IF(N629=MIN(N609:N632),1,"")</f>
        <v/>
      </c>
      <c r="B629" s="121">
        <f t="shared" si="517"/>
        <v>42334.833333333285</v>
      </c>
      <c r="C629" s="122">
        <f t="shared" si="518"/>
        <v>26</v>
      </c>
      <c r="D629" s="123">
        <v>1798.3711822811354</v>
      </c>
      <c r="E629" s="124">
        <v>38.274448394775391</v>
      </c>
      <c r="F629" s="125">
        <v>12.608284658267007</v>
      </c>
      <c r="G629" s="126">
        <v>2.2634580135345459</v>
      </c>
      <c r="H629" s="127">
        <f>HLOOKUP('Operational Worksheet'!E629,$B$773:$U$775,3)</f>
        <v>8.5750000000000011</v>
      </c>
      <c r="I629" s="127">
        <f t="shared" si="481"/>
        <v>0.90637573380843117</v>
      </c>
      <c r="J629" s="127">
        <f t="shared" si="482"/>
        <v>16.826272283488112</v>
      </c>
      <c r="K629" s="127">
        <f t="shared" si="519"/>
        <v>2.0515434179619478</v>
      </c>
      <c r="L629" s="127">
        <f t="shared" si="519"/>
        <v>38.085560837975393</v>
      </c>
      <c r="M629" s="127">
        <f t="shared" si="520"/>
        <v>40.137104255937338</v>
      </c>
      <c r="N629" s="128">
        <f t="shared" si="521"/>
        <v>4.6807118665816132</v>
      </c>
      <c r="O629" s="129" t="str">
        <f t="shared" si="483"/>
        <v>OK</v>
      </c>
    </row>
    <row r="630" spans="1:15" ht="14.25" customHeight="1" x14ac:dyDescent="0.25">
      <c r="A630" s="120" t="str">
        <f>IF(N630=MIN(N609:N632),1,"")</f>
        <v/>
      </c>
      <c r="B630" s="121">
        <f t="shared" si="517"/>
        <v>42334.874999999949</v>
      </c>
      <c r="C630" s="122">
        <f t="shared" si="518"/>
        <v>26</v>
      </c>
      <c r="D630" s="123">
        <v>1815.2303172369345</v>
      </c>
      <c r="E630" s="124">
        <v>38.274448394775391</v>
      </c>
      <c r="F630" s="125">
        <v>12.606963683657154</v>
      </c>
      <c r="G630" s="126">
        <v>2.3866300582885742</v>
      </c>
      <c r="H630" s="127">
        <f>HLOOKUP('Operational Worksheet'!E630,$B$773:$U$775,3)</f>
        <v>8.5750000000000011</v>
      </c>
      <c r="I630" s="127">
        <f t="shared" si="481"/>
        <v>0.89795767761366829</v>
      </c>
      <c r="J630" s="127">
        <f t="shared" si="482"/>
        <v>16.668250058115291</v>
      </c>
      <c r="K630" s="127">
        <f t="shared" si="519"/>
        <v>2.1430927844637817</v>
      </c>
      <c r="L630" s="127">
        <f t="shared" si="519"/>
        <v>39.780946607768229</v>
      </c>
      <c r="M630" s="127">
        <f t="shared" si="520"/>
        <v>41.924039392232011</v>
      </c>
      <c r="N630" s="128">
        <f t="shared" si="521"/>
        <v>4.8891008037588346</v>
      </c>
      <c r="O630" s="129" t="str">
        <f t="shared" si="483"/>
        <v>OK</v>
      </c>
    </row>
    <row r="631" spans="1:15" ht="14.25" customHeight="1" x14ac:dyDescent="0.25">
      <c r="A631" s="120" t="str">
        <f>IF(N631=MIN(N609:N632),1,"")</f>
        <v/>
      </c>
      <c r="B631" s="121">
        <f t="shared" si="517"/>
        <v>42334.916666666613</v>
      </c>
      <c r="C631" s="122">
        <f t="shared" si="518"/>
        <v>26</v>
      </c>
      <c r="D631" s="123">
        <v>1801.9447300440529</v>
      </c>
      <c r="E631" s="124">
        <v>38.274448394775391</v>
      </c>
      <c r="F631" s="125">
        <v>12.612764784562229</v>
      </c>
      <c r="G631" s="126">
        <v>2.2905323505401611</v>
      </c>
      <c r="H631" s="127">
        <f>HLOOKUP('Operational Worksheet'!E631,$B$773:$U$775,3)</f>
        <v>8.5750000000000011</v>
      </c>
      <c r="I631" s="127">
        <f t="shared" si="481"/>
        <v>0.90457824417297783</v>
      </c>
      <c r="J631" s="127">
        <f t="shared" si="482"/>
        <v>16.798870119734087</v>
      </c>
      <c r="K631" s="127">
        <f t="shared" si="519"/>
        <v>2.0719657318730227</v>
      </c>
      <c r="L631" s="127">
        <f t="shared" si="519"/>
        <v>38.478355461773397</v>
      </c>
      <c r="M631" s="127">
        <f t="shared" si="520"/>
        <v>40.550321193646418</v>
      </c>
      <c r="N631" s="128">
        <f t="shared" si="521"/>
        <v>4.728900430745937</v>
      </c>
      <c r="O631" s="129" t="str">
        <f t="shared" si="483"/>
        <v>OK</v>
      </c>
    </row>
    <row r="632" spans="1:15" ht="14.25" customHeight="1" x14ac:dyDescent="0.25">
      <c r="A632" s="130">
        <f>IF(N632=MIN(N609:N632),1,"")</f>
        <v>1</v>
      </c>
      <c r="B632" s="131">
        <f t="shared" si="517"/>
        <v>42334.958333333278</v>
      </c>
      <c r="C632" s="132">
        <f t="shared" si="518"/>
        <v>26</v>
      </c>
      <c r="D632" s="123">
        <v>1803.6786571511363</v>
      </c>
      <c r="E632" s="124">
        <v>38.164186434323717</v>
      </c>
      <c r="F632" s="125">
        <v>12.590628133672594</v>
      </c>
      <c r="G632" s="126">
        <v>2.1876928806304932</v>
      </c>
      <c r="H632" s="133">
        <f>HLOOKUP('Operational Worksheet'!E632,$B$773:$U$775,3)</f>
        <v>8.5750000000000011</v>
      </c>
      <c r="I632" s="134">
        <f t="shared" si="481"/>
        <v>0.90370864762271053</v>
      </c>
      <c r="J632" s="133">
        <f t="shared" si="482"/>
        <v>16.753265555928898</v>
      </c>
      <c r="K632" s="133">
        <f>I632*$G632</f>
        <v>1.9770369745684149</v>
      </c>
      <c r="L632" s="133">
        <f>J632*$G632</f>
        <v>36.650999784017714</v>
      </c>
      <c r="M632" s="133">
        <f>K632+L632</f>
        <v>38.628036758586127</v>
      </c>
      <c r="N632" s="134">
        <f t="shared" si="521"/>
        <v>4.5047273187855534</v>
      </c>
      <c r="O632" s="135" t="str">
        <f t="shared" si="483"/>
        <v>OK</v>
      </c>
    </row>
    <row r="633" spans="1:15" ht="14.25" customHeight="1" x14ac:dyDescent="0.25">
      <c r="A633" s="110" t="str">
        <f>IF(N633=MIN(N633:N656),1,"")</f>
        <v/>
      </c>
      <c r="B633" s="111">
        <f>'[1]Turbidity Daily Data Sheet'!B42</f>
        <v>42335</v>
      </c>
      <c r="C633" s="112">
        <f>DAY(B633)</f>
        <v>27</v>
      </c>
      <c r="D633" s="123">
        <v>1795.1963442399856</v>
      </c>
      <c r="E633" s="124">
        <v>37.970592498779297</v>
      </c>
      <c r="F633" s="125">
        <v>12.60773332638446</v>
      </c>
      <c r="G633" s="126">
        <v>2.1876928806304932</v>
      </c>
      <c r="H633" s="117">
        <f>HLOOKUP('Operational Worksheet'!E633,$B$773:$U$775,3)</f>
        <v>8.5750000000000011</v>
      </c>
      <c r="I633" s="117">
        <f t="shared" si="481"/>
        <v>0.90797867610970262</v>
      </c>
      <c r="J633" s="117">
        <f t="shared" si="482"/>
        <v>16.8552927819898</v>
      </c>
      <c r="K633" s="117">
        <f>I633*$G633</f>
        <v>1.9863784854894968</v>
      </c>
      <c r="L633" s="117">
        <f>J633*$G633</f>
        <v>36.874204020101622</v>
      </c>
      <c r="M633" s="117">
        <f>K633+L633</f>
        <v>38.860582505591118</v>
      </c>
      <c r="N633" s="118">
        <f>IF(D633&gt;0,M633/H633,"PO")</f>
        <v>4.531846356337156</v>
      </c>
      <c r="O633" s="119" t="str">
        <f t="shared" si="483"/>
        <v>OK</v>
      </c>
    </row>
    <row r="634" spans="1:15" ht="14.25" customHeight="1" x14ac:dyDescent="0.25">
      <c r="A634" s="120" t="str">
        <f>IF(N634=MIN(N633:N656),1,"")</f>
        <v/>
      </c>
      <c r="B634" s="121">
        <f>B633+1/24</f>
        <v>42335.041666666664</v>
      </c>
      <c r="C634" s="122">
        <f>DAY(B634)</f>
        <v>27</v>
      </c>
      <c r="D634" s="123">
        <v>1808.1791902294076</v>
      </c>
      <c r="E634" s="124">
        <v>37.970592498779297</v>
      </c>
      <c r="F634" s="125">
        <v>12.616527090738048</v>
      </c>
      <c r="G634" s="126">
        <v>2.3867371082305908</v>
      </c>
      <c r="H634" s="127">
        <f>HLOOKUP('Operational Worksheet'!E634,$B$773:$U$775,3)</f>
        <v>8.5750000000000011</v>
      </c>
      <c r="I634" s="127">
        <f t="shared" si="481"/>
        <v>0.90145932925663097</v>
      </c>
      <c r="J634" s="127">
        <f t="shared" si="482"/>
        <v>16.7459426484881</v>
      </c>
      <c r="K634" s="127">
        <f t="shared" ref="K634:L637" si="522">I634*$G634</f>
        <v>2.1515464326974594</v>
      </c>
      <c r="L634" s="127">
        <f t="shared" si="522"/>
        <v>39.968162731447812</v>
      </c>
      <c r="M634" s="127">
        <f t="shared" ref="M634:M637" si="523">K634+L634</f>
        <v>42.11970916414527</v>
      </c>
      <c r="N634" s="128">
        <f t="shared" ref="N634:N638" si="524">IF(D634&gt;0,M634/H634,"PO")</f>
        <v>4.9119194360519263</v>
      </c>
      <c r="O634" s="129" t="str">
        <f t="shared" si="483"/>
        <v>OK</v>
      </c>
    </row>
    <row r="635" spans="1:15" ht="14.25" customHeight="1" x14ac:dyDescent="0.25">
      <c r="A635" s="120" t="str">
        <f>IF(N635=MIN(N633:N656),1,"")</f>
        <v/>
      </c>
      <c r="B635" s="121">
        <f t="shared" ref="B635:B650" si="525">B634+1/24</f>
        <v>42335.083333333328</v>
      </c>
      <c r="C635" s="122">
        <f t="shared" ref="C635" si="526">DAY(B635)</f>
        <v>27</v>
      </c>
      <c r="D635" s="123">
        <v>1812.6076415911862</v>
      </c>
      <c r="E635" s="124">
        <v>37.970592498779297</v>
      </c>
      <c r="F635" s="125">
        <v>12.59626340397962</v>
      </c>
      <c r="G635" s="126">
        <v>2.3867371082305908</v>
      </c>
      <c r="H635" s="127">
        <f>HLOOKUP('Operational Worksheet'!E635,$B$773:$U$775,3)</f>
        <v>8.5750000000000011</v>
      </c>
      <c r="I635" s="127">
        <f t="shared" si="481"/>
        <v>0.89925693933912521</v>
      </c>
      <c r="J635" s="127">
        <f t="shared" si="482"/>
        <v>16.678199669848553</v>
      </c>
      <c r="K635" s="127">
        <f t="shared" si="522"/>
        <v>2.1462899069545553</v>
      </c>
      <c r="L635" s="127">
        <f t="shared" si="522"/>
        <v>39.806478050506726</v>
      </c>
      <c r="M635" s="127">
        <f t="shared" si="523"/>
        <v>41.952767957461283</v>
      </c>
      <c r="N635" s="128">
        <f t="shared" si="524"/>
        <v>4.8924510737564173</v>
      </c>
      <c r="O635" s="129" t="str">
        <f t="shared" si="483"/>
        <v>OK</v>
      </c>
    </row>
    <row r="636" spans="1:15" ht="14.25" customHeight="1" x14ac:dyDescent="0.25">
      <c r="A636" s="120" t="str">
        <f>IF(N636=MIN(N633:N656),1,"")</f>
        <v/>
      </c>
      <c r="B636" s="121">
        <f t="shared" si="525"/>
        <v>42335.124999999993</v>
      </c>
      <c r="C636" s="122">
        <f>DAY(B636)</f>
        <v>27</v>
      </c>
      <c r="D636" s="123">
        <v>1801.7472366422101</v>
      </c>
      <c r="E636" s="124">
        <v>37.970592498779297</v>
      </c>
      <c r="F636" s="125">
        <v>12.613461464350953</v>
      </c>
      <c r="G636" s="126">
        <v>2.3867371082305908</v>
      </c>
      <c r="H636" s="127">
        <f>HLOOKUP('Operational Worksheet'!E636,$B$773:$U$775,3)</f>
        <v>8.5750000000000011</v>
      </c>
      <c r="I636" s="127">
        <f t="shared" si="481"/>
        <v>0.90467739694593163</v>
      </c>
      <c r="J636" s="127">
        <f t="shared" si="482"/>
        <v>16.801639485713135</v>
      </c>
      <c r="K636" s="127">
        <f t="shared" si="522"/>
        <v>2.1592271142683113</v>
      </c>
      <c r="L636" s="127">
        <f t="shared" si="522"/>
        <v>40.101096439663877</v>
      </c>
      <c r="M636" s="127">
        <f t="shared" si="523"/>
        <v>42.260323553932189</v>
      </c>
      <c r="N636" s="128">
        <f t="shared" si="524"/>
        <v>4.9283176156189139</v>
      </c>
      <c r="O636" s="129" t="str">
        <f t="shared" si="483"/>
        <v>OK</v>
      </c>
    </row>
    <row r="637" spans="1:15" ht="14.25" customHeight="1" x14ac:dyDescent="0.25">
      <c r="A637" s="120" t="str">
        <f>IF(N637=MIN(N633:N656),1,"")</f>
        <v/>
      </c>
      <c r="B637" s="121">
        <f t="shared" si="525"/>
        <v>42335.166666666657</v>
      </c>
      <c r="C637" s="122">
        <f t="shared" ref="C637:C638" si="527">DAY(B637)</f>
        <v>27</v>
      </c>
      <c r="D637" s="123">
        <v>1799.4622172154841</v>
      </c>
      <c r="E637" s="124">
        <v>37.970592498779297</v>
      </c>
      <c r="F637" s="125">
        <v>12.606084204392662</v>
      </c>
      <c r="G637" s="126">
        <v>2.3867371082305908</v>
      </c>
      <c r="H637" s="127">
        <f>HLOOKUP('Operational Worksheet'!E637,$B$773:$U$775,3)</f>
        <v>8.5750000000000011</v>
      </c>
      <c r="I637" s="127">
        <f t="shared" si="481"/>
        <v>0.90582618762748324</v>
      </c>
      <c r="J637" s="127">
        <f t="shared" si="482"/>
        <v>16.813135502983126</v>
      </c>
      <c r="K637" s="127">
        <f t="shared" si="522"/>
        <v>2.16196897561756</v>
      </c>
      <c r="L637" s="127">
        <f t="shared" si="522"/>
        <v>40.128534410679023</v>
      </c>
      <c r="M637" s="127">
        <f t="shared" si="523"/>
        <v>42.290503386296585</v>
      </c>
      <c r="N637" s="128">
        <f t="shared" si="524"/>
        <v>4.9318371295972687</v>
      </c>
      <c r="O637" s="129" t="str">
        <f t="shared" si="483"/>
        <v>OK</v>
      </c>
    </row>
    <row r="638" spans="1:15" ht="14.25" customHeight="1" x14ac:dyDescent="0.25">
      <c r="A638" s="120" t="str">
        <f>IF(N638=MIN(N633:N656),1,"")</f>
        <v/>
      </c>
      <c r="B638" s="121">
        <f t="shared" si="525"/>
        <v>42335.208333333321</v>
      </c>
      <c r="C638" s="122">
        <f t="shared" si="527"/>
        <v>27</v>
      </c>
      <c r="D638" s="123">
        <v>1812.0140960092274</v>
      </c>
      <c r="E638" s="124">
        <v>37.757815405454977</v>
      </c>
      <c r="F638" s="125">
        <v>12.618629772443731</v>
      </c>
      <c r="G638" s="126">
        <v>2.3867371082305908</v>
      </c>
      <c r="H638" s="127">
        <f>HLOOKUP('Operational Worksheet'!E638,$B$773:$U$775,3)</f>
        <v>8.5750000000000011</v>
      </c>
      <c r="I638" s="128">
        <f t="shared" si="481"/>
        <v>0.89955150105614823</v>
      </c>
      <c r="J638" s="127">
        <f t="shared" si="482"/>
        <v>16.713286900231008</v>
      </c>
      <c r="K638" s="127">
        <f>I638*$G638</f>
        <v>2.1469929483352383</v>
      </c>
      <c r="L638" s="127">
        <f>J638*$G638</f>
        <v>39.890222045285569</v>
      </c>
      <c r="M638" s="127">
        <f>K638+L638</f>
        <v>42.037214993620807</v>
      </c>
      <c r="N638" s="128">
        <f t="shared" si="524"/>
        <v>4.9022991246205017</v>
      </c>
      <c r="O638" s="129" t="str">
        <f t="shared" si="483"/>
        <v>OK</v>
      </c>
    </row>
    <row r="639" spans="1:15" ht="14.25" customHeight="1" x14ac:dyDescent="0.25">
      <c r="A639" s="120" t="str">
        <f>IF(N639=MIN(N633:N656),1,"")</f>
        <v/>
      </c>
      <c r="B639" s="121">
        <f t="shared" si="525"/>
        <v>42335.249999999985</v>
      </c>
      <c r="C639" s="122">
        <f>DAY(B639)</f>
        <v>27</v>
      </c>
      <c r="D639" s="123">
        <v>1815.6232682563389</v>
      </c>
      <c r="E639" s="124">
        <v>37.504203796386719</v>
      </c>
      <c r="F639" s="125">
        <v>12.607651120247175</v>
      </c>
      <c r="G639" s="126">
        <v>2.3867371082305908</v>
      </c>
      <c r="H639" s="127">
        <f>HLOOKUP('Operational Worksheet'!E639,$B$773:$U$775,3)</f>
        <v>8.5750000000000011</v>
      </c>
      <c r="I639" s="127">
        <f t="shared" si="481"/>
        <v>0.89776333477230386</v>
      </c>
      <c r="J639" s="127">
        <f t="shared" si="482"/>
        <v>16.665551283473192</v>
      </c>
      <c r="K639" s="127">
        <f>I639*$G639</f>
        <v>2.1427250655099002</v>
      </c>
      <c r="L639" s="127">
        <f>J639*$G639</f>
        <v>39.776289677385421</v>
      </c>
      <c r="M639" s="127">
        <f>K639+L639</f>
        <v>41.919014742895321</v>
      </c>
      <c r="N639" s="128">
        <f>IF(D639&gt;0,M639/H639,"PO")</f>
        <v>4.8885148388216111</v>
      </c>
      <c r="O639" s="129" t="str">
        <f t="shared" si="483"/>
        <v>OK</v>
      </c>
    </row>
    <row r="640" spans="1:15" ht="14.25" customHeight="1" x14ac:dyDescent="0.25">
      <c r="A640" s="120" t="str">
        <f>IF(N640=MIN(N633:N656),1,"")</f>
        <v/>
      </c>
      <c r="B640" s="121">
        <f t="shared" si="525"/>
        <v>42335.29166666665</v>
      </c>
      <c r="C640" s="122">
        <f t="shared" ref="C640:C644" si="528">DAY(B640)</f>
        <v>27</v>
      </c>
      <c r="D640" s="123">
        <v>1808.2634065772122</v>
      </c>
      <c r="E640" s="124">
        <v>37.570364684844328</v>
      </c>
      <c r="F640" s="125">
        <v>12.613549543771169</v>
      </c>
      <c r="G640" s="126">
        <v>2.3867371082305908</v>
      </c>
      <c r="H640" s="127">
        <f>HLOOKUP('Operational Worksheet'!E640,$B$773:$U$775,3)</f>
        <v>8.5750000000000011</v>
      </c>
      <c r="I640" s="127">
        <f t="shared" si="481"/>
        <v>0.90141734554334663</v>
      </c>
      <c r="J640" s="127">
        <f t="shared" si="482"/>
        <v>16.741210818589984</v>
      </c>
      <c r="K640" s="127">
        <f t="shared" ref="K640:L643" si="529">I640*$G640</f>
        <v>2.1514462286110225</v>
      </c>
      <c r="L640" s="127">
        <f t="shared" si="529"/>
        <v>39.956869097440141</v>
      </c>
      <c r="M640" s="127">
        <f t="shared" ref="M640:M643" si="530">K640+L640</f>
        <v>42.108315326051162</v>
      </c>
      <c r="N640" s="128">
        <f t="shared" ref="N640:N644" si="531">IF(D640&gt;0,M640/H640,"PO")</f>
        <v>4.9105907085773941</v>
      </c>
      <c r="O640" s="129" t="str">
        <f t="shared" si="483"/>
        <v>OK</v>
      </c>
    </row>
    <row r="641" spans="1:15" ht="14.25" customHeight="1" x14ac:dyDescent="0.25">
      <c r="A641" s="120" t="str">
        <f>IF(N641=MIN(N633:N656),1,"")</f>
        <v/>
      </c>
      <c r="B641" s="121">
        <f t="shared" si="525"/>
        <v>42335.333333333314</v>
      </c>
      <c r="C641" s="122">
        <f t="shared" si="528"/>
        <v>27</v>
      </c>
      <c r="D641" s="123">
        <v>1808.8830147043102</v>
      </c>
      <c r="E641" s="124">
        <v>37.617263793945313</v>
      </c>
      <c r="F641" s="125">
        <v>12.617530580623816</v>
      </c>
      <c r="G641" s="126">
        <v>2.3867371082305908</v>
      </c>
      <c r="H641" s="127">
        <f>HLOOKUP('Operational Worksheet'!E641,$B$773:$U$775,3)</f>
        <v>8.5750000000000011</v>
      </c>
      <c r="I641" s="127">
        <f t="shared" si="481"/>
        <v>0.9011085773650479</v>
      </c>
      <c r="J641" s="127">
        <f t="shared" si="482"/>
        <v>16.740758328391529</v>
      </c>
      <c r="K641" s="127">
        <f t="shared" si="529"/>
        <v>2.1507092801420362</v>
      </c>
      <c r="L641" s="127">
        <f t="shared" si="529"/>
        <v>39.95578912229238</v>
      </c>
      <c r="M641" s="127">
        <f t="shared" si="530"/>
        <v>42.106498402434418</v>
      </c>
      <c r="N641" s="128">
        <f t="shared" si="531"/>
        <v>4.9103788224413307</v>
      </c>
      <c r="O641" s="129" t="str">
        <f t="shared" si="483"/>
        <v>OK</v>
      </c>
    </row>
    <row r="642" spans="1:15" ht="14.25" customHeight="1" x14ac:dyDescent="0.25">
      <c r="A642" s="120" t="str">
        <f>IF(N642=MIN(N633:N656),1,"")</f>
        <v/>
      </c>
      <c r="B642" s="121">
        <f t="shared" si="525"/>
        <v>42335.374999999978</v>
      </c>
      <c r="C642" s="122">
        <f t="shared" si="528"/>
        <v>27</v>
      </c>
      <c r="D642" s="123">
        <v>1784.1431730505258</v>
      </c>
      <c r="E642" s="124">
        <v>37.536302025018685</v>
      </c>
      <c r="F642" s="125">
        <v>12.614683611620054</v>
      </c>
      <c r="G642" s="126">
        <v>2.3521721363067627</v>
      </c>
      <c r="H642" s="127">
        <f>HLOOKUP('Operational Worksheet'!E642,$B$773:$U$775,3)</f>
        <v>8.5750000000000011</v>
      </c>
      <c r="I642" s="127">
        <f t="shared" si="481"/>
        <v>0.91360380972846933</v>
      </c>
      <c r="J642" s="127">
        <f t="shared" si="482"/>
        <v>16.969064548852074</v>
      </c>
      <c r="K642" s="127">
        <f t="shared" si="529"/>
        <v>2.148953424867011</v>
      </c>
      <c r="L642" s="127">
        <f t="shared" si="529"/>
        <v>39.914160811000734</v>
      </c>
      <c r="M642" s="127">
        <f t="shared" si="530"/>
        <v>42.063114235867744</v>
      </c>
      <c r="N642" s="128">
        <f t="shared" si="531"/>
        <v>4.9053194444160626</v>
      </c>
      <c r="O642" s="129" t="str">
        <f t="shared" si="483"/>
        <v>OK</v>
      </c>
    </row>
    <row r="643" spans="1:15" ht="14.25" customHeight="1" x14ac:dyDescent="0.25">
      <c r="A643" s="120" t="str">
        <f>IF(N643=MIN(N633:N656),1,"")</f>
        <v/>
      </c>
      <c r="B643" s="121">
        <f t="shared" si="525"/>
        <v>42335.416666666642</v>
      </c>
      <c r="C643" s="122">
        <f t="shared" si="528"/>
        <v>27</v>
      </c>
      <c r="D643" s="123">
        <v>1810.8632865146096</v>
      </c>
      <c r="E643" s="124">
        <v>35.564453125</v>
      </c>
      <c r="F643" s="125">
        <v>12.640310196177651</v>
      </c>
      <c r="G643" s="126">
        <v>2.3521721363067627</v>
      </c>
      <c r="H643" s="127">
        <f>HLOOKUP('Operational Worksheet'!E643,$B$773:$U$775,3)</f>
        <v>10.149999999999999</v>
      </c>
      <c r="I643" s="127">
        <f t="shared" si="481"/>
        <v>0.9001231689540079</v>
      </c>
      <c r="J643" s="127">
        <f t="shared" si="482"/>
        <v>16.75264206676577</v>
      </c>
      <c r="K643" s="127">
        <f t="shared" si="529"/>
        <v>2.117244637257762</v>
      </c>
      <c r="L643" s="127">
        <f t="shared" si="529"/>
        <v>39.405097878966977</v>
      </c>
      <c r="M643" s="127">
        <f t="shared" si="530"/>
        <v>41.522342516224739</v>
      </c>
      <c r="N643" s="128">
        <f t="shared" si="531"/>
        <v>4.0908711838645067</v>
      </c>
      <c r="O643" s="129" t="str">
        <f t="shared" si="483"/>
        <v>OK</v>
      </c>
    </row>
    <row r="644" spans="1:15" ht="14.25" customHeight="1" x14ac:dyDescent="0.25">
      <c r="A644" s="120">
        <f>IF(N644=MIN(N633:N656),1,"")</f>
        <v>1</v>
      </c>
      <c r="B644" s="121">
        <f t="shared" si="525"/>
        <v>42335.458333333307</v>
      </c>
      <c r="C644" s="122">
        <f t="shared" si="528"/>
        <v>27</v>
      </c>
      <c r="D644" s="123">
        <v>1823.0472351280234</v>
      </c>
      <c r="E644" s="124">
        <v>35.564453125</v>
      </c>
      <c r="F644" s="125">
        <v>12.619983261900433</v>
      </c>
      <c r="G644" s="126">
        <v>2.3521721363067627</v>
      </c>
      <c r="H644" s="127">
        <f>HLOOKUP('Operational Worksheet'!E644,$B$773:$U$775,3)</f>
        <v>10.149999999999999</v>
      </c>
      <c r="I644" s="128">
        <f t="shared" si="481"/>
        <v>0.89410738712183357</v>
      </c>
      <c r="J644" s="127">
        <f t="shared" si="482"/>
        <v>16.613919400960594</v>
      </c>
      <c r="K644" s="127">
        <f>I644*$G644</f>
        <v>2.1030944828540208</v>
      </c>
      <c r="L644" s="127">
        <f>J644*$G644</f>
        <v>39.078798289785851</v>
      </c>
      <c r="M644" s="127">
        <f>K644+L644</f>
        <v>41.18189277263987</v>
      </c>
      <c r="N644" s="128">
        <f t="shared" si="531"/>
        <v>4.0573293372058989</v>
      </c>
      <c r="O644" s="129" t="str">
        <f t="shared" si="483"/>
        <v>OK</v>
      </c>
    </row>
    <row r="645" spans="1:15" ht="14.25" customHeight="1" x14ac:dyDescent="0.25">
      <c r="A645" s="120" t="str">
        <f>IF(N645=MIN(N633:N656),1,"")</f>
        <v/>
      </c>
      <c r="B645" s="121">
        <f t="shared" si="525"/>
        <v>42335.499999999971</v>
      </c>
      <c r="C645" s="122">
        <f>DAY(B645)</f>
        <v>27</v>
      </c>
      <c r="D645" s="123">
        <v>1811.4271152792671</v>
      </c>
      <c r="E645" s="124">
        <v>35.564453125</v>
      </c>
      <c r="F645" s="125">
        <v>12.620133653676108</v>
      </c>
      <c r="G645" s="126">
        <v>2.3521721363067627</v>
      </c>
      <c r="H645" s="127">
        <f>HLOOKUP('Operational Worksheet'!E645,$B$773:$U$775,3)</f>
        <v>10.149999999999999</v>
      </c>
      <c r="I645" s="127">
        <f t="shared" si="481"/>
        <v>0.8998429946482851</v>
      </c>
      <c r="J645" s="127">
        <f t="shared" si="482"/>
        <v>16.72069525367192</v>
      </c>
      <c r="K645" s="127">
        <f>I645*$G645</f>
        <v>2.1165856190625316</v>
      </c>
      <c r="L645" s="127">
        <f>J645*$G645</f>
        <v>39.32995347536383</v>
      </c>
      <c r="M645" s="127">
        <f>K645+L645</f>
        <v>41.446539094426363</v>
      </c>
      <c r="N645" s="128">
        <f>IF(D645&gt;0,M645/H645,"PO")</f>
        <v>4.0834028664459474</v>
      </c>
      <c r="O645" s="129" t="str">
        <f t="shared" si="483"/>
        <v>OK</v>
      </c>
    </row>
    <row r="646" spans="1:15" ht="14.25" customHeight="1" x14ac:dyDescent="0.25">
      <c r="A646" s="120" t="str">
        <f>IF(N646=MIN(N633:N656),1,"")</f>
        <v/>
      </c>
      <c r="B646" s="121">
        <f t="shared" si="525"/>
        <v>42335.541666666635</v>
      </c>
      <c r="C646" s="122">
        <f t="shared" ref="C646:C650" si="532">DAY(B646)</f>
        <v>27</v>
      </c>
      <c r="D646" s="123">
        <v>1812.6066491950207</v>
      </c>
      <c r="E646" s="124">
        <v>35.62124873820926</v>
      </c>
      <c r="F646" s="125">
        <v>12.632087283778334</v>
      </c>
      <c r="G646" s="126">
        <v>2.3521721363067627</v>
      </c>
      <c r="H646" s="127">
        <f>HLOOKUP('Operational Worksheet'!E646,$B$773:$U$775,3)</f>
        <v>9.3624999999999989</v>
      </c>
      <c r="I646" s="127">
        <f t="shared" si="481"/>
        <v>0.89925743167933514</v>
      </c>
      <c r="J646" s="127">
        <f t="shared" si="482"/>
        <v>16.725641768186051</v>
      </c>
      <c r="K646" s="127">
        <f t="shared" ref="K646:L649" si="533">I646*$G646</f>
        <v>2.1152082741629146</v>
      </c>
      <c r="L646" s="127">
        <f t="shared" si="533"/>
        <v>39.341588528975805</v>
      </c>
      <c r="M646" s="127">
        <f t="shared" ref="M646:M649" si="534">K646+L646</f>
        <v>41.456796803138722</v>
      </c>
      <c r="N646" s="128">
        <f t="shared" ref="N646:N650" si="535">IF(D646&gt;0,M646/H646,"PO")</f>
        <v>4.4279622753686221</v>
      </c>
      <c r="O646" s="129" t="str">
        <f t="shared" si="483"/>
        <v>OK</v>
      </c>
    </row>
    <row r="647" spans="1:15" ht="14.25" customHeight="1" x14ac:dyDescent="0.25">
      <c r="A647" s="120" t="str">
        <f>IF(N647=MIN(N633:N656),1,"")</f>
        <v/>
      </c>
      <c r="B647" s="121">
        <f t="shared" si="525"/>
        <v>42335.583333333299</v>
      </c>
      <c r="C647" s="122">
        <f t="shared" si="532"/>
        <v>27</v>
      </c>
      <c r="D647" s="123">
        <v>1805.8609252050207</v>
      </c>
      <c r="E647" s="124">
        <v>35.702247619628906</v>
      </c>
      <c r="F647" s="125">
        <v>12.623742509698015</v>
      </c>
      <c r="G647" s="126">
        <v>2.3521721363067627</v>
      </c>
      <c r="H647" s="127">
        <f>HLOOKUP('Operational Worksheet'!E647,$B$773:$U$775,3)</f>
        <v>9.3624999999999989</v>
      </c>
      <c r="I647" s="127">
        <f t="shared" si="481"/>
        <v>0.90261657320867328</v>
      </c>
      <c r="J647" s="127">
        <f t="shared" si="482"/>
        <v>16.777029504548139</v>
      </c>
      <c r="K647" s="127">
        <f t="shared" si="533"/>
        <v>2.1231095532701345</v>
      </c>
      <c r="L647" s="127">
        <f t="shared" si="533"/>
        <v>39.462461330594586</v>
      </c>
      <c r="M647" s="127">
        <f t="shared" si="534"/>
        <v>41.585570883864719</v>
      </c>
      <c r="N647" s="128">
        <f t="shared" si="535"/>
        <v>4.4417165163006382</v>
      </c>
      <c r="O647" s="129" t="str">
        <f t="shared" si="483"/>
        <v>OK</v>
      </c>
    </row>
    <row r="648" spans="1:15" ht="14.25" customHeight="1" x14ac:dyDescent="0.25">
      <c r="A648" s="120" t="str">
        <f>IF(N648=MIN(N633:N656),1,"")</f>
        <v/>
      </c>
      <c r="B648" s="121">
        <f t="shared" si="525"/>
        <v>42335.624999999964</v>
      </c>
      <c r="C648" s="122">
        <f t="shared" si="532"/>
        <v>27</v>
      </c>
      <c r="D648" s="123">
        <v>1800.4155031376692</v>
      </c>
      <c r="E648" s="124">
        <v>35.702247619628906</v>
      </c>
      <c r="F648" s="125">
        <v>12.613673028679301</v>
      </c>
      <c r="G648" s="126">
        <v>2.3521721363067627</v>
      </c>
      <c r="H648" s="127">
        <f>HLOOKUP('Operational Worksheet'!E648,$B$773:$U$775,3)</f>
        <v>9.3624999999999989</v>
      </c>
      <c r="I648" s="127">
        <f t="shared" si="481"/>
        <v>0.90534656981086969</v>
      </c>
      <c r="J648" s="127">
        <f t="shared" si="482"/>
        <v>16.81434936328445</v>
      </c>
      <c r="K648" s="127">
        <f t="shared" si="533"/>
        <v>2.1295309752100331</v>
      </c>
      <c r="L648" s="127">
        <f t="shared" si="533"/>
        <v>39.550244062445039</v>
      </c>
      <c r="M648" s="127">
        <f t="shared" si="534"/>
        <v>41.67977503765507</v>
      </c>
      <c r="N648" s="128">
        <f t="shared" si="535"/>
        <v>4.4517783751834523</v>
      </c>
      <c r="O648" s="129" t="str">
        <f t="shared" si="483"/>
        <v>OK</v>
      </c>
    </row>
    <row r="649" spans="1:15" ht="14.25" customHeight="1" x14ac:dyDescent="0.25">
      <c r="A649" s="120" t="str">
        <f>IF(N649=MIN(N633:N656),1,"")</f>
        <v/>
      </c>
      <c r="B649" s="121">
        <f t="shared" si="525"/>
        <v>42335.666666666628</v>
      </c>
      <c r="C649" s="122">
        <f t="shared" si="532"/>
        <v>27</v>
      </c>
      <c r="D649" s="123">
        <v>1803.7146458777524</v>
      </c>
      <c r="E649" s="124">
        <v>35.702247619628906</v>
      </c>
      <c r="F649" s="125">
        <v>12.618185420961408</v>
      </c>
      <c r="G649" s="126">
        <v>2.3521721363067627</v>
      </c>
      <c r="H649" s="127">
        <f>HLOOKUP('Operational Worksheet'!E649,$B$773:$U$775,3)</f>
        <v>9.3624999999999989</v>
      </c>
      <c r="I649" s="127">
        <f t="shared" ref="I649:I712" si="536">$G$768/D649*$H$768</f>
        <v>0.90369061632073366</v>
      </c>
      <c r="J649" s="127">
        <f t="shared" ref="J649:J712" si="537">$G$769*F649/D649*$H$769</f>
        <v>16.789598664909807</v>
      </c>
      <c r="K649" s="127">
        <f t="shared" si="533"/>
        <v>2.1256358875515153</v>
      </c>
      <c r="L649" s="127">
        <f t="shared" si="533"/>
        <v>39.49202615937407</v>
      </c>
      <c r="M649" s="127">
        <f t="shared" si="534"/>
        <v>41.617662046925588</v>
      </c>
      <c r="N649" s="128">
        <f t="shared" si="535"/>
        <v>4.4451441438638817</v>
      </c>
      <c r="O649" s="129" t="str">
        <f t="shared" ref="O649:O712" si="538">+IF(N649&gt;=1, "OK","Alarm")</f>
        <v>OK</v>
      </c>
    </row>
    <row r="650" spans="1:15" ht="14.25" customHeight="1" x14ac:dyDescent="0.25">
      <c r="A650" s="120" t="str">
        <f>IF(N650=MIN(N633:N656),1,"")</f>
        <v/>
      </c>
      <c r="B650" s="121">
        <f t="shared" si="525"/>
        <v>42335.708333333292</v>
      </c>
      <c r="C650" s="122">
        <f t="shared" si="532"/>
        <v>27</v>
      </c>
      <c r="D650" s="123">
        <v>1805.6545969855617</v>
      </c>
      <c r="E650" s="124">
        <v>35.702247619628906</v>
      </c>
      <c r="F650" s="125">
        <v>12.627402001811205</v>
      </c>
      <c r="G650" s="126">
        <v>2.3798882961273193</v>
      </c>
      <c r="H650" s="127">
        <f>HLOOKUP('Operational Worksheet'!E650,$B$773:$U$775,3)</f>
        <v>9.3624999999999989</v>
      </c>
      <c r="I650" s="128">
        <f t="shared" si="536"/>
        <v>0.90271971323928335</v>
      </c>
      <c r="J650" s="127">
        <f t="shared" si="537"/>
        <v>16.783810621887849</v>
      </c>
      <c r="K650" s="127">
        <f>I650*$G650</f>
        <v>2.1483720802215802</v>
      </c>
      <c r="L650" s="127">
        <f>J650*$G650</f>
        <v>39.943594463448278</v>
      </c>
      <c r="M650" s="127">
        <f>K650+L650</f>
        <v>42.091966543669855</v>
      </c>
      <c r="N650" s="128">
        <f t="shared" si="535"/>
        <v>4.4958041702184097</v>
      </c>
      <c r="O650" s="129" t="str">
        <f t="shared" si="538"/>
        <v>OK</v>
      </c>
    </row>
    <row r="651" spans="1:15" ht="14.25" customHeight="1" x14ac:dyDescent="0.25">
      <c r="A651" s="120" t="str">
        <f>IF(N651=MIN(N633:N656),1,"")</f>
        <v/>
      </c>
      <c r="B651" s="121">
        <f>B650+1/24</f>
        <v>42335.749999999956</v>
      </c>
      <c r="C651" s="122">
        <f>DAY(B651)</f>
        <v>27</v>
      </c>
      <c r="D651" s="123">
        <v>1804.4877599504694</v>
      </c>
      <c r="E651" s="124">
        <v>35.702247619628906</v>
      </c>
      <c r="F651" s="125">
        <v>12.619264235611663</v>
      </c>
      <c r="G651" s="126">
        <v>2.3798882961273193</v>
      </c>
      <c r="H651" s="127">
        <f>HLOOKUP('Operational Worksheet'!E651,$B$773:$U$775,3)</f>
        <v>9.3624999999999989</v>
      </c>
      <c r="I651" s="127">
        <f t="shared" si="536"/>
        <v>0.90330343944518698</v>
      </c>
      <c r="J651" s="127">
        <f t="shared" si="537"/>
        <v>16.783840177613232</v>
      </c>
      <c r="K651" s="127">
        <f>I651*$G651</f>
        <v>2.1497612833871531</v>
      </c>
      <c r="L651" s="127">
        <f>J651*$G651</f>
        <v>39.943664802773199</v>
      </c>
      <c r="M651" s="127">
        <f>K651+L651</f>
        <v>42.093426086160349</v>
      </c>
      <c r="N651" s="128">
        <f>IF(D651&gt;0,M651/H651,"PO")</f>
        <v>4.4959600626072476</v>
      </c>
      <c r="O651" s="129" t="str">
        <f t="shared" si="538"/>
        <v>OK</v>
      </c>
    </row>
    <row r="652" spans="1:15" ht="14.25" customHeight="1" x14ac:dyDescent="0.25">
      <c r="A652" s="120" t="str">
        <f>IF(N652=MIN(N633:N656),1,"")</f>
        <v/>
      </c>
      <c r="B652" s="121">
        <f t="shared" ref="B652:B656" si="539">B651+1/24</f>
        <v>42335.791666666621</v>
      </c>
      <c r="C652" s="122">
        <f t="shared" ref="C652:C656" si="540">DAY(B652)</f>
        <v>27</v>
      </c>
      <c r="D652" s="123">
        <v>1816.453802539153</v>
      </c>
      <c r="E652" s="124">
        <v>35.702247619628906</v>
      </c>
      <c r="F652" s="125">
        <v>12.62406200977207</v>
      </c>
      <c r="G652" s="126">
        <v>2.3798882961273193</v>
      </c>
      <c r="H652" s="127">
        <f>HLOOKUP('Operational Worksheet'!E652,$B$773:$U$775,3)</f>
        <v>9.3624999999999989</v>
      </c>
      <c r="I652" s="127">
        <f t="shared" si="536"/>
        <v>0.89735285187076264</v>
      </c>
      <c r="J652" s="127">
        <f t="shared" si="537"/>
        <v>16.679614301834086</v>
      </c>
      <c r="K652" s="127">
        <f t="shared" ref="K652:L655" si="541">I652*$G652</f>
        <v>2.1355995496636999</v>
      </c>
      <c r="L652" s="127">
        <f t="shared" si="541"/>
        <v>39.69561886085279</v>
      </c>
      <c r="M652" s="127">
        <f t="shared" ref="M652:M655" si="542">K652+L652</f>
        <v>41.831218410516492</v>
      </c>
      <c r="N652" s="128">
        <f t="shared" ref="N652:N656" si="543">IF(D652&gt;0,M652/H652,"PO")</f>
        <v>4.4679539023248598</v>
      </c>
      <c r="O652" s="129" t="str">
        <f t="shared" si="538"/>
        <v>OK</v>
      </c>
    </row>
    <row r="653" spans="1:15" ht="14.25" customHeight="1" x14ac:dyDescent="0.25">
      <c r="A653" s="120" t="str">
        <f>IF(N653=MIN(N633:N656),1,"")</f>
        <v/>
      </c>
      <c r="B653" s="121">
        <f t="shared" si="539"/>
        <v>42335.833333333285</v>
      </c>
      <c r="C653" s="122">
        <f t="shared" si="540"/>
        <v>27</v>
      </c>
      <c r="D653" s="123">
        <v>1821.8260642925097</v>
      </c>
      <c r="E653" s="124">
        <v>35.702247619628906</v>
      </c>
      <c r="F653" s="125">
        <v>12.625602359510964</v>
      </c>
      <c r="G653" s="126">
        <v>2.3798882961273193</v>
      </c>
      <c r="H653" s="127">
        <f>HLOOKUP('Operational Worksheet'!E653,$B$773:$U$775,3)</f>
        <v>9.3624999999999989</v>
      </c>
      <c r="I653" s="127">
        <f t="shared" si="536"/>
        <v>0.89470670770812377</v>
      </c>
      <c r="J653" s="127">
        <f t="shared" si="537"/>
        <v>16.632458090664993</v>
      </c>
      <c r="K653" s="127">
        <f t="shared" si="541"/>
        <v>2.1293020221411703</v>
      </c>
      <c r="L653" s="127">
        <f t="shared" si="541"/>
        <v>39.583392345801755</v>
      </c>
      <c r="M653" s="127">
        <f t="shared" si="542"/>
        <v>41.712694367942923</v>
      </c>
      <c r="N653" s="128">
        <f t="shared" si="543"/>
        <v>4.4552944585252794</v>
      </c>
      <c r="O653" s="129" t="str">
        <f t="shared" si="538"/>
        <v>OK</v>
      </c>
    </row>
    <row r="654" spans="1:15" ht="14.25" customHeight="1" x14ac:dyDescent="0.25">
      <c r="A654" s="120" t="str">
        <f>IF(N654=MIN(N633:N656),1,"")</f>
        <v/>
      </c>
      <c r="B654" s="121">
        <f t="shared" si="539"/>
        <v>42335.874999999949</v>
      </c>
      <c r="C654" s="122">
        <f t="shared" si="540"/>
        <v>27</v>
      </c>
      <c r="D654" s="123">
        <v>1798.3306452147394</v>
      </c>
      <c r="E654" s="124">
        <v>36.102068937081576</v>
      </c>
      <c r="F654" s="125">
        <v>12.609201376165368</v>
      </c>
      <c r="G654" s="126">
        <v>2.3798882961273193</v>
      </c>
      <c r="H654" s="127">
        <f>HLOOKUP('Operational Worksheet'!E654,$B$773:$U$775,3)</f>
        <v>9.3624999999999989</v>
      </c>
      <c r="I654" s="127">
        <f t="shared" si="536"/>
        <v>0.90639616487509778</v>
      </c>
      <c r="J654" s="127">
        <f t="shared" si="537"/>
        <v>16.827874998028115</v>
      </c>
      <c r="K654" s="127">
        <f t="shared" si="541"/>
        <v>2.1571216244409332</v>
      </c>
      <c r="L654" s="127">
        <f t="shared" si="541"/>
        <v>40.048462756500648</v>
      </c>
      <c r="M654" s="127">
        <f t="shared" si="542"/>
        <v>42.20558438094158</v>
      </c>
      <c r="N654" s="128">
        <f t="shared" si="543"/>
        <v>4.5079395867494352</v>
      </c>
      <c r="O654" s="129" t="str">
        <f t="shared" si="538"/>
        <v>OK</v>
      </c>
    </row>
    <row r="655" spans="1:15" ht="14.25" customHeight="1" x14ac:dyDescent="0.25">
      <c r="A655" s="120" t="str">
        <f>IF(N655=MIN(N633:N656),1,"")</f>
        <v/>
      </c>
      <c r="B655" s="121">
        <f t="shared" si="539"/>
        <v>42335.916666666613</v>
      </c>
      <c r="C655" s="122">
        <f t="shared" si="540"/>
        <v>27</v>
      </c>
      <c r="D655" s="123">
        <v>1803.621687430367</v>
      </c>
      <c r="E655" s="124">
        <v>36.543159484863281</v>
      </c>
      <c r="F655" s="125">
        <v>12.631666080092987</v>
      </c>
      <c r="G655" s="126">
        <v>2.3798882961273193</v>
      </c>
      <c r="H655" s="127">
        <f>HLOOKUP('Operational Worksheet'!E655,$B$773:$U$775,3)</f>
        <v>9.3624999999999989</v>
      </c>
      <c r="I655" s="127">
        <f t="shared" si="536"/>
        <v>0.90373719242768302</v>
      </c>
      <c r="J655" s="127">
        <f t="shared" si="537"/>
        <v>16.808402118636415</v>
      </c>
      <c r="K655" s="127">
        <f t="shared" si="541"/>
        <v>2.150793567033606</v>
      </c>
      <c r="L655" s="127">
        <f t="shared" si="541"/>
        <v>40.00211947874444</v>
      </c>
      <c r="M655" s="127">
        <f t="shared" si="542"/>
        <v>42.15291304577805</v>
      </c>
      <c r="N655" s="128">
        <f t="shared" si="543"/>
        <v>4.5023138099629429</v>
      </c>
      <c r="O655" s="129" t="str">
        <f t="shared" si="538"/>
        <v>OK</v>
      </c>
    </row>
    <row r="656" spans="1:15" ht="14.25" customHeight="1" x14ac:dyDescent="0.25">
      <c r="A656" s="130" t="str">
        <f>IF(N656=MIN(N633:N656),1,"")</f>
        <v/>
      </c>
      <c r="B656" s="131">
        <f t="shared" si="539"/>
        <v>42335.958333333278</v>
      </c>
      <c r="C656" s="132">
        <f t="shared" si="540"/>
        <v>27</v>
      </c>
      <c r="D656" s="123">
        <v>1802.1076281494438</v>
      </c>
      <c r="E656" s="124">
        <v>36.543159484863281</v>
      </c>
      <c r="F656" s="125">
        <v>12.618739887324518</v>
      </c>
      <c r="G656" s="126">
        <v>2.3798882961273193</v>
      </c>
      <c r="H656" s="133">
        <f>HLOOKUP('Operational Worksheet'!E656,$B$773:$U$775,3)</f>
        <v>9.3624999999999989</v>
      </c>
      <c r="I656" s="134">
        <f t="shared" si="536"/>
        <v>0.90449647653609988</v>
      </c>
      <c r="J656" s="133">
        <f t="shared" si="537"/>
        <v>16.805309103917402</v>
      </c>
      <c r="K656" s="133">
        <f>I656*$G656</f>
        <v>2.1526005783966626</v>
      </c>
      <c r="L656" s="133">
        <f>J656*$G656</f>
        <v>39.994758449214913</v>
      </c>
      <c r="M656" s="133">
        <f>K656+L656</f>
        <v>42.147359027611579</v>
      </c>
      <c r="N656" s="134">
        <f t="shared" si="543"/>
        <v>4.5017205903991009</v>
      </c>
      <c r="O656" s="135" t="str">
        <f t="shared" si="538"/>
        <v>OK</v>
      </c>
    </row>
    <row r="657" spans="1:15" ht="14.25" customHeight="1" x14ac:dyDescent="0.25">
      <c r="A657" s="110" t="str">
        <f>IF(N657=MIN(N657:N680),1,"")</f>
        <v/>
      </c>
      <c r="B657" s="111">
        <f>'[1]Turbidity Daily Data Sheet'!B43</f>
        <v>42336</v>
      </c>
      <c r="C657" s="112">
        <f>DAY(B657)</f>
        <v>28</v>
      </c>
      <c r="D657" s="123">
        <v>1804.255983281839</v>
      </c>
      <c r="E657" s="124">
        <v>36.543159484863281</v>
      </c>
      <c r="F657" s="125">
        <v>12.629566415789382</v>
      </c>
      <c r="G657" s="126">
        <v>2.3798882961273193</v>
      </c>
      <c r="H657" s="117">
        <f>HLOOKUP('Operational Worksheet'!E657,$B$773:$U$775,3)</f>
        <v>9.3624999999999989</v>
      </c>
      <c r="I657" s="117">
        <f t="shared" si="536"/>
        <v>0.90341947877879425</v>
      </c>
      <c r="J657" s="117">
        <f t="shared" si="537"/>
        <v>16.799700086215374</v>
      </c>
      <c r="K657" s="117">
        <f>I657*$G657</f>
        <v>2.1500374440390955</v>
      </c>
      <c r="L657" s="117">
        <f>J657*$G657</f>
        <v>39.981409613633083</v>
      </c>
      <c r="M657" s="117">
        <f>K657+L657</f>
        <v>42.131447057672176</v>
      </c>
      <c r="N657" s="118">
        <f>IF(D657&gt;0,M657/H657,"PO")</f>
        <v>4.5000210475484304</v>
      </c>
      <c r="O657" s="119" t="str">
        <f t="shared" si="538"/>
        <v>OK</v>
      </c>
    </row>
    <row r="658" spans="1:15" ht="14.25" customHeight="1" x14ac:dyDescent="0.25">
      <c r="A658" s="120" t="str">
        <f>IF(N658=MIN(N657:N680),1,"")</f>
        <v/>
      </c>
      <c r="B658" s="121">
        <f>B657+1/24</f>
        <v>42336.041666666664</v>
      </c>
      <c r="C658" s="122">
        <f>DAY(B658)</f>
        <v>28</v>
      </c>
      <c r="D658" s="123">
        <v>1807.5427650770848</v>
      </c>
      <c r="E658" s="124">
        <v>36.543159484863281</v>
      </c>
      <c r="F658" s="125">
        <v>12.619058541843893</v>
      </c>
      <c r="G658" s="126">
        <v>2.3935861587524414</v>
      </c>
      <c r="H658" s="127">
        <f>HLOOKUP('Operational Worksheet'!E658,$B$773:$U$775,3)</f>
        <v>9.3624999999999989</v>
      </c>
      <c r="I658" s="127">
        <f t="shared" si="536"/>
        <v>0.9017767277724611</v>
      </c>
      <c r="J658" s="127">
        <f t="shared" si="537"/>
        <v>16.755199979533415</v>
      </c>
      <c r="K658" s="127">
        <f t="shared" ref="K658:L661" si="544">I658*$G658</f>
        <v>2.1584802938812313</v>
      </c>
      <c r="L658" s="127">
        <f t="shared" si="544"/>
        <v>40.105014758140371</v>
      </c>
      <c r="M658" s="127">
        <f t="shared" ref="M658:M661" si="545">K658+L658</f>
        <v>42.263495052021604</v>
      </c>
      <c r="N658" s="128">
        <f t="shared" ref="N658:N662" si="546">IF(D658&gt;0,M658/H658,"PO")</f>
        <v>4.5141249721785428</v>
      </c>
      <c r="O658" s="129" t="str">
        <f t="shared" si="538"/>
        <v>OK</v>
      </c>
    </row>
    <row r="659" spans="1:15" ht="14.25" customHeight="1" x14ac:dyDescent="0.25">
      <c r="A659" s="120" t="str">
        <f>IF(N659=MIN(N657:N680),1,"")</f>
        <v/>
      </c>
      <c r="B659" s="121">
        <f t="shared" ref="B659:B674" si="547">B658+1/24</f>
        <v>42336.083333333328</v>
      </c>
      <c r="C659" s="122">
        <f t="shared" ref="C659" si="548">DAY(B659)</f>
        <v>28</v>
      </c>
      <c r="D659" s="123">
        <v>1802.8551067142791</v>
      </c>
      <c r="E659" s="124">
        <v>36.543159484863281</v>
      </c>
      <c r="F659" s="125">
        <v>12.621240308617699</v>
      </c>
      <c r="G659" s="126">
        <v>2.215087890625</v>
      </c>
      <c r="H659" s="127">
        <f>HLOOKUP('Operational Worksheet'!E659,$B$773:$U$775,3)</f>
        <v>9.3624999999999989</v>
      </c>
      <c r="I659" s="127">
        <f t="shared" si="536"/>
        <v>0.90412146485287481</v>
      </c>
      <c r="J659" s="127">
        <f t="shared" si="537"/>
        <v>16.801670099760859</v>
      </c>
      <c r="K659" s="127">
        <f t="shared" si="544"/>
        <v>2.0027085084497394</v>
      </c>
      <c r="L659" s="127">
        <f t="shared" si="544"/>
        <v>37.217175980256414</v>
      </c>
      <c r="M659" s="127">
        <f t="shared" si="545"/>
        <v>39.219884488706157</v>
      </c>
      <c r="N659" s="128">
        <f t="shared" si="546"/>
        <v>4.1890397317710182</v>
      </c>
      <c r="O659" s="129" t="str">
        <f t="shared" si="538"/>
        <v>OK</v>
      </c>
    </row>
    <row r="660" spans="1:15" ht="14.25" customHeight="1" x14ac:dyDescent="0.25">
      <c r="A660" s="120" t="str">
        <f>IF(N660=MIN(N657:N680),1,"")</f>
        <v/>
      </c>
      <c r="B660" s="121">
        <f t="shared" si="547"/>
        <v>42336.124999999993</v>
      </c>
      <c r="C660" s="122">
        <f>DAY(B660)</f>
        <v>28</v>
      </c>
      <c r="D660" s="123">
        <v>1823.835120065371</v>
      </c>
      <c r="E660" s="124">
        <v>36.543159484863281</v>
      </c>
      <c r="F660" s="125">
        <v>12.630028813128684</v>
      </c>
      <c r="G660" s="126">
        <v>2.3867371082305908</v>
      </c>
      <c r="H660" s="127">
        <f>HLOOKUP('Operational Worksheet'!E660,$B$773:$U$775,3)</f>
        <v>9.3624999999999989</v>
      </c>
      <c r="I660" s="127">
        <f t="shared" si="536"/>
        <v>0.8937211385322904</v>
      </c>
      <c r="J660" s="127">
        <f t="shared" si="537"/>
        <v>16.619961321077298</v>
      </c>
      <c r="K660" s="127">
        <f t="shared" si="544"/>
        <v>2.1330774057451101</v>
      </c>
      <c r="L660" s="127">
        <f t="shared" si="544"/>
        <v>39.667478422372298</v>
      </c>
      <c r="M660" s="127">
        <f t="shared" si="545"/>
        <v>41.80055582811741</v>
      </c>
      <c r="N660" s="128">
        <f t="shared" si="546"/>
        <v>4.4646788601460523</v>
      </c>
      <c r="O660" s="129" t="str">
        <f t="shared" si="538"/>
        <v>OK</v>
      </c>
    </row>
    <row r="661" spans="1:15" ht="14.25" customHeight="1" x14ac:dyDescent="0.25">
      <c r="A661" s="120" t="str">
        <f>IF(N661=MIN(N657:N680),1,"")</f>
        <v/>
      </c>
      <c r="B661" s="121">
        <f t="shared" si="547"/>
        <v>42336.166666666657</v>
      </c>
      <c r="C661" s="122">
        <f t="shared" ref="C661:C662" si="549">DAY(B661)</f>
        <v>28</v>
      </c>
      <c r="D661" s="123">
        <v>1812.4043211565911</v>
      </c>
      <c r="E661" s="124">
        <v>36.543159484863281</v>
      </c>
      <c r="F661" s="125">
        <v>12.628426830642605</v>
      </c>
      <c r="G661" s="126">
        <v>2.3867371082305908</v>
      </c>
      <c r="H661" s="127">
        <f>HLOOKUP('Operational Worksheet'!E661,$B$773:$U$775,3)</f>
        <v>9.3624999999999989</v>
      </c>
      <c r="I661" s="127">
        <f t="shared" si="536"/>
        <v>0.89935782042265866</v>
      </c>
      <c r="J661" s="127">
        <f t="shared" si="537"/>
        <v>16.722661737090192</v>
      </c>
      <c r="K661" s="127">
        <f t="shared" si="544"/>
        <v>2.1465306835801434</v>
      </c>
      <c r="L661" s="127">
        <f t="shared" si="544"/>
        <v>39.912597316300996</v>
      </c>
      <c r="M661" s="127">
        <f t="shared" si="545"/>
        <v>42.059127999881142</v>
      </c>
      <c r="N661" s="128">
        <f t="shared" si="546"/>
        <v>4.4922967156081333</v>
      </c>
      <c r="O661" s="129" t="str">
        <f t="shared" si="538"/>
        <v>OK</v>
      </c>
    </row>
    <row r="662" spans="1:15" ht="14.25" customHeight="1" x14ac:dyDescent="0.25">
      <c r="A662" s="120" t="str">
        <f>IF(N662=MIN(N657:N680),1,"")</f>
        <v/>
      </c>
      <c r="B662" s="121">
        <f t="shared" si="547"/>
        <v>42336.208333333321</v>
      </c>
      <c r="C662" s="122">
        <f t="shared" si="549"/>
        <v>28</v>
      </c>
      <c r="D662" s="123">
        <v>1813.1192930601594</v>
      </c>
      <c r="E662" s="124">
        <v>36.549658864034221</v>
      </c>
      <c r="F662" s="125">
        <v>12.623686437340298</v>
      </c>
      <c r="G662" s="126">
        <v>2.3867371082305908</v>
      </c>
      <c r="H662" s="127">
        <f>HLOOKUP('Operational Worksheet'!E662,$B$773:$U$775,3)</f>
        <v>9.3624999999999989</v>
      </c>
      <c r="I662" s="128">
        <f t="shared" si="536"/>
        <v>0.89900317438512667</v>
      </c>
      <c r="J662" s="127">
        <f t="shared" si="537"/>
        <v>16.709792657096536</v>
      </c>
      <c r="K662" s="127">
        <f>I662*$G662</f>
        <v>2.145684236722079</v>
      </c>
      <c r="L662" s="127">
        <f>J662*$G662</f>
        <v>39.881882205531348</v>
      </c>
      <c r="M662" s="127">
        <f>K662+L662</f>
        <v>42.027566442253423</v>
      </c>
      <c r="N662" s="128">
        <f t="shared" si="546"/>
        <v>4.4889256547133165</v>
      </c>
      <c r="O662" s="129" t="str">
        <f t="shared" si="538"/>
        <v>OK</v>
      </c>
    </row>
    <row r="663" spans="1:15" ht="14.25" customHeight="1" x14ac:dyDescent="0.25">
      <c r="A663" s="120" t="str">
        <f>IF(N663=MIN(N657:N680),1,"")</f>
        <v/>
      </c>
      <c r="B663" s="121">
        <f t="shared" si="547"/>
        <v>42336.249999999985</v>
      </c>
      <c r="C663" s="122">
        <f>DAY(B663)</f>
        <v>28</v>
      </c>
      <c r="D663" s="123">
        <v>1806.2703462248344</v>
      </c>
      <c r="E663" s="124">
        <v>36.553756713867188</v>
      </c>
      <c r="F663" s="125">
        <v>12.621677828577246</v>
      </c>
      <c r="G663" s="126">
        <v>2.3867371082305908</v>
      </c>
      <c r="H663" s="127">
        <f>HLOOKUP('Operational Worksheet'!E663,$B$773:$U$775,3)</f>
        <v>9.3624999999999989</v>
      </c>
      <c r="I663" s="127">
        <f t="shared" si="536"/>
        <v>0.90241198024800362</v>
      </c>
      <c r="J663" s="127">
        <f t="shared" si="537"/>
        <v>16.770483361971113</v>
      </c>
      <c r="K663" s="127">
        <f>I663*$G663</f>
        <v>2.1538201601697611</v>
      </c>
      <c r="L663" s="127">
        <f>J663*$G663</f>
        <v>40.026734962980171</v>
      </c>
      <c r="M663" s="127">
        <f>K663+L663</f>
        <v>42.180555123149929</v>
      </c>
      <c r="N663" s="128">
        <f>IF(D663&gt;0,M663/H663,"PO")</f>
        <v>4.5052662347823693</v>
      </c>
      <c r="O663" s="129" t="str">
        <f t="shared" si="538"/>
        <v>OK</v>
      </c>
    </row>
    <row r="664" spans="1:15" ht="14.25" customHeight="1" x14ac:dyDescent="0.25">
      <c r="A664" s="120" t="str">
        <f>IF(N664=MIN(N657:N680),1,"")</f>
        <v/>
      </c>
      <c r="B664" s="121">
        <f t="shared" si="547"/>
        <v>42336.29166666665</v>
      </c>
      <c r="C664" s="122">
        <f t="shared" ref="C664:C668" si="550">DAY(B664)</f>
        <v>28</v>
      </c>
      <c r="D664" s="123">
        <v>1710.9162923815388</v>
      </c>
      <c r="E664" s="124">
        <v>36.553756713867188</v>
      </c>
      <c r="F664" s="125">
        <v>12.619378003884426</v>
      </c>
      <c r="G664" s="126">
        <v>2.3867371082305908</v>
      </c>
      <c r="H664" s="127">
        <f>HLOOKUP('Operational Worksheet'!E664,$B$773:$U$775,3)</f>
        <v>9.3624999999999989</v>
      </c>
      <c r="I664" s="127">
        <f t="shared" si="536"/>
        <v>0.95270587302146381</v>
      </c>
      <c r="J664" s="127">
        <f t="shared" si="537"/>
        <v>17.701922264802803</v>
      </c>
      <c r="K664" s="127">
        <f t="shared" ref="K664:L667" si="551">I664*$G664</f>
        <v>2.2738584603695489</v>
      </c>
      <c r="L664" s="127">
        <f t="shared" si="551"/>
        <v>42.249834756418153</v>
      </c>
      <c r="M664" s="127">
        <f t="shared" ref="M664:M667" si="552">K664+L664</f>
        <v>44.523693216787699</v>
      </c>
      <c r="N664" s="128">
        <f t="shared" ref="N664:N668" si="553">IF(D664&gt;0,M664/H664,"PO")</f>
        <v>4.7555346559986864</v>
      </c>
      <c r="O664" s="129" t="str">
        <f t="shared" si="538"/>
        <v>OK</v>
      </c>
    </row>
    <row r="665" spans="1:15" ht="14.25" customHeight="1" x14ac:dyDescent="0.25">
      <c r="A665" s="120" t="str">
        <f>IF(N665=MIN(N657:N680),1,"")</f>
        <v/>
      </c>
      <c r="B665" s="121">
        <f t="shared" si="547"/>
        <v>42336.333333333314</v>
      </c>
      <c r="C665" s="122">
        <f t="shared" si="550"/>
        <v>28</v>
      </c>
      <c r="D665" s="123">
        <v>1679.579710408532</v>
      </c>
      <c r="E665" s="124">
        <v>36.553756713867188</v>
      </c>
      <c r="F665" s="125">
        <v>12.620944652997242</v>
      </c>
      <c r="G665" s="126">
        <v>2.3867371082305908</v>
      </c>
      <c r="H665" s="127">
        <f>HLOOKUP('Operational Worksheet'!E665,$B$773:$U$775,3)</f>
        <v>9.3624999999999989</v>
      </c>
      <c r="I665" s="127">
        <f t="shared" si="536"/>
        <v>0.97048088274627198</v>
      </c>
      <c r="J665" s="127">
        <f t="shared" si="537"/>
        <v>18.034432649716717</v>
      </c>
      <c r="K665" s="127">
        <f t="shared" si="551"/>
        <v>2.3162827356789082</v>
      </c>
      <c r="L665" s="127">
        <f t="shared" si="551"/>
        <v>43.043449630964226</v>
      </c>
      <c r="M665" s="127">
        <f t="shared" si="552"/>
        <v>45.359732366643136</v>
      </c>
      <c r="N665" s="128">
        <f t="shared" si="553"/>
        <v>4.8448312274118175</v>
      </c>
      <c r="O665" s="129" t="str">
        <f t="shared" si="538"/>
        <v>OK</v>
      </c>
    </row>
    <row r="666" spans="1:15" ht="14.25" customHeight="1" x14ac:dyDescent="0.25">
      <c r="A666" s="120" t="str">
        <f>IF(N666=MIN(N657:N680),1,"")</f>
        <v/>
      </c>
      <c r="B666" s="121">
        <f t="shared" si="547"/>
        <v>42336.374999999978</v>
      </c>
      <c r="C666" s="122">
        <f t="shared" si="550"/>
        <v>28</v>
      </c>
      <c r="D666" s="123">
        <v>1828.6905818007992</v>
      </c>
      <c r="E666" s="124">
        <v>36.553756713867188</v>
      </c>
      <c r="F666" s="125">
        <v>12.633059483767742</v>
      </c>
      <c r="G666" s="126">
        <v>2.3661909103393555</v>
      </c>
      <c r="H666" s="127">
        <f>HLOOKUP('Operational Worksheet'!E666,$B$773:$U$775,3)</f>
        <v>9.3624999999999989</v>
      </c>
      <c r="I666" s="127">
        <f t="shared" si="536"/>
        <v>0.89134816803992112</v>
      </c>
      <c r="J666" s="127">
        <f t="shared" si="537"/>
        <v>16.579810200140951</v>
      </c>
      <c r="K666" s="127">
        <f t="shared" si="551"/>
        <v>2.1090999331636979</v>
      </c>
      <c r="L666" s="127">
        <f t="shared" si="551"/>
        <v>39.23099619072525</v>
      </c>
      <c r="M666" s="127">
        <f t="shared" si="552"/>
        <v>41.340096123888948</v>
      </c>
      <c r="N666" s="128">
        <f t="shared" si="553"/>
        <v>4.4154975833259229</v>
      </c>
      <c r="O666" s="129" t="str">
        <f t="shared" si="538"/>
        <v>OK</v>
      </c>
    </row>
    <row r="667" spans="1:15" ht="14.25" customHeight="1" x14ac:dyDescent="0.25">
      <c r="A667" s="120" t="str">
        <f>IF(N667=MIN(N657:N680),1,"")</f>
        <v/>
      </c>
      <c r="B667" s="121">
        <f t="shared" si="547"/>
        <v>42336.416666666642</v>
      </c>
      <c r="C667" s="122">
        <f t="shared" si="550"/>
        <v>28</v>
      </c>
      <c r="D667" s="123">
        <v>1798.5986372078703</v>
      </c>
      <c r="E667" s="124">
        <v>36.553756713867188</v>
      </c>
      <c r="F667" s="125">
        <v>12.625728627449673</v>
      </c>
      <c r="G667" s="126">
        <v>2.3661909103393555</v>
      </c>
      <c r="H667" s="127">
        <f>HLOOKUP('Operational Worksheet'!E667,$B$773:$U$775,3)</f>
        <v>9.3624999999999989</v>
      </c>
      <c r="I667" s="127">
        <f t="shared" si="536"/>
        <v>0.90626111144529642</v>
      </c>
      <c r="J667" s="127">
        <f t="shared" si="537"/>
        <v>16.847421141672495</v>
      </c>
      <c r="K667" s="127">
        <f t="shared" si="551"/>
        <v>2.1443868042959022</v>
      </c>
      <c r="L667" s="127">
        <f t="shared" si="551"/>
        <v>39.864214768084544</v>
      </c>
      <c r="M667" s="127">
        <f t="shared" si="552"/>
        <v>42.008601572380449</v>
      </c>
      <c r="N667" s="128">
        <f t="shared" si="553"/>
        <v>4.4869000344331589</v>
      </c>
      <c r="O667" s="129" t="str">
        <f t="shared" si="538"/>
        <v>OK</v>
      </c>
    </row>
    <row r="668" spans="1:15" ht="14.25" customHeight="1" x14ac:dyDescent="0.25">
      <c r="A668" s="120" t="str">
        <f>IF(N668=MIN(N657:N680),1,"")</f>
        <v/>
      </c>
      <c r="B668" s="121">
        <f t="shared" si="547"/>
        <v>42336.458333333307</v>
      </c>
      <c r="C668" s="122">
        <f t="shared" si="550"/>
        <v>28</v>
      </c>
      <c r="D668" s="123">
        <v>1802.869832042609</v>
      </c>
      <c r="E668" s="124">
        <v>36.553756713867188</v>
      </c>
      <c r="F668" s="125">
        <v>12.625811204862973</v>
      </c>
      <c r="G668" s="126">
        <v>2.3661909103393555</v>
      </c>
      <c r="H668" s="127">
        <f>HLOOKUP('Operational Worksheet'!E668,$B$773:$U$775,3)</f>
        <v>9.3624999999999989</v>
      </c>
      <c r="I668" s="128">
        <f t="shared" si="536"/>
        <v>0.90411408024574269</v>
      </c>
      <c r="J668" s="127">
        <f t="shared" si="537"/>
        <v>16.807617695471528</v>
      </c>
      <c r="K668" s="127">
        <f>I668*$G668</f>
        <v>2.1393065185873028</v>
      </c>
      <c r="L668" s="127">
        <f>J668*$G668</f>
        <v>39.770032215483631</v>
      </c>
      <c r="M668" s="127">
        <f>K668+L668</f>
        <v>41.909338734070936</v>
      </c>
      <c r="N668" s="128">
        <f t="shared" si="553"/>
        <v>4.4762978621170566</v>
      </c>
      <c r="O668" s="129" t="str">
        <f t="shared" si="538"/>
        <v>OK</v>
      </c>
    </row>
    <row r="669" spans="1:15" ht="14.25" customHeight="1" x14ac:dyDescent="0.25">
      <c r="A669" s="120" t="str">
        <f>IF(N669=MIN(N657:N680),1,"")</f>
        <v/>
      </c>
      <c r="B669" s="121">
        <f t="shared" si="547"/>
        <v>42336.499999999971</v>
      </c>
      <c r="C669" s="122">
        <f>DAY(B669)</f>
        <v>28</v>
      </c>
      <c r="D669" s="123">
        <v>1806.5292891832805</v>
      </c>
      <c r="E669" s="124">
        <v>36.553756713867188</v>
      </c>
      <c r="F669" s="125">
        <v>12.638439725205478</v>
      </c>
      <c r="G669" s="126">
        <v>2.3661909103393555</v>
      </c>
      <c r="H669" s="127">
        <f>HLOOKUP('Operational Worksheet'!E669,$B$773:$U$775,3)</f>
        <v>9.3624999999999989</v>
      </c>
      <c r="I669" s="127">
        <f t="shared" si="536"/>
        <v>0.90228263098735129</v>
      </c>
      <c r="J669" s="127">
        <f t="shared" si="537"/>
        <v>16.79034794625785</v>
      </c>
      <c r="K669" s="127">
        <f>I669*$G669</f>
        <v>2.1349729599993497</v>
      </c>
      <c r="L669" s="127">
        <f>J669*$G669</f>
        <v>39.729168691870392</v>
      </c>
      <c r="M669" s="127">
        <f>K669+L669</f>
        <v>41.864141651869744</v>
      </c>
      <c r="N669" s="128">
        <f>IF(D669&gt;0,M669/H669,"PO")</f>
        <v>4.4714704034039787</v>
      </c>
      <c r="O669" s="129" t="str">
        <f t="shared" si="538"/>
        <v>OK</v>
      </c>
    </row>
    <row r="670" spans="1:15" ht="14.25" customHeight="1" x14ac:dyDescent="0.25">
      <c r="A670" s="120" t="str">
        <f>IF(N670=MIN(N657:N680),1,"")</f>
        <v/>
      </c>
      <c r="B670" s="121">
        <f t="shared" si="547"/>
        <v>42336.541666666635</v>
      </c>
      <c r="C670" s="122">
        <f t="shared" ref="C670:C674" si="554">DAY(B670)</f>
        <v>28</v>
      </c>
      <c r="D670" s="123">
        <v>1812.0618420833412</v>
      </c>
      <c r="E670" s="124">
        <v>35.670919794164043</v>
      </c>
      <c r="F670" s="125">
        <v>12.625046613347813</v>
      </c>
      <c r="G670" s="126">
        <v>2.3661909103393555</v>
      </c>
      <c r="H670" s="127">
        <f>HLOOKUP('Operational Worksheet'!E670,$B$773:$U$775,3)</f>
        <v>9.3624999999999989</v>
      </c>
      <c r="I670" s="127">
        <f t="shared" si="536"/>
        <v>0.89952779874553102</v>
      </c>
      <c r="J670" s="127">
        <f t="shared" si="537"/>
        <v>16.721345358278988</v>
      </c>
      <c r="K670" s="127">
        <f t="shared" ref="K670:L673" si="555">I670*$G670</f>
        <v>2.1284545009892444</v>
      </c>
      <c r="L670" s="127">
        <f t="shared" si="555"/>
        <v>39.565895395404915</v>
      </c>
      <c r="M670" s="127">
        <f t="shared" ref="M670:M673" si="556">K670+L670</f>
        <v>41.694349896394158</v>
      </c>
      <c r="N670" s="128">
        <f t="shared" ref="N670:N674" si="557">IF(D670&gt;0,M670/H670,"PO")</f>
        <v>4.4533351024186025</v>
      </c>
      <c r="O670" s="129" t="str">
        <f t="shared" si="538"/>
        <v>OK</v>
      </c>
    </row>
    <row r="671" spans="1:15" ht="14.25" customHeight="1" x14ac:dyDescent="0.25">
      <c r="A671" s="120" t="str">
        <f>IF(N671=MIN(N657:N680),1,"")</f>
        <v/>
      </c>
      <c r="B671" s="121">
        <f t="shared" si="547"/>
        <v>42336.583333333299</v>
      </c>
      <c r="C671" s="122">
        <f t="shared" si="554"/>
        <v>28</v>
      </c>
      <c r="D671" s="123">
        <v>1816.2618265249953</v>
      </c>
      <c r="E671" s="124">
        <v>35.295925140380859</v>
      </c>
      <c r="F671" s="125">
        <v>12.625077038307621</v>
      </c>
      <c r="G671" s="126">
        <v>2.3661909103393555</v>
      </c>
      <c r="H671" s="127">
        <f>HLOOKUP('Operational Worksheet'!E671,$B$773:$U$775,3)</f>
        <v>10.149999999999999</v>
      </c>
      <c r="I671" s="127">
        <f t="shared" si="536"/>
        <v>0.89744770065372947</v>
      </c>
      <c r="J671" s="127">
        <f t="shared" si="537"/>
        <v>16.682718564817726</v>
      </c>
      <c r="K671" s="127">
        <f t="shared" si="555"/>
        <v>2.1235325917918093</v>
      </c>
      <c r="L671" s="127">
        <f t="shared" si="555"/>
        <v>39.474497027821322</v>
      </c>
      <c r="M671" s="127">
        <f t="shared" si="556"/>
        <v>41.598029619613129</v>
      </c>
      <c r="N671" s="128">
        <f t="shared" si="557"/>
        <v>4.0983280413411958</v>
      </c>
      <c r="O671" s="129" t="str">
        <f t="shared" si="538"/>
        <v>OK</v>
      </c>
    </row>
    <row r="672" spans="1:15" ht="14.25" customHeight="1" x14ac:dyDescent="0.25">
      <c r="A672" s="120" t="str">
        <f>IF(N672=MIN(N657:N680),1,"")</f>
        <v/>
      </c>
      <c r="B672" s="121">
        <f t="shared" si="547"/>
        <v>42336.624999999964</v>
      </c>
      <c r="C672" s="122">
        <f t="shared" si="554"/>
        <v>28</v>
      </c>
      <c r="D672" s="123">
        <v>1817.9206406142096</v>
      </c>
      <c r="E672" s="124">
        <v>35.295925140380859</v>
      </c>
      <c r="F672" s="125">
        <v>12.6251163847275</v>
      </c>
      <c r="G672" s="126">
        <v>2.3661909103393555</v>
      </c>
      <c r="H672" s="127">
        <f>HLOOKUP('Operational Worksheet'!E672,$B$773:$U$775,3)</f>
        <v>10.149999999999999</v>
      </c>
      <c r="I672" s="127">
        <f t="shared" si="536"/>
        <v>0.89662879863077083</v>
      </c>
      <c r="J672" s="127">
        <f t="shared" si="537"/>
        <v>16.66754788212792</v>
      </c>
      <c r="K672" s="127">
        <f t="shared" si="555"/>
        <v>2.1215949132686265</v>
      </c>
      <c r="L672" s="127">
        <f t="shared" si="555"/>
        <v>39.438600296337057</v>
      </c>
      <c r="M672" s="127">
        <f t="shared" si="556"/>
        <v>41.560195209605681</v>
      </c>
      <c r="N672" s="128">
        <f t="shared" si="557"/>
        <v>4.0946005132616436</v>
      </c>
      <c r="O672" s="129" t="str">
        <f t="shared" si="538"/>
        <v>OK</v>
      </c>
    </row>
    <row r="673" spans="1:15" ht="14.25" customHeight="1" x14ac:dyDescent="0.25">
      <c r="A673" s="120">
        <f>IF(N673=MIN(N657:N680),1,"")</f>
        <v>1</v>
      </c>
      <c r="B673" s="121">
        <f t="shared" si="547"/>
        <v>42336.666666666628</v>
      </c>
      <c r="C673" s="122">
        <f t="shared" si="554"/>
        <v>28</v>
      </c>
      <c r="D673" s="123">
        <v>1807.407830250218</v>
      </c>
      <c r="E673" s="124">
        <v>35.295925140380859</v>
      </c>
      <c r="F673" s="125">
        <v>12.60979176267492</v>
      </c>
      <c r="G673" s="126">
        <v>2.2974882125854492</v>
      </c>
      <c r="H673" s="127">
        <f>HLOOKUP('Operational Worksheet'!E673,$B$773:$U$775,3)</f>
        <v>10.149999999999999</v>
      </c>
      <c r="I673" s="127">
        <f t="shared" si="536"/>
        <v>0.90184405130874223</v>
      </c>
      <c r="J673" s="127">
        <f t="shared" si="537"/>
        <v>16.744145800358805</v>
      </c>
      <c r="K673" s="127">
        <f t="shared" si="555"/>
        <v>2.0719760774721423</v>
      </c>
      <c r="L673" s="127">
        <f t="shared" si="555"/>
        <v>38.469477606136508</v>
      </c>
      <c r="M673" s="127">
        <f t="shared" si="556"/>
        <v>40.541453683608651</v>
      </c>
      <c r="N673" s="128">
        <f t="shared" si="557"/>
        <v>3.9942318900107052</v>
      </c>
      <c r="O673" s="129" t="str">
        <f t="shared" si="538"/>
        <v>OK</v>
      </c>
    </row>
    <row r="674" spans="1:15" ht="14.25" customHeight="1" x14ac:dyDescent="0.25">
      <c r="A674" s="120" t="str">
        <f>IF(N674=MIN(N657:N680),1,"")</f>
        <v/>
      </c>
      <c r="B674" s="121">
        <f t="shared" si="547"/>
        <v>42336.708333333292</v>
      </c>
      <c r="C674" s="122">
        <f t="shared" si="554"/>
        <v>28</v>
      </c>
      <c r="D674" s="123">
        <v>1802.1596330540433</v>
      </c>
      <c r="E674" s="124">
        <v>35.295925140380859</v>
      </c>
      <c r="F674" s="125">
        <v>12.613853255005948</v>
      </c>
      <c r="G674" s="126">
        <v>2.2974882125854492</v>
      </c>
      <c r="H674" s="127">
        <f>HLOOKUP('Operational Worksheet'!E674,$B$773:$U$775,3)</f>
        <v>10.149999999999999</v>
      </c>
      <c r="I674" s="128">
        <f t="shared" si="536"/>
        <v>0.90447037548927245</v>
      </c>
      <c r="J674" s="127">
        <f t="shared" si="537"/>
        <v>16.798316451418618</v>
      </c>
      <c r="K674" s="127">
        <f>I674*$G674</f>
        <v>2.0780100263193386</v>
      </c>
      <c r="L674" s="127">
        <f>J674*$G674</f>
        <v>38.59393403841451</v>
      </c>
      <c r="M674" s="127">
        <f>K674+L674</f>
        <v>40.67194406473385</v>
      </c>
      <c r="N674" s="128">
        <f t="shared" si="557"/>
        <v>4.0070880851954538</v>
      </c>
      <c r="O674" s="129" t="str">
        <f t="shared" si="538"/>
        <v>OK</v>
      </c>
    </row>
    <row r="675" spans="1:15" ht="14.25" customHeight="1" x14ac:dyDescent="0.25">
      <c r="A675" s="120" t="str">
        <f>IF(N675=MIN(N657:N680),1,"")</f>
        <v/>
      </c>
      <c r="B675" s="121">
        <f>B674+1/24</f>
        <v>42336.749999999956</v>
      </c>
      <c r="C675" s="122">
        <f>DAY(B675)</f>
        <v>28</v>
      </c>
      <c r="D675" s="123">
        <v>1802.4243470354938</v>
      </c>
      <c r="E675" s="124">
        <v>35.295925140380859</v>
      </c>
      <c r="F675" s="125">
        <v>12.628080502264917</v>
      </c>
      <c r="G675" s="126">
        <v>2.2974882125854492</v>
      </c>
      <c r="H675" s="127">
        <f>HLOOKUP('Operational Worksheet'!E675,$B$773:$U$775,3)</f>
        <v>10.149999999999999</v>
      </c>
      <c r="I675" s="127">
        <f t="shared" si="536"/>
        <v>0.90433753998103394</v>
      </c>
      <c r="J675" s="127">
        <f t="shared" si="537"/>
        <v>16.814793505915162</v>
      </c>
      <c r="K675" s="127">
        <f>I675*$G675</f>
        <v>2.0777048383049479</v>
      </c>
      <c r="L675" s="127">
        <f>J675*$G675</f>
        <v>38.631789876898445</v>
      </c>
      <c r="M675" s="127">
        <f>K675+L675</f>
        <v>40.709494715203391</v>
      </c>
      <c r="N675" s="128">
        <f>IF(D675&gt;0,M675/H675,"PO")</f>
        <v>4.0107876566702858</v>
      </c>
      <c r="O675" s="129" t="str">
        <f t="shared" si="538"/>
        <v>OK</v>
      </c>
    </row>
    <row r="676" spans="1:15" ht="14.25" customHeight="1" x14ac:dyDescent="0.25">
      <c r="A676" s="120" t="str">
        <f>IF(N676=MIN(N657:N680),1,"")</f>
        <v/>
      </c>
      <c r="B676" s="121">
        <f t="shared" ref="B676:B680" si="558">B675+1/24</f>
        <v>42336.791666666621</v>
      </c>
      <c r="C676" s="122">
        <f t="shared" ref="C676:C680" si="559">DAY(B676)</f>
        <v>28</v>
      </c>
      <c r="D676" s="123">
        <v>1794.0454109935063</v>
      </c>
      <c r="E676" s="124">
        <v>35.295925140380859</v>
      </c>
      <c r="F676" s="125">
        <v>12.621365175811333</v>
      </c>
      <c r="G676" s="126">
        <v>2.2974882125854492</v>
      </c>
      <c r="H676" s="127">
        <f>HLOOKUP('Operational Worksheet'!E676,$B$773:$U$775,3)</f>
        <v>10.149999999999999</v>
      </c>
      <c r="I676" s="127">
        <f t="shared" si="536"/>
        <v>0.90856117131245795</v>
      </c>
      <c r="J676" s="127">
        <f t="shared" si="537"/>
        <v>16.884342077591278</v>
      </c>
      <c r="K676" s="127">
        <f t="shared" ref="K676:L679" si="560">I676*$G676</f>
        <v>2.0874085815032011</v>
      </c>
      <c r="L676" s="127">
        <f t="shared" si="560"/>
        <v>38.791576900526472</v>
      </c>
      <c r="M676" s="127">
        <f t="shared" ref="M676:M679" si="561">K676+L676</f>
        <v>40.878985482029677</v>
      </c>
      <c r="N676" s="128">
        <f t="shared" ref="N676:N680" si="562">IF(D676&gt;0,M676/H676,"PO")</f>
        <v>4.0274862543871608</v>
      </c>
      <c r="O676" s="129" t="str">
        <f t="shared" si="538"/>
        <v>OK</v>
      </c>
    </row>
    <row r="677" spans="1:15" ht="14.25" customHeight="1" x14ac:dyDescent="0.25">
      <c r="A677" s="120" t="str">
        <f>IF(N677=MIN(N657:N680),1,"")</f>
        <v/>
      </c>
      <c r="B677" s="121">
        <f t="shared" si="558"/>
        <v>42336.833333333285</v>
      </c>
      <c r="C677" s="122">
        <f t="shared" si="559"/>
        <v>28</v>
      </c>
      <c r="D677" s="123">
        <v>1797.0056446603778</v>
      </c>
      <c r="E677" s="124">
        <v>35.295925140380859</v>
      </c>
      <c r="F677" s="125">
        <v>12.626527907824917</v>
      </c>
      <c r="G677" s="126">
        <v>2.2974882125854492</v>
      </c>
      <c r="H677" s="127">
        <f>HLOOKUP('Operational Worksheet'!E677,$B$773:$U$775,3)</f>
        <v>10.149999999999999</v>
      </c>
      <c r="I677" s="127">
        <f t="shared" si="536"/>
        <v>0.90706448521371186</v>
      </c>
      <c r="J677" s="127">
        <f t="shared" si="537"/>
        <v>16.863423366990588</v>
      </c>
      <c r="K677" s="127">
        <f t="shared" si="560"/>
        <v>2.0839699628333914</v>
      </c>
      <c r="L677" s="127">
        <f t="shared" si="560"/>
        <v>38.743516409498902</v>
      </c>
      <c r="M677" s="127">
        <f t="shared" si="561"/>
        <v>40.827486372332295</v>
      </c>
      <c r="N677" s="128">
        <f t="shared" si="562"/>
        <v>4.0224124504760885</v>
      </c>
      <c r="O677" s="129" t="str">
        <f t="shared" si="538"/>
        <v>OK</v>
      </c>
    </row>
    <row r="678" spans="1:15" ht="14.25" customHeight="1" x14ac:dyDescent="0.25">
      <c r="A678" s="120" t="str">
        <f>IF(N678=MIN(N657:N680),1,"")</f>
        <v/>
      </c>
      <c r="B678" s="121">
        <f t="shared" si="558"/>
        <v>42336.874999999949</v>
      </c>
      <c r="C678" s="122">
        <f t="shared" si="559"/>
        <v>28</v>
      </c>
      <c r="D678" s="123">
        <v>1812.1196143226512</v>
      </c>
      <c r="E678" s="124">
        <v>35.670168466732953</v>
      </c>
      <c r="F678" s="125">
        <v>12.628057254662277</v>
      </c>
      <c r="G678" s="126">
        <v>2.2974882125854492</v>
      </c>
      <c r="H678" s="127">
        <f>HLOOKUP('Operational Worksheet'!E678,$B$773:$U$775,3)</f>
        <v>9.3624999999999989</v>
      </c>
      <c r="I678" s="127">
        <f t="shared" si="536"/>
        <v>0.89949912087303063</v>
      </c>
      <c r="J678" s="127">
        <f t="shared" si="537"/>
        <v>16.724799605746771</v>
      </c>
      <c r="K678" s="127">
        <f t="shared" si="560"/>
        <v>2.066588627436762</v>
      </c>
      <c r="L678" s="127">
        <f t="shared" si="560"/>
        <v>38.425029952056974</v>
      </c>
      <c r="M678" s="127">
        <f t="shared" si="561"/>
        <v>40.491618579493739</v>
      </c>
      <c r="N678" s="128">
        <f t="shared" si="562"/>
        <v>4.3248724784506001</v>
      </c>
      <c r="O678" s="129" t="str">
        <f t="shared" si="538"/>
        <v>OK</v>
      </c>
    </row>
    <row r="679" spans="1:15" ht="14.25" customHeight="1" x14ac:dyDescent="0.25">
      <c r="A679" s="120" t="str">
        <f>IF(N679=MIN(N657:N680),1,"")</f>
        <v/>
      </c>
      <c r="B679" s="121">
        <f t="shared" si="558"/>
        <v>42336.916666666613</v>
      </c>
      <c r="C679" s="122">
        <f t="shared" si="559"/>
        <v>28</v>
      </c>
      <c r="D679" s="123">
        <v>1821.4386334396593</v>
      </c>
      <c r="E679" s="124">
        <v>35.7552490234375</v>
      </c>
      <c r="F679" s="125">
        <v>12.628065008278487</v>
      </c>
      <c r="G679" s="126">
        <v>2.2974882125854492</v>
      </c>
      <c r="H679" s="127">
        <f>HLOOKUP('Operational Worksheet'!E679,$B$773:$U$775,3)</f>
        <v>9.3624999999999989</v>
      </c>
      <c r="I679" s="127">
        <f t="shared" si="536"/>
        <v>0.89489701715717929</v>
      </c>
      <c r="J679" s="127">
        <f t="shared" si="537"/>
        <v>16.639240797607904</v>
      </c>
      <c r="K679" s="127">
        <f t="shared" si="560"/>
        <v>2.0560153483964978</v>
      </c>
      <c r="L679" s="127">
        <f t="shared" si="560"/>
        <v>38.22845959887507</v>
      </c>
      <c r="M679" s="127">
        <f t="shared" si="561"/>
        <v>40.284474947271569</v>
      </c>
      <c r="N679" s="128">
        <f t="shared" si="562"/>
        <v>4.302747657919527</v>
      </c>
      <c r="O679" s="129" t="str">
        <f t="shared" si="538"/>
        <v>OK</v>
      </c>
    </row>
    <row r="680" spans="1:15" ht="14.25" customHeight="1" x14ac:dyDescent="0.25">
      <c r="A680" s="130" t="str">
        <f>IF(N680=MIN(N657:N680),1,"")</f>
        <v/>
      </c>
      <c r="B680" s="131">
        <f t="shared" si="558"/>
        <v>42336.958333333278</v>
      </c>
      <c r="C680" s="132">
        <f t="shared" si="559"/>
        <v>28</v>
      </c>
      <c r="D680" s="123">
        <v>1815.2662951874479</v>
      </c>
      <c r="E680" s="124">
        <v>35.7552490234375</v>
      </c>
      <c r="F680" s="125">
        <v>12.627657205332216</v>
      </c>
      <c r="G680" s="126">
        <v>2.3111858367919922</v>
      </c>
      <c r="H680" s="133">
        <f>HLOOKUP('Operational Worksheet'!E680,$B$773:$U$775,3)</f>
        <v>9.3624999999999989</v>
      </c>
      <c r="I680" s="134">
        <f t="shared" si="536"/>
        <v>0.8979398804028822</v>
      </c>
      <c r="J680" s="133">
        <f t="shared" si="537"/>
        <v>16.695279019471808</v>
      </c>
      <c r="K680" s="133">
        <f>I680*$G680</f>
        <v>2.0753059338778366</v>
      </c>
      <c r="L680" s="133">
        <f>J680*$G680</f>
        <v>38.585892411093745</v>
      </c>
      <c r="M680" s="133">
        <f>K680+L680</f>
        <v>40.661198344971581</v>
      </c>
      <c r="N680" s="134">
        <f t="shared" si="562"/>
        <v>4.3429851369796086</v>
      </c>
      <c r="O680" s="135" t="str">
        <f t="shared" si="538"/>
        <v>OK</v>
      </c>
    </row>
    <row r="681" spans="1:15" ht="14.25" customHeight="1" x14ac:dyDescent="0.25">
      <c r="A681" s="110" t="str">
        <f>IF(N681=MIN(N681:N704),1,"")</f>
        <v/>
      </c>
      <c r="B681" s="111">
        <f>'[1]Turbidity Daily Data Sheet'!B44</f>
        <v>42337</v>
      </c>
      <c r="C681" s="112">
        <f>DAY(B681)</f>
        <v>29</v>
      </c>
      <c r="D681" s="123">
        <v>1803.7251358119756</v>
      </c>
      <c r="E681" s="124">
        <v>35.7552490234375</v>
      </c>
      <c r="F681" s="125">
        <v>12.610363297510817</v>
      </c>
      <c r="G681" s="126">
        <v>2.3111858367919922</v>
      </c>
      <c r="H681" s="117">
        <f>HLOOKUP('Operational Worksheet'!E681,$B$773:$U$775,3)</f>
        <v>9.3624999999999989</v>
      </c>
      <c r="I681" s="117">
        <f t="shared" si="536"/>
        <v>0.90368536072223082</v>
      </c>
      <c r="J681" s="117">
        <f t="shared" si="537"/>
        <v>16.779093063091203</v>
      </c>
      <c r="K681" s="117">
        <f>I681*$G681</f>
        <v>2.0885848066174821</v>
      </c>
      <c r="L681" s="117">
        <f>J681*$G681</f>
        <v>38.779602241631153</v>
      </c>
      <c r="M681" s="117">
        <f>K681+L681</f>
        <v>40.868187048248636</v>
      </c>
      <c r="N681" s="118">
        <f>IF(D681&gt;0,M681/H681,"PO")</f>
        <v>4.3650934096927791</v>
      </c>
      <c r="O681" s="119" t="str">
        <f t="shared" si="538"/>
        <v>OK</v>
      </c>
    </row>
    <row r="682" spans="1:15" ht="14.25" customHeight="1" x14ac:dyDescent="0.25">
      <c r="A682" s="120" t="str">
        <f>IF(N682=MIN(N681:N704),1,"")</f>
        <v/>
      </c>
      <c r="B682" s="121">
        <f>B681+1/24</f>
        <v>42337.041666666664</v>
      </c>
      <c r="C682" s="122">
        <f>DAY(B682)</f>
        <v>29</v>
      </c>
      <c r="D682" s="123">
        <v>1803.7731454910004</v>
      </c>
      <c r="E682" s="124">
        <v>35.7552490234375</v>
      </c>
      <c r="F682" s="125">
        <v>12.626573636452571</v>
      </c>
      <c r="G682" s="126">
        <v>2.084317684173584</v>
      </c>
      <c r="H682" s="127">
        <f>HLOOKUP('Operational Worksheet'!E682,$B$773:$U$775,3)</f>
        <v>9.3624999999999989</v>
      </c>
      <c r="I682" s="127">
        <f t="shared" si="536"/>
        <v>0.90366130800572597</v>
      </c>
      <c r="J682" s="127">
        <f t="shared" si="537"/>
        <v>16.80021503992247</v>
      </c>
      <c r="K682" s="127">
        <f t="shared" ref="K682:L685" si="563">I682*$G682</f>
        <v>1.8835172447797666</v>
      </c>
      <c r="L682" s="127">
        <f t="shared" si="563"/>
        <v>35.016985305629419</v>
      </c>
      <c r="M682" s="127">
        <f t="shared" ref="M682:M685" si="564">K682+L682</f>
        <v>36.900502550409186</v>
      </c>
      <c r="N682" s="128">
        <f t="shared" ref="N682:N686" si="565">IF(D682&gt;0,M682/H682,"PO")</f>
        <v>3.9413086836218092</v>
      </c>
      <c r="O682" s="129" t="str">
        <f t="shared" si="538"/>
        <v>OK</v>
      </c>
    </row>
    <row r="683" spans="1:15" ht="14.25" customHeight="1" x14ac:dyDescent="0.25">
      <c r="A683" s="120" t="str">
        <f>IF(N683=MIN(N681:N704),1,"")</f>
        <v/>
      </c>
      <c r="B683" s="121">
        <f t="shared" ref="B683:B698" si="566">B682+1/24</f>
        <v>42337.083333333328</v>
      </c>
      <c r="C683" s="122">
        <f t="shared" ref="C683" si="567">DAY(B683)</f>
        <v>29</v>
      </c>
      <c r="D683" s="123">
        <v>1799.9254600862678</v>
      </c>
      <c r="E683" s="124">
        <v>36.164130103139826</v>
      </c>
      <c r="F683" s="125">
        <v>12.619808922534272</v>
      </c>
      <c r="G683" s="126">
        <v>2.084317684173584</v>
      </c>
      <c r="H683" s="127">
        <f>HLOOKUP('Operational Worksheet'!E683,$B$773:$U$775,3)</f>
        <v>9.3624999999999989</v>
      </c>
      <c r="I683" s="127">
        <f t="shared" si="536"/>
        <v>0.90559305712686378</v>
      </c>
      <c r="J683" s="127">
        <f t="shared" si="537"/>
        <v>16.827108725174995</v>
      </c>
      <c r="K683" s="127">
        <f t="shared" si="563"/>
        <v>1.8875436236343408</v>
      </c>
      <c r="L683" s="127">
        <f t="shared" si="563"/>
        <v>35.073040289393852</v>
      </c>
      <c r="M683" s="127">
        <f t="shared" si="564"/>
        <v>36.960583913028195</v>
      </c>
      <c r="N683" s="128">
        <f t="shared" si="565"/>
        <v>3.947725918614494</v>
      </c>
      <c r="O683" s="129" t="str">
        <f t="shared" si="538"/>
        <v>OK</v>
      </c>
    </row>
    <row r="684" spans="1:15" ht="14.25" customHeight="1" x14ac:dyDescent="0.25">
      <c r="A684" s="120" t="str">
        <f>IF(N684=MIN(N681:N704),1,"")</f>
        <v/>
      </c>
      <c r="B684" s="121">
        <f t="shared" si="566"/>
        <v>42337.124999999993</v>
      </c>
      <c r="C684" s="122">
        <f>DAY(B684)</f>
        <v>29</v>
      </c>
      <c r="D684" s="123">
        <v>1796.6758354677377</v>
      </c>
      <c r="E684" s="124">
        <v>36.649158477783203</v>
      </c>
      <c r="F684" s="125">
        <v>12.62852030760896</v>
      </c>
      <c r="G684" s="126">
        <v>2.3041229248046875</v>
      </c>
      <c r="H684" s="127">
        <f>HLOOKUP('Operational Worksheet'!E684,$B$773:$U$775,3)</f>
        <v>9.3624999999999989</v>
      </c>
      <c r="I684" s="127">
        <f t="shared" si="536"/>
        <v>0.90723099171401389</v>
      </c>
      <c r="J684" s="127">
        <f t="shared" si="537"/>
        <v>16.869180371856647</v>
      </c>
      <c r="K684" s="127">
        <f t="shared" si="563"/>
        <v>2.0903717261015511</v>
      </c>
      <c r="L684" s="127">
        <f t="shared" si="563"/>
        <v>38.868665217460162</v>
      </c>
      <c r="M684" s="127">
        <f t="shared" si="564"/>
        <v>40.959036943561713</v>
      </c>
      <c r="N684" s="128">
        <f t="shared" si="565"/>
        <v>4.3747970033176733</v>
      </c>
      <c r="O684" s="129" t="str">
        <f t="shared" si="538"/>
        <v>OK</v>
      </c>
    </row>
    <row r="685" spans="1:15" ht="14.25" customHeight="1" x14ac:dyDescent="0.25">
      <c r="A685" s="120" t="str">
        <f>IF(N685=MIN(N681:N704),1,"")</f>
        <v/>
      </c>
      <c r="B685" s="121">
        <f t="shared" si="566"/>
        <v>42337.166666666657</v>
      </c>
      <c r="C685" s="122">
        <f t="shared" ref="C685:C686" si="568">DAY(B685)</f>
        <v>29</v>
      </c>
      <c r="D685" s="123">
        <v>1806.3850314545437</v>
      </c>
      <c r="E685" s="124">
        <v>36.649158477783203</v>
      </c>
      <c r="F685" s="125">
        <v>12.631019099544638</v>
      </c>
      <c r="G685" s="126">
        <v>2.3041229248046875</v>
      </c>
      <c r="H685" s="127">
        <f>HLOOKUP('Operational Worksheet'!E685,$B$773:$U$775,3)</f>
        <v>9.3624999999999989</v>
      </c>
      <c r="I685" s="127">
        <f t="shared" si="536"/>
        <v>0.90235468718841505</v>
      </c>
      <c r="J685" s="127">
        <f t="shared" si="537"/>
        <v>16.781829627151652</v>
      </c>
      <c r="K685" s="127">
        <f t="shared" si="563"/>
        <v>2.0791361210557899</v>
      </c>
      <c r="L685" s="127">
        <f t="shared" si="563"/>
        <v>38.667398364086623</v>
      </c>
      <c r="M685" s="127">
        <f t="shared" si="564"/>
        <v>40.746534485142412</v>
      </c>
      <c r="N685" s="128">
        <f t="shared" si="565"/>
        <v>4.3520998114971876</v>
      </c>
      <c r="O685" s="129" t="str">
        <f t="shared" si="538"/>
        <v>OK</v>
      </c>
    </row>
    <row r="686" spans="1:15" ht="14.25" customHeight="1" x14ac:dyDescent="0.25">
      <c r="A686" s="120" t="str">
        <f>IF(N686=MIN(N681:N704),1,"")</f>
        <v/>
      </c>
      <c r="B686" s="121">
        <f t="shared" si="566"/>
        <v>42337.208333333321</v>
      </c>
      <c r="C686" s="122">
        <f t="shared" si="568"/>
        <v>29</v>
      </c>
      <c r="D686" s="123">
        <v>1804.8210450336214</v>
      </c>
      <c r="E686" s="124">
        <v>36.649158477783203</v>
      </c>
      <c r="F686" s="125">
        <v>12.623511278136954</v>
      </c>
      <c r="G686" s="126">
        <v>2.3041229248046875</v>
      </c>
      <c r="H686" s="127">
        <f>HLOOKUP('Operational Worksheet'!E686,$B$773:$U$775,3)</f>
        <v>9.3624999999999989</v>
      </c>
      <c r="I686" s="128">
        <f t="shared" si="536"/>
        <v>0.90313663201419248</v>
      </c>
      <c r="J686" s="127">
        <f t="shared" si="537"/>
        <v>16.786388407258574</v>
      </c>
      <c r="K686" s="127">
        <f>I686*$G686</f>
        <v>2.0809378180547959</v>
      </c>
      <c r="L686" s="127">
        <f>J686*$G686</f>
        <v>38.677902353840125</v>
      </c>
      <c r="M686" s="127">
        <f>K686+L686</f>
        <v>40.758840171894917</v>
      </c>
      <c r="N686" s="128">
        <f t="shared" si="565"/>
        <v>4.3534141705628757</v>
      </c>
      <c r="O686" s="129" t="str">
        <f t="shared" si="538"/>
        <v>OK</v>
      </c>
    </row>
    <row r="687" spans="1:15" ht="14.25" customHeight="1" x14ac:dyDescent="0.25">
      <c r="A687" s="120" t="str">
        <f>IF(N687=MIN(N681:N704),1,"")</f>
        <v/>
      </c>
      <c r="B687" s="121">
        <f t="shared" si="566"/>
        <v>42337.249999999985</v>
      </c>
      <c r="C687" s="122">
        <f>DAY(B687)</f>
        <v>29</v>
      </c>
      <c r="D687" s="123">
        <v>1818.5976840669894</v>
      </c>
      <c r="E687" s="124">
        <v>36.649158477783203</v>
      </c>
      <c r="F687" s="125">
        <v>12.636286870116589</v>
      </c>
      <c r="G687" s="126">
        <v>2.3041229248046875</v>
      </c>
      <c r="H687" s="127">
        <f>HLOOKUP('Operational Worksheet'!E687,$B$773:$U$775,3)</f>
        <v>9.3624999999999989</v>
      </c>
      <c r="I687" s="127">
        <f t="shared" si="536"/>
        <v>0.89629499381896149</v>
      </c>
      <c r="J687" s="127">
        <f t="shared" si="537"/>
        <v>16.67608441052138</v>
      </c>
      <c r="K687" s="127">
        <f>I687*$G687</f>
        <v>2.0651738426459447</v>
      </c>
      <c r="L687" s="127">
        <f>J687*$G687</f>
        <v>38.423748386260378</v>
      </c>
      <c r="M687" s="127">
        <f>K687+L687</f>
        <v>40.488922228906326</v>
      </c>
      <c r="N687" s="128">
        <f>IF(D687&gt;0,M687/H687,"PO")</f>
        <v>4.3245844837283132</v>
      </c>
      <c r="O687" s="129" t="str">
        <f t="shared" si="538"/>
        <v>OK</v>
      </c>
    </row>
    <row r="688" spans="1:15" ht="14.25" customHeight="1" x14ac:dyDescent="0.25">
      <c r="A688" s="120" t="str">
        <f>IF(N688=MIN(N681:N704),1,"")</f>
        <v/>
      </c>
      <c r="B688" s="121">
        <f t="shared" si="566"/>
        <v>42337.29166666665</v>
      </c>
      <c r="C688" s="122">
        <f t="shared" ref="C688:C692" si="569">DAY(B688)</f>
        <v>29</v>
      </c>
      <c r="D688" s="123">
        <v>1815.1393508186704</v>
      </c>
      <c r="E688" s="124">
        <v>36.649158477783203</v>
      </c>
      <c r="F688" s="125">
        <v>12.60333740875922</v>
      </c>
      <c r="G688" s="126">
        <v>2.3041229248046875</v>
      </c>
      <c r="H688" s="127">
        <f>HLOOKUP('Operational Worksheet'!E688,$B$773:$U$775,3)</f>
        <v>9.3624999999999989</v>
      </c>
      <c r="I688" s="127">
        <f t="shared" si="536"/>
        <v>0.89800267911377263</v>
      </c>
      <c r="J688" s="127">
        <f t="shared" si="537"/>
        <v>16.664290687863478</v>
      </c>
      <c r="K688" s="127">
        <f t="shared" ref="K688:L691" si="570">I688*$G688</f>
        <v>2.0691085594820708</v>
      </c>
      <c r="L688" s="127">
        <f t="shared" si="570"/>
        <v>38.396574199515513</v>
      </c>
      <c r="M688" s="127">
        <f t="shared" ref="M688:M691" si="571">K688+L688</f>
        <v>40.46568275899758</v>
      </c>
      <c r="N688" s="128">
        <f t="shared" ref="N688:N692" si="572">IF(D688&gt;0,M688/H688,"PO")</f>
        <v>4.3221022973562171</v>
      </c>
      <c r="O688" s="129" t="str">
        <f t="shared" si="538"/>
        <v>OK</v>
      </c>
    </row>
    <row r="689" spans="1:15" ht="14.25" customHeight="1" x14ac:dyDescent="0.25">
      <c r="A689" s="120" t="str">
        <f>IF(N689=MIN(N681:N704),1,"")</f>
        <v/>
      </c>
      <c r="B689" s="121">
        <f t="shared" si="566"/>
        <v>42337.333333333314</v>
      </c>
      <c r="C689" s="122">
        <f t="shared" si="569"/>
        <v>29</v>
      </c>
      <c r="D689" s="123">
        <v>1797.6140805096693</v>
      </c>
      <c r="E689" s="124">
        <v>36.649158477783203</v>
      </c>
      <c r="F689" s="125">
        <v>12.607524457283539</v>
      </c>
      <c r="G689" s="126">
        <v>2.3041229248046875</v>
      </c>
      <c r="H689" s="127">
        <f>HLOOKUP('Operational Worksheet'!E689,$B$773:$U$775,3)</f>
        <v>9.3624999999999989</v>
      </c>
      <c r="I689" s="127">
        <f t="shared" si="536"/>
        <v>0.90675747240356153</v>
      </c>
      <c r="J689" s="127">
        <f t="shared" si="537"/>
        <v>16.832344064028227</v>
      </c>
      <c r="K689" s="127">
        <f t="shared" si="570"/>
        <v>2.0892806794030001</v>
      </c>
      <c r="L689" s="127">
        <f t="shared" si="570"/>
        <v>38.783789836127539</v>
      </c>
      <c r="M689" s="127">
        <f t="shared" si="571"/>
        <v>40.873070515530543</v>
      </c>
      <c r="N689" s="128">
        <f t="shared" si="572"/>
        <v>4.3656150083343706</v>
      </c>
      <c r="O689" s="129" t="str">
        <f t="shared" si="538"/>
        <v>OK</v>
      </c>
    </row>
    <row r="690" spans="1:15" ht="14.25" customHeight="1" x14ac:dyDescent="0.25">
      <c r="A690" s="120" t="str">
        <f>IF(N690=MIN(N681:N704),1,"")</f>
        <v/>
      </c>
      <c r="B690" s="121">
        <f t="shared" si="566"/>
        <v>42337.374999999978</v>
      </c>
      <c r="C690" s="122">
        <f t="shared" si="569"/>
        <v>29</v>
      </c>
      <c r="D690" s="123">
        <v>1804.6624020000054</v>
      </c>
      <c r="E690" s="124">
        <v>36.649158477783203</v>
      </c>
      <c r="F690" s="125">
        <v>12.613064436246271</v>
      </c>
      <c r="G690" s="126">
        <v>2.3041229248046875</v>
      </c>
      <c r="H690" s="127">
        <f>HLOOKUP('Operational Worksheet'!E690,$B$773:$U$775,3)</f>
        <v>9.3624999999999989</v>
      </c>
      <c r="I690" s="127">
        <f t="shared" si="536"/>
        <v>0.90321602433428161</v>
      </c>
      <c r="J690" s="127">
        <f t="shared" si="537"/>
        <v>16.773970917465235</v>
      </c>
      <c r="K690" s="127">
        <f t="shared" si="570"/>
        <v>2.0811207477195666</v>
      </c>
      <c r="L690" s="127">
        <f t="shared" si="570"/>
        <v>38.649290930938761</v>
      </c>
      <c r="M690" s="127">
        <f t="shared" si="571"/>
        <v>40.730411678658328</v>
      </c>
      <c r="N690" s="128">
        <f t="shared" si="572"/>
        <v>4.3503777493894082</v>
      </c>
      <c r="O690" s="129" t="str">
        <f t="shared" si="538"/>
        <v>OK</v>
      </c>
    </row>
    <row r="691" spans="1:15" ht="14.25" customHeight="1" x14ac:dyDescent="0.25">
      <c r="A691" s="120" t="str">
        <f>IF(N691=MIN(N681:N704),1,"")</f>
        <v/>
      </c>
      <c r="B691" s="121">
        <f t="shared" si="566"/>
        <v>42337.416666666642</v>
      </c>
      <c r="C691" s="122">
        <f t="shared" si="569"/>
        <v>29</v>
      </c>
      <c r="D691" s="123">
        <v>1810.6116440644282</v>
      </c>
      <c r="E691" s="124">
        <v>35.824682001600387</v>
      </c>
      <c r="F691" s="125">
        <v>12.607523515197535</v>
      </c>
      <c r="G691" s="126">
        <v>2.3041229248046875</v>
      </c>
      <c r="H691" s="127">
        <f>HLOOKUP('Operational Worksheet'!E691,$B$773:$U$775,3)</f>
        <v>9.3624999999999989</v>
      </c>
      <c r="I691" s="127">
        <f t="shared" si="536"/>
        <v>0.90024826988354367</v>
      </c>
      <c r="J691" s="127">
        <f t="shared" si="537"/>
        <v>16.711511016548723</v>
      </c>
      <c r="K691" s="127">
        <f t="shared" si="570"/>
        <v>2.0742826766544304</v>
      </c>
      <c r="L691" s="127">
        <f t="shared" si="570"/>
        <v>38.505375641355997</v>
      </c>
      <c r="M691" s="127">
        <f t="shared" si="571"/>
        <v>40.579658318010431</v>
      </c>
      <c r="N691" s="128">
        <f t="shared" si="572"/>
        <v>4.3342759218168689</v>
      </c>
      <c r="O691" s="129" t="str">
        <f t="shared" si="538"/>
        <v>OK</v>
      </c>
    </row>
    <row r="692" spans="1:15" ht="14.25" customHeight="1" x14ac:dyDescent="0.25">
      <c r="A692" s="120" t="str">
        <f>IF(N692=MIN(N681:N704),1,"")</f>
        <v/>
      </c>
      <c r="B692" s="121">
        <f t="shared" si="566"/>
        <v>42337.458333333307</v>
      </c>
      <c r="C692" s="122">
        <f t="shared" si="569"/>
        <v>29</v>
      </c>
      <c r="D692" s="123">
        <v>1806.0199225785066</v>
      </c>
      <c r="E692" s="124">
        <v>35.182861328125</v>
      </c>
      <c r="F692" s="125">
        <v>12.615244146470573</v>
      </c>
      <c r="G692" s="126">
        <v>2.276620626449585</v>
      </c>
      <c r="H692" s="127">
        <f>HLOOKUP('Operational Worksheet'!E692,$B$773:$U$775,3)</f>
        <v>10.149999999999999</v>
      </c>
      <c r="I692" s="128">
        <f t="shared" si="536"/>
        <v>0.90253710915481056</v>
      </c>
      <c r="J692" s="127">
        <f t="shared" si="537"/>
        <v>16.764259116423602</v>
      </c>
      <c r="K692" s="127">
        <f>I692*$G692</f>
        <v>2.0547345988380221</v>
      </c>
      <c r="L692" s="127">
        <f>J692*$G692</f>
        <v>38.165858091595467</v>
      </c>
      <c r="M692" s="127">
        <f>K692+L692</f>
        <v>40.220592690433492</v>
      </c>
      <c r="N692" s="128">
        <f t="shared" si="572"/>
        <v>3.9626199695008371</v>
      </c>
      <c r="O692" s="129" t="str">
        <f t="shared" si="538"/>
        <v>OK</v>
      </c>
    </row>
    <row r="693" spans="1:15" ht="14.25" customHeight="1" x14ac:dyDescent="0.25">
      <c r="A693" s="120" t="str">
        <f>IF(N693=MIN(N681:N704),1,"")</f>
        <v/>
      </c>
      <c r="B693" s="121">
        <f t="shared" si="566"/>
        <v>42337.499999999971</v>
      </c>
      <c r="C693" s="122">
        <f>DAY(B693)</f>
        <v>29</v>
      </c>
      <c r="D693" s="123">
        <v>1800.889604746721</v>
      </c>
      <c r="E693" s="124">
        <v>35.182861328125</v>
      </c>
      <c r="F693" s="125">
        <v>12.607702429068862</v>
      </c>
      <c r="G693" s="126">
        <v>2.276620626449585</v>
      </c>
      <c r="H693" s="127">
        <f>HLOOKUP('Operational Worksheet'!E693,$B$773:$U$775,3)</f>
        <v>10.149999999999999</v>
      </c>
      <c r="I693" s="127">
        <f t="shared" si="536"/>
        <v>0.90510822856864948</v>
      </c>
      <c r="J693" s="127">
        <f t="shared" si="537"/>
        <v>16.801965956164679</v>
      </c>
      <c r="K693" s="127">
        <f>I693*$G693</f>
        <v>2.060588062328633</v>
      </c>
      <c r="L693" s="127">
        <f>J693*$G693</f>
        <v>38.251702260708228</v>
      </c>
      <c r="M693" s="127">
        <f>K693+L693</f>
        <v>40.312290323036862</v>
      </c>
      <c r="N693" s="128">
        <f>IF(D693&gt;0,M693/H693,"PO")</f>
        <v>3.9716542190184105</v>
      </c>
      <c r="O693" s="129" t="str">
        <f t="shared" si="538"/>
        <v>OK</v>
      </c>
    </row>
    <row r="694" spans="1:15" ht="14.25" customHeight="1" x14ac:dyDescent="0.25">
      <c r="A694" s="120" t="str">
        <f>IF(N694=MIN(N681:N704),1,"")</f>
        <v/>
      </c>
      <c r="B694" s="121">
        <f t="shared" si="566"/>
        <v>42337.541666666635</v>
      </c>
      <c r="C694" s="122">
        <f t="shared" ref="C694:C698" si="573">DAY(B694)</f>
        <v>29</v>
      </c>
      <c r="D694" s="123">
        <v>1800.1715182030175</v>
      </c>
      <c r="E694" s="124">
        <v>35.182861328125</v>
      </c>
      <c r="F694" s="125">
        <v>12.609976568986497</v>
      </c>
      <c r="G694" s="126">
        <v>2.276620626449585</v>
      </c>
      <c r="H694" s="127">
        <f>HLOOKUP('Operational Worksheet'!E694,$B$773:$U$775,3)</f>
        <v>10.149999999999999</v>
      </c>
      <c r="I694" s="127">
        <f t="shared" si="536"/>
        <v>0.90546927529834065</v>
      </c>
      <c r="J694" s="127">
        <f t="shared" si="537"/>
        <v>16.811700140538786</v>
      </c>
      <c r="K694" s="127">
        <f t="shared" ref="K694:L697" si="574">I694*$G694</f>
        <v>2.0614100287605601</v>
      </c>
      <c r="L694" s="127">
        <f t="shared" si="574"/>
        <v>38.273863305635984</v>
      </c>
      <c r="M694" s="127">
        <f t="shared" ref="M694:M697" si="575">K694+L694</f>
        <v>40.335273334396547</v>
      </c>
      <c r="N694" s="128">
        <f t="shared" ref="N694:N698" si="576">IF(D694&gt;0,M694/H694,"PO")</f>
        <v>3.9739185551129608</v>
      </c>
      <c r="O694" s="129" t="str">
        <f t="shared" si="538"/>
        <v>OK</v>
      </c>
    </row>
    <row r="695" spans="1:15" ht="14.25" customHeight="1" x14ac:dyDescent="0.25">
      <c r="A695" s="120" t="str">
        <f>IF(N695=MIN(N681:N704),1,"")</f>
        <v/>
      </c>
      <c r="B695" s="121">
        <f t="shared" si="566"/>
        <v>42337.583333333299</v>
      </c>
      <c r="C695" s="122">
        <f t="shared" si="573"/>
        <v>29</v>
      </c>
      <c r="D695" s="123">
        <v>1809.3611283856658</v>
      </c>
      <c r="E695" s="124">
        <v>35.182861328125</v>
      </c>
      <c r="F695" s="125">
        <v>12.605143657474104</v>
      </c>
      <c r="G695" s="126">
        <v>2.276620626449585</v>
      </c>
      <c r="H695" s="127">
        <f>HLOOKUP('Operational Worksheet'!E695,$B$773:$U$775,3)</f>
        <v>10.149999999999999</v>
      </c>
      <c r="I695" s="127">
        <f t="shared" si="536"/>
        <v>0.9008704644021539</v>
      </c>
      <c r="J695" s="127">
        <f t="shared" si="537"/>
        <v>16.719904226598128</v>
      </c>
      <c r="K695" s="127">
        <f t="shared" si="574"/>
        <v>2.05094028101716</v>
      </c>
      <c r="L695" s="127">
        <f t="shared" si="574"/>
        <v>38.064878834534895</v>
      </c>
      <c r="M695" s="127">
        <f t="shared" si="575"/>
        <v>40.115819115552057</v>
      </c>
      <c r="N695" s="128">
        <f t="shared" si="576"/>
        <v>3.9522974498080852</v>
      </c>
      <c r="O695" s="129" t="str">
        <f t="shared" si="538"/>
        <v>OK</v>
      </c>
    </row>
    <row r="696" spans="1:15" ht="14.25" customHeight="1" x14ac:dyDescent="0.25">
      <c r="A696" s="120" t="str">
        <f>IF(N696=MIN(N681:N704),1,"")</f>
        <v/>
      </c>
      <c r="B696" s="121">
        <f t="shared" si="566"/>
        <v>42337.624999999964</v>
      </c>
      <c r="C696" s="122">
        <f t="shared" si="573"/>
        <v>29</v>
      </c>
      <c r="D696" s="123">
        <v>1805.9534362030886</v>
      </c>
      <c r="E696" s="124">
        <v>35.182861328125</v>
      </c>
      <c r="F696" s="125">
        <v>12.618476012213318</v>
      </c>
      <c r="G696" s="126">
        <v>2.2888202667236328</v>
      </c>
      <c r="H696" s="127">
        <f>HLOOKUP('Operational Worksheet'!E696,$B$773:$U$775,3)</f>
        <v>10.149999999999999</v>
      </c>
      <c r="I696" s="127">
        <f t="shared" si="536"/>
        <v>0.90257033615826754</v>
      </c>
      <c r="J696" s="127">
        <f t="shared" si="537"/>
        <v>16.769171243408699</v>
      </c>
      <c r="K696" s="127">
        <f t="shared" si="574"/>
        <v>2.065821277542605</v>
      </c>
      <c r="L696" s="127">
        <f t="shared" si="574"/>
        <v>38.381618998072973</v>
      </c>
      <c r="M696" s="127">
        <f t="shared" si="575"/>
        <v>40.447440275615577</v>
      </c>
      <c r="N696" s="128">
        <f t="shared" si="576"/>
        <v>3.9849694852823232</v>
      </c>
      <c r="O696" s="129" t="str">
        <f t="shared" si="538"/>
        <v>OK</v>
      </c>
    </row>
    <row r="697" spans="1:15" ht="14.25" customHeight="1" x14ac:dyDescent="0.25">
      <c r="A697" s="120" t="str">
        <f>IF(N697=MIN(N681:N704),1,"")</f>
        <v/>
      </c>
      <c r="B697" s="121">
        <f t="shared" si="566"/>
        <v>42337.666666666628</v>
      </c>
      <c r="C697" s="122">
        <f t="shared" si="573"/>
        <v>29</v>
      </c>
      <c r="D697" s="123">
        <v>1809.7275210249072</v>
      </c>
      <c r="E697" s="124">
        <v>35.182861328125</v>
      </c>
      <c r="F697" s="125">
        <v>12.612852104020876</v>
      </c>
      <c r="G697" s="126">
        <v>2.1394298076629639</v>
      </c>
      <c r="H697" s="127">
        <f>HLOOKUP('Operational Worksheet'!E697,$B$773:$U$775,3)</f>
        <v>10.149999999999999</v>
      </c>
      <c r="I697" s="127">
        <f t="shared" si="536"/>
        <v>0.90068807655468397</v>
      </c>
      <c r="J697" s="127">
        <f t="shared" si="537"/>
        <v>16.726741842609954</v>
      </c>
      <c r="K697" s="127">
        <f t="shared" si="574"/>
        <v>1.9269589183877125</v>
      </c>
      <c r="L697" s="127">
        <f t="shared" si="574"/>
        <v>35.785690083163061</v>
      </c>
      <c r="M697" s="127">
        <f t="shared" si="575"/>
        <v>37.712649001550773</v>
      </c>
      <c r="N697" s="128">
        <f t="shared" si="576"/>
        <v>3.7155319213350522</v>
      </c>
      <c r="O697" s="129" t="str">
        <f t="shared" si="538"/>
        <v>OK</v>
      </c>
    </row>
    <row r="698" spans="1:15" ht="14.25" customHeight="1" x14ac:dyDescent="0.25">
      <c r="A698" s="120" t="str">
        <f>IF(N698=MIN(N681:N704),1,"")</f>
        <v/>
      </c>
      <c r="B698" s="121">
        <f t="shared" si="566"/>
        <v>42337.708333333292</v>
      </c>
      <c r="C698" s="122">
        <f t="shared" si="573"/>
        <v>29</v>
      </c>
      <c r="D698" s="123">
        <v>1804.49879152466</v>
      </c>
      <c r="E698" s="124">
        <v>35.182861328125</v>
      </c>
      <c r="F698" s="125">
        <v>12.615174645303124</v>
      </c>
      <c r="G698" s="126">
        <v>2.1394298076629639</v>
      </c>
      <c r="H698" s="127">
        <f>HLOOKUP('Operational Worksheet'!E698,$B$773:$U$775,3)</f>
        <v>10.149999999999999</v>
      </c>
      <c r="I698" s="128">
        <f t="shared" si="536"/>
        <v>0.9032979172143295</v>
      </c>
      <c r="J698" s="127">
        <f t="shared" si="537"/>
        <v>16.778298378989934</v>
      </c>
      <c r="K698" s="127">
        <f>I698*$G698</f>
        <v>1.9325424892882088</v>
      </c>
      <c r="L698" s="127">
        <f>J698*$G698</f>
        <v>35.895991673874256</v>
      </c>
      <c r="M698" s="127">
        <f>K698+L698</f>
        <v>37.828534163162466</v>
      </c>
      <c r="N698" s="128">
        <f t="shared" si="576"/>
        <v>3.7269491786366968</v>
      </c>
      <c r="O698" s="129" t="str">
        <f t="shared" si="538"/>
        <v>OK</v>
      </c>
    </row>
    <row r="699" spans="1:15" ht="14.25" customHeight="1" x14ac:dyDescent="0.25">
      <c r="A699" s="120">
        <f>IF(N699=MIN(N681:N704),1,"")</f>
        <v>1</v>
      </c>
      <c r="B699" s="121">
        <f>B698+1/24</f>
        <v>42337.749999999956</v>
      </c>
      <c r="C699" s="122">
        <f>DAY(B699)</f>
        <v>29</v>
      </c>
      <c r="D699" s="123">
        <v>1813.1213179772881</v>
      </c>
      <c r="E699" s="124">
        <v>35.16297161205582</v>
      </c>
      <c r="F699" s="125">
        <v>12.614427489186255</v>
      </c>
      <c r="G699" s="126">
        <v>2.1394298076629639</v>
      </c>
      <c r="H699" s="127">
        <f>HLOOKUP('Operational Worksheet'!E699,$B$773:$U$775,3)</f>
        <v>10.149999999999999</v>
      </c>
      <c r="I699" s="127">
        <f t="shared" si="536"/>
        <v>0.89900217036685792</v>
      </c>
      <c r="J699" s="127">
        <f t="shared" si="537"/>
        <v>16.697518072216635</v>
      </c>
      <c r="K699" s="127">
        <f>I699*$G699</f>
        <v>1.9233520404365538</v>
      </c>
      <c r="L699" s="127">
        <f>J699*$G699</f>
        <v>35.723167877691296</v>
      </c>
      <c r="M699" s="127">
        <f>K699+L699</f>
        <v>37.646519918127851</v>
      </c>
      <c r="N699" s="128">
        <f>IF(D699&gt;0,M699/H699,"PO")</f>
        <v>3.7090167407022516</v>
      </c>
      <c r="O699" s="129" t="str">
        <f t="shared" si="538"/>
        <v>OK</v>
      </c>
    </row>
    <row r="700" spans="1:15" ht="14.25" customHeight="1" x14ac:dyDescent="0.25">
      <c r="A700" s="120" t="str">
        <f>IF(N700=MIN(N681:N704),1,"")</f>
        <v/>
      </c>
      <c r="B700" s="121">
        <f t="shared" ref="B700:B704" si="577">B699+1/24</f>
        <v>42337.791666666621</v>
      </c>
      <c r="C700" s="122">
        <f t="shared" ref="C700:C704" si="578">DAY(B700)</f>
        <v>29</v>
      </c>
      <c r="D700" s="123">
        <v>1802.2956147412785</v>
      </c>
      <c r="E700" s="124">
        <v>35.151065826416016</v>
      </c>
      <c r="F700" s="125">
        <v>12.614982406777495</v>
      </c>
      <c r="G700" s="126">
        <v>2.1394298076629639</v>
      </c>
      <c r="H700" s="127">
        <f>HLOOKUP('Operational Worksheet'!E700,$B$773:$U$775,3)</f>
        <v>10.149999999999999</v>
      </c>
      <c r="I700" s="127">
        <f t="shared" si="536"/>
        <v>0.90440213396068669</v>
      </c>
      <c r="J700" s="127">
        <f t="shared" si="537"/>
        <v>16.798552650649452</v>
      </c>
      <c r="K700" s="127">
        <f t="shared" ref="K700:L703" si="579">I700*$G700</f>
        <v>1.934904883509486</v>
      </c>
      <c r="L700" s="127">
        <f t="shared" si="579"/>
        <v>35.939324266395126</v>
      </c>
      <c r="M700" s="127">
        <f t="shared" ref="M700:M703" si="580">K700+L700</f>
        <v>37.874229149904615</v>
      </c>
      <c r="N700" s="128">
        <f t="shared" ref="N700:N704" si="581">IF(D700&gt;0,M700/H700,"PO")</f>
        <v>3.7314511477738543</v>
      </c>
      <c r="O700" s="129" t="str">
        <f t="shared" si="538"/>
        <v>OK</v>
      </c>
    </row>
    <row r="701" spans="1:15" ht="14.25" customHeight="1" x14ac:dyDescent="0.25">
      <c r="A701" s="120" t="str">
        <f>IF(N701=MIN(N681:N704),1,"")</f>
        <v/>
      </c>
      <c r="B701" s="121">
        <f t="shared" si="577"/>
        <v>42337.833333333285</v>
      </c>
      <c r="C701" s="122">
        <f t="shared" si="578"/>
        <v>29</v>
      </c>
      <c r="D701" s="123">
        <v>1808.3902382990555</v>
      </c>
      <c r="E701" s="124">
        <v>35.151065826416016</v>
      </c>
      <c r="F701" s="125">
        <v>12.620528011825501</v>
      </c>
      <c r="G701" s="126">
        <v>2.4142396450042725</v>
      </c>
      <c r="H701" s="127">
        <f>HLOOKUP('Operational Worksheet'!E701,$B$773:$U$775,3)</f>
        <v>10.149999999999999</v>
      </c>
      <c r="I701" s="127">
        <f t="shared" si="536"/>
        <v>0.90135412450199537</v>
      </c>
      <c r="J701" s="127">
        <f t="shared" si="537"/>
        <v>16.749298125426087</v>
      </c>
      <c r="K701" s="127">
        <f t="shared" si="579"/>
        <v>2.1760848615608341</v>
      </c>
      <c r="L701" s="127">
        <f t="shared" si="579"/>
        <v>40.4368195603994</v>
      </c>
      <c r="M701" s="127">
        <f t="shared" si="580"/>
        <v>42.612904421960231</v>
      </c>
      <c r="N701" s="128">
        <f t="shared" si="581"/>
        <v>4.198315706597068</v>
      </c>
      <c r="O701" s="129" t="str">
        <f t="shared" si="538"/>
        <v>OK</v>
      </c>
    </row>
    <row r="702" spans="1:15" ht="14.25" customHeight="1" x14ac:dyDescent="0.25">
      <c r="A702" s="120" t="str">
        <f>IF(N702=MIN(N681:N704),1,"")</f>
        <v/>
      </c>
      <c r="B702" s="121">
        <f t="shared" si="577"/>
        <v>42337.874999999949</v>
      </c>
      <c r="C702" s="122">
        <f t="shared" si="578"/>
        <v>29</v>
      </c>
      <c r="D702" s="123">
        <v>1800.55524830282</v>
      </c>
      <c r="E702" s="124">
        <v>35.151065826416016</v>
      </c>
      <c r="F702" s="125">
        <v>12.617112828049819</v>
      </c>
      <c r="G702" s="126">
        <v>2.4142396450042725</v>
      </c>
      <c r="H702" s="127">
        <f>HLOOKUP('Operational Worksheet'!E702,$B$773:$U$775,3)</f>
        <v>10.149999999999999</v>
      </c>
      <c r="I702" s="127">
        <f t="shared" si="536"/>
        <v>0.90527630381595725</v>
      </c>
      <c r="J702" s="127">
        <f t="shared" si="537"/>
        <v>16.817629348425776</v>
      </c>
      <c r="K702" s="127">
        <f t="shared" si="579"/>
        <v>2.1855539423554164</v>
      </c>
      <c r="L702" s="127">
        <f t="shared" si="579"/>
        <v>40.601787507956878</v>
      </c>
      <c r="M702" s="127">
        <f t="shared" si="580"/>
        <v>42.787341450312297</v>
      </c>
      <c r="N702" s="128">
        <f t="shared" si="581"/>
        <v>4.2155016207204241</v>
      </c>
      <c r="O702" s="129" t="str">
        <f t="shared" si="538"/>
        <v>OK</v>
      </c>
    </row>
    <row r="703" spans="1:15" ht="14.25" customHeight="1" x14ac:dyDescent="0.25">
      <c r="A703" s="120" t="str">
        <f>IF(N703=MIN(N681:N704),1,"")</f>
        <v/>
      </c>
      <c r="B703" s="121">
        <f t="shared" si="577"/>
        <v>42337.916666666613</v>
      </c>
      <c r="C703" s="122">
        <f t="shared" si="578"/>
        <v>29</v>
      </c>
      <c r="D703" s="123">
        <v>1805.8589187115961</v>
      </c>
      <c r="E703" s="124">
        <v>35.151065826416016</v>
      </c>
      <c r="F703" s="125">
        <v>12.619828946005768</v>
      </c>
      <c r="G703" s="126">
        <v>2.4142396450042725</v>
      </c>
      <c r="H703" s="127">
        <f>HLOOKUP('Operational Worksheet'!E703,$B$773:$U$775,3)</f>
        <v>10.149999999999999</v>
      </c>
      <c r="I703" s="127">
        <f t="shared" si="536"/>
        <v>0.90261757610773719</v>
      </c>
      <c r="J703" s="127">
        <f t="shared" si="537"/>
        <v>16.771846990141817</v>
      </c>
      <c r="K703" s="127">
        <f t="shared" si="579"/>
        <v>2.1791351365169604</v>
      </c>
      <c r="L703" s="127">
        <f t="shared" si="579"/>
        <v>40.491257923545959</v>
      </c>
      <c r="M703" s="127">
        <f t="shared" si="580"/>
        <v>42.670393060062921</v>
      </c>
      <c r="N703" s="128">
        <f t="shared" si="581"/>
        <v>4.2039796118288599</v>
      </c>
      <c r="O703" s="129" t="str">
        <f t="shared" si="538"/>
        <v>OK</v>
      </c>
    </row>
    <row r="704" spans="1:15" ht="14.25" customHeight="1" x14ac:dyDescent="0.25">
      <c r="A704" s="130" t="str">
        <f>IF(N704=MIN(N681:N704),1,"")</f>
        <v/>
      </c>
      <c r="B704" s="131">
        <f t="shared" si="577"/>
        <v>42337.958333333278</v>
      </c>
      <c r="C704" s="132">
        <f t="shared" si="578"/>
        <v>29</v>
      </c>
      <c r="D704" s="123">
        <v>1800.3572473052932</v>
      </c>
      <c r="E704" s="124">
        <v>35.266209737688456</v>
      </c>
      <c r="F704" s="125">
        <v>12.628708238198048</v>
      </c>
      <c r="G704" s="126">
        <v>2.4142396450042725</v>
      </c>
      <c r="H704" s="133">
        <f>HLOOKUP('Operational Worksheet'!E704,$B$773:$U$775,3)</f>
        <v>10.149999999999999</v>
      </c>
      <c r="I704" s="134">
        <f t="shared" si="536"/>
        <v>0.90537586495109379</v>
      </c>
      <c r="J704" s="133">
        <f t="shared" si="537"/>
        <v>16.834936408893586</v>
      </c>
      <c r="K704" s="133">
        <f>I704*$G704</f>
        <v>2.185794306794965</v>
      </c>
      <c r="L704" s="133">
        <f>J704*$G704</f>
        <v>40.643570899476757</v>
      </c>
      <c r="M704" s="133">
        <f>K704+L704</f>
        <v>42.829365206271724</v>
      </c>
      <c r="N704" s="134">
        <f t="shared" si="581"/>
        <v>4.2196418922435202</v>
      </c>
      <c r="O704" s="135" t="str">
        <f t="shared" si="538"/>
        <v>OK</v>
      </c>
    </row>
    <row r="705" spans="1:15" ht="14.25" customHeight="1" x14ac:dyDescent="0.25">
      <c r="A705" s="110">
        <f>IF(N705=MIN(N705:N728),1,"")</f>
        <v>1</v>
      </c>
      <c r="B705" s="111">
        <f>'[1]Turbidity Daily Data Sheet'!B45</f>
        <v>42338</v>
      </c>
      <c r="C705" s="112">
        <f>DAY(B705)</f>
        <v>30</v>
      </c>
      <c r="D705" s="123">
        <v>1820.7954018832691</v>
      </c>
      <c r="E705" s="124">
        <v>35.567985534667969</v>
      </c>
      <c r="F705" s="125">
        <v>12.623381180336416</v>
      </c>
      <c r="G705" s="126">
        <v>2.4142396450042725</v>
      </c>
      <c r="H705" s="117">
        <f>HLOOKUP('Operational Worksheet'!E705,$B$773:$U$775,3)</f>
        <v>10.149999999999999</v>
      </c>
      <c r="I705" s="117">
        <f t="shared" si="536"/>
        <v>0.8952131570159243</v>
      </c>
      <c r="J705" s="117">
        <f t="shared" si="537"/>
        <v>16.638945156315636</v>
      </c>
      <c r="K705" s="117">
        <f>I705*$G705</f>
        <v>2.1612590943972791</v>
      </c>
      <c r="L705" s="117">
        <f>J705*$G705</f>
        <v>40.170401047429017</v>
      </c>
      <c r="M705" s="117">
        <f>K705+L705</f>
        <v>42.331660141826298</v>
      </c>
      <c r="N705" s="118">
        <f>IF(D705&gt;0,M705/H705,"PO")</f>
        <v>4.170606910524759</v>
      </c>
      <c r="O705" s="119" t="str">
        <f t="shared" si="538"/>
        <v>OK</v>
      </c>
    </row>
    <row r="706" spans="1:15" ht="14.25" customHeight="1" x14ac:dyDescent="0.25">
      <c r="A706" s="120" t="str">
        <f>IF(N706=MIN(N705:N728),1,"")</f>
        <v/>
      </c>
      <c r="B706" s="121">
        <f>B705+1/24</f>
        <v>42338.041666666664</v>
      </c>
      <c r="C706" s="122">
        <f>DAY(B706)</f>
        <v>30</v>
      </c>
      <c r="D706" s="123">
        <v>1804.7312752177659</v>
      </c>
      <c r="E706" s="124">
        <v>35.567985534667969</v>
      </c>
      <c r="F706" s="125">
        <v>12.618044549809911</v>
      </c>
      <c r="G706" s="126">
        <v>2.4142396450042725</v>
      </c>
      <c r="H706" s="127">
        <f>HLOOKUP('Operational Worksheet'!E706,$B$773:$U$775,3)</f>
        <v>10.149999999999999</v>
      </c>
      <c r="I706" s="127">
        <f t="shared" si="536"/>
        <v>0.90318155527244237</v>
      </c>
      <c r="J706" s="127">
        <f t="shared" si="537"/>
        <v>16.779953522936363</v>
      </c>
      <c r="K706" s="127">
        <f t="shared" ref="K706:L709" si="582">I706*$G706</f>
        <v>2.1804967173753478</v>
      </c>
      <c r="L706" s="127">
        <f t="shared" si="582"/>
        <v>40.510829036402079</v>
      </c>
      <c r="M706" s="127">
        <f t="shared" ref="M706:M709" si="583">K706+L706</f>
        <v>42.691325753777427</v>
      </c>
      <c r="N706" s="128">
        <f t="shared" ref="N706:N710" si="584">IF(D706&gt;0,M706/H706,"PO")</f>
        <v>4.2060419461849685</v>
      </c>
      <c r="O706" s="129" t="str">
        <f t="shared" si="538"/>
        <v>OK</v>
      </c>
    </row>
    <row r="707" spans="1:15" ht="14.25" customHeight="1" x14ac:dyDescent="0.25">
      <c r="A707" s="120" t="str">
        <f>IF(N707=MIN(N705:N728),1,"")</f>
        <v/>
      </c>
      <c r="B707" s="121">
        <f t="shared" ref="B707:B722" si="585">B706+1/24</f>
        <v>42338.083333333328</v>
      </c>
      <c r="C707" s="122">
        <f t="shared" ref="C707" si="586">DAY(B707)</f>
        <v>30</v>
      </c>
      <c r="D707" s="123">
        <v>1814.2874851285324</v>
      </c>
      <c r="E707" s="124">
        <v>35.567985534667969</v>
      </c>
      <c r="F707" s="125">
        <v>12.626239984208496</v>
      </c>
      <c r="G707" s="126">
        <v>2.4142396450042725</v>
      </c>
      <c r="H707" s="127">
        <f>HLOOKUP('Operational Worksheet'!E707,$B$773:$U$775,3)</f>
        <v>10.149999999999999</v>
      </c>
      <c r="I707" s="127">
        <f t="shared" si="536"/>
        <v>0.89842431993875738</v>
      </c>
      <c r="J707" s="127">
        <f t="shared" si="537"/>
        <v>16.702411393172117</v>
      </c>
      <c r="K707" s="127">
        <f t="shared" si="582"/>
        <v>2.1690116112321505</v>
      </c>
      <c r="L707" s="127">
        <f t="shared" si="582"/>
        <v>40.323623752567165</v>
      </c>
      <c r="M707" s="127">
        <f t="shared" si="583"/>
        <v>42.492635363799316</v>
      </c>
      <c r="N707" s="128">
        <f t="shared" si="584"/>
        <v>4.1864665383053516</v>
      </c>
      <c r="O707" s="129" t="str">
        <f t="shared" si="538"/>
        <v>OK</v>
      </c>
    </row>
    <row r="708" spans="1:15" ht="14.25" customHeight="1" x14ac:dyDescent="0.25">
      <c r="A708" s="120" t="str">
        <f>IF(N708=MIN(N705:N728),1,"")</f>
        <v/>
      </c>
      <c r="B708" s="121">
        <f t="shared" si="585"/>
        <v>42338.124999999993</v>
      </c>
      <c r="C708" s="122">
        <f>DAY(B708)</f>
        <v>30</v>
      </c>
      <c r="D708" s="123">
        <v>1812.0140735045502</v>
      </c>
      <c r="E708" s="124">
        <v>35.567985534667969</v>
      </c>
      <c r="F708" s="125">
        <v>12.623755683437148</v>
      </c>
      <c r="G708" s="126">
        <v>2.4142396450042725</v>
      </c>
      <c r="H708" s="127">
        <f>HLOOKUP('Operational Worksheet'!E708,$B$773:$U$775,3)</f>
        <v>10.149999999999999</v>
      </c>
      <c r="I708" s="127">
        <f t="shared" si="536"/>
        <v>0.89955151222831098</v>
      </c>
      <c r="J708" s="127">
        <f t="shared" si="537"/>
        <v>16.720076341158215</v>
      </c>
      <c r="K708" s="127">
        <f t="shared" si="582"/>
        <v>2.1717329235451341</v>
      </c>
      <c r="L708" s="127">
        <f t="shared" si="582"/>
        <v>40.366271170322143</v>
      </c>
      <c r="M708" s="127">
        <f t="shared" si="583"/>
        <v>42.538004093867279</v>
      </c>
      <c r="N708" s="128">
        <f t="shared" si="584"/>
        <v>4.1909363639278112</v>
      </c>
      <c r="O708" s="129" t="str">
        <f t="shared" si="538"/>
        <v>OK</v>
      </c>
    </row>
    <row r="709" spans="1:15" ht="14.25" customHeight="1" x14ac:dyDescent="0.25">
      <c r="A709" s="120" t="str">
        <f>IF(N709=MIN(N705:N728),1,"")</f>
        <v/>
      </c>
      <c r="B709" s="121">
        <f t="shared" si="585"/>
        <v>42338.166666666657</v>
      </c>
      <c r="C709" s="122">
        <f t="shared" ref="C709:C710" si="587">DAY(B709)</f>
        <v>30</v>
      </c>
      <c r="D709" s="123">
        <v>1794.7374931317231</v>
      </c>
      <c r="E709" s="124">
        <v>35.567985534667969</v>
      </c>
      <c r="F709" s="125">
        <v>12.624014506940302</v>
      </c>
      <c r="G709" s="126">
        <v>2.5379469394683838</v>
      </c>
      <c r="H709" s="127">
        <f>HLOOKUP('Operational Worksheet'!E709,$B$773:$U$775,3)</f>
        <v>10.149999999999999</v>
      </c>
      <c r="I709" s="127">
        <f t="shared" si="536"/>
        <v>0.90821081424879313</v>
      </c>
      <c r="J709" s="127">
        <f t="shared" si="537"/>
        <v>16.881373979538889</v>
      </c>
      <c r="K709" s="127">
        <f t="shared" si="582"/>
        <v>2.3049908564148134</v>
      </c>
      <c r="L709" s="127">
        <f t="shared" si="582"/>
        <v>42.844031425391933</v>
      </c>
      <c r="M709" s="127">
        <f t="shared" si="583"/>
        <v>45.149022281806744</v>
      </c>
      <c r="N709" s="128">
        <f t="shared" si="584"/>
        <v>4.4481795351533746</v>
      </c>
      <c r="O709" s="129" t="str">
        <f t="shared" si="538"/>
        <v>OK</v>
      </c>
    </row>
    <row r="710" spans="1:15" ht="14.25" customHeight="1" x14ac:dyDescent="0.25">
      <c r="A710" s="120" t="str">
        <f>IF(N710=MIN(N705:N728),1,"")</f>
        <v/>
      </c>
      <c r="B710" s="121">
        <f t="shared" si="585"/>
        <v>42338.208333333321</v>
      </c>
      <c r="C710" s="122">
        <f t="shared" si="587"/>
        <v>30</v>
      </c>
      <c r="D710" s="123">
        <v>1801.4268439907371</v>
      </c>
      <c r="E710" s="124">
        <v>35.567985534667969</v>
      </c>
      <c r="F710" s="125">
        <v>12.626558200545119</v>
      </c>
      <c r="G710" s="126">
        <v>2.5379469394683838</v>
      </c>
      <c r="H710" s="127">
        <f>HLOOKUP('Operational Worksheet'!E710,$B$773:$U$775,3)</f>
        <v>10.149999999999999</v>
      </c>
      <c r="I710" s="128">
        <f t="shared" si="536"/>
        <v>0.90483829828416917</v>
      </c>
      <c r="J710" s="127">
        <f t="shared" si="537"/>
        <v>16.822076223853646</v>
      </c>
      <c r="K710" s="127">
        <f>I710*$G710</f>
        <v>2.2964315898440879</v>
      </c>
      <c r="L710" s="127">
        <f>J710*$G710</f>
        <v>42.693536867833224</v>
      </c>
      <c r="M710" s="127">
        <f>K710+L710</f>
        <v>44.989968457677314</v>
      </c>
      <c r="N710" s="128">
        <f t="shared" si="584"/>
        <v>4.432509207652938</v>
      </c>
      <c r="O710" s="129" t="str">
        <f t="shared" si="538"/>
        <v>OK</v>
      </c>
    </row>
    <row r="711" spans="1:15" ht="14.25" customHeight="1" x14ac:dyDescent="0.25">
      <c r="A711" s="120" t="str">
        <f>IF(N711=MIN(N705:N728),1,"")</f>
        <v/>
      </c>
      <c r="B711" s="121">
        <f t="shared" si="585"/>
        <v>42338.249999999985</v>
      </c>
      <c r="C711" s="122">
        <f>DAY(B711)</f>
        <v>30</v>
      </c>
      <c r="D711" s="123">
        <v>1832.616785995333</v>
      </c>
      <c r="E711" s="124">
        <v>35.567985534667969</v>
      </c>
      <c r="F711" s="125">
        <v>12.619099855975819</v>
      </c>
      <c r="G711" s="126">
        <v>2.4350001811981201</v>
      </c>
      <c r="H711" s="127">
        <f>HLOOKUP('Operational Worksheet'!E711,$B$773:$U$775,3)</f>
        <v>10.149999999999999</v>
      </c>
      <c r="I711" s="127">
        <f t="shared" si="536"/>
        <v>0.88943854081021767</v>
      </c>
      <c r="J711" s="127">
        <f t="shared" si="537"/>
        <v>16.526007993478615</v>
      </c>
      <c r="K711" s="127">
        <f>I711*$G711</f>
        <v>2.1657830080374714</v>
      </c>
      <c r="L711" s="127">
        <f>J711*$G711</f>
        <v>40.240832458602007</v>
      </c>
      <c r="M711" s="127">
        <f>K711+L711</f>
        <v>42.406615466639479</v>
      </c>
      <c r="N711" s="128">
        <f>IF(D711&gt;0,M711/H711,"PO")</f>
        <v>4.1779916715900969</v>
      </c>
      <c r="O711" s="129" t="str">
        <f t="shared" si="538"/>
        <v>OK</v>
      </c>
    </row>
    <row r="712" spans="1:15" ht="14.25" customHeight="1" x14ac:dyDescent="0.25">
      <c r="A712" s="120" t="str">
        <f>IF(N712=MIN(N705:N728),1,"")</f>
        <v/>
      </c>
      <c r="B712" s="121">
        <f t="shared" si="585"/>
        <v>42338.29166666665</v>
      </c>
      <c r="C712" s="122">
        <f t="shared" ref="C712:C716" si="588">DAY(B712)</f>
        <v>30</v>
      </c>
      <c r="D712" s="123">
        <v>1722.2322915283041</v>
      </c>
      <c r="E712" s="124">
        <v>35.91830103010976</v>
      </c>
      <c r="F712" s="125">
        <v>12.608156360374396</v>
      </c>
      <c r="G712" s="126">
        <v>2.5872800350189209</v>
      </c>
      <c r="H712" s="127">
        <f>HLOOKUP('Operational Worksheet'!E712,$B$773:$U$775,3)</f>
        <v>9.3624999999999989</v>
      </c>
      <c r="I712" s="127">
        <f t="shared" si="536"/>
        <v>0.94644607932275071</v>
      </c>
      <c r="J712" s="127">
        <f t="shared" si="537"/>
        <v>17.569973234009151</v>
      </c>
      <c r="K712" s="127">
        <f t="shared" ref="K712:L715" si="589">I712*$G712</f>
        <v>2.4487210452536869</v>
      </c>
      <c r="L712" s="127">
        <f t="shared" si="589"/>
        <v>45.458440964168702</v>
      </c>
      <c r="M712" s="127">
        <f t="shared" ref="M712:M715" si="590">K712+L712</f>
        <v>47.907162009422386</v>
      </c>
      <c r="N712" s="128">
        <f t="shared" ref="N712:N716" si="591">IF(D712&gt;0,M712/H712,"PO")</f>
        <v>5.1169198407927787</v>
      </c>
      <c r="O712" s="129" t="str">
        <f t="shared" si="538"/>
        <v>OK</v>
      </c>
    </row>
    <row r="713" spans="1:15" ht="14.25" customHeight="1" x14ac:dyDescent="0.25">
      <c r="A713" s="120" t="str">
        <f>IF(N713=MIN(N705:N728),1,"")</f>
        <v/>
      </c>
      <c r="B713" s="121">
        <f t="shared" si="585"/>
        <v>42338.333333333314</v>
      </c>
      <c r="C713" s="122">
        <f t="shared" si="588"/>
        <v>30</v>
      </c>
      <c r="D713" s="123">
        <v>1756.0199740366484</v>
      </c>
      <c r="E713" s="124">
        <v>36.507827758789063</v>
      </c>
      <c r="F713" s="125">
        <v>12.616630185294683</v>
      </c>
      <c r="G713" s="126">
        <v>2.5872800350189209</v>
      </c>
      <c r="H713" s="127">
        <f>HLOOKUP('Operational Worksheet'!E713,$B$773:$U$775,3)</f>
        <v>9.3624999999999989</v>
      </c>
      <c r="I713" s="127">
        <f t="shared" ref="I713:I752" si="592">$G$768/D713*$H$768</f>
        <v>0.92823545523405404</v>
      </c>
      <c r="J713" s="127">
        <f t="shared" ref="J713:J752" si="593">$G$769*F713/D713*$H$769</f>
        <v>17.243489762306822</v>
      </c>
      <c r="K713" s="127">
        <f t="shared" si="589"/>
        <v>2.4016050611237674</v>
      </c>
      <c r="L713" s="127">
        <f t="shared" si="589"/>
        <v>44.613736796069603</v>
      </c>
      <c r="M713" s="127">
        <f t="shared" si="590"/>
        <v>47.01534185719337</v>
      </c>
      <c r="N713" s="128">
        <f t="shared" si="591"/>
        <v>5.021665351903164</v>
      </c>
      <c r="O713" s="129" t="str">
        <f t="shared" ref="O713:O752" si="594">+IF(N713&gt;=1, "OK","Alarm")</f>
        <v>OK</v>
      </c>
    </row>
    <row r="714" spans="1:15" ht="14.25" customHeight="1" x14ac:dyDescent="0.25">
      <c r="A714" s="120" t="str">
        <f>IF(N714=MIN(N705:N728),1,"")</f>
        <v/>
      </c>
      <c r="B714" s="121">
        <f t="shared" si="585"/>
        <v>42338.374999999978</v>
      </c>
      <c r="C714" s="122">
        <f t="shared" si="588"/>
        <v>30</v>
      </c>
      <c r="D714" s="123">
        <v>1813.7709906280768</v>
      </c>
      <c r="E714" s="124">
        <v>36.507827758789063</v>
      </c>
      <c r="F714" s="125">
        <v>12.628071899919725</v>
      </c>
      <c r="G714" s="126">
        <v>2.5872800350189209</v>
      </c>
      <c r="H714" s="127">
        <f>HLOOKUP('Operational Worksheet'!E714,$B$773:$U$775,3)</f>
        <v>9.3624999999999989</v>
      </c>
      <c r="I714" s="127">
        <f t="shared" si="592"/>
        <v>0.89868015776101917</v>
      </c>
      <c r="J714" s="127">
        <f t="shared" si="593"/>
        <v>16.709591627834136</v>
      </c>
      <c r="K714" s="127">
        <f t="shared" si="589"/>
        <v>2.3251372300427389</v>
      </c>
      <c r="L714" s="127">
        <f t="shared" si="589"/>
        <v>43.232392812014574</v>
      </c>
      <c r="M714" s="127">
        <f t="shared" si="590"/>
        <v>45.557530042057316</v>
      </c>
      <c r="N714" s="128">
        <f t="shared" si="591"/>
        <v>4.8659578149059888</v>
      </c>
      <c r="O714" s="129" t="str">
        <f t="shared" si="594"/>
        <v>OK</v>
      </c>
    </row>
    <row r="715" spans="1:15" ht="14.25" customHeight="1" x14ac:dyDescent="0.25">
      <c r="A715" s="120" t="str">
        <f>IF(N715=MIN(N705:N728),1,"")</f>
        <v/>
      </c>
      <c r="B715" s="121">
        <f t="shared" si="585"/>
        <v>42338.416666666642</v>
      </c>
      <c r="C715" s="122">
        <f t="shared" si="588"/>
        <v>30</v>
      </c>
      <c r="D715" s="123">
        <v>1795.322804464329</v>
      </c>
      <c r="E715" s="124">
        <v>36.507827758789063</v>
      </c>
      <c r="F715" s="125">
        <v>12.607352000398167</v>
      </c>
      <c r="G715" s="126">
        <v>2.5516448020935059</v>
      </c>
      <c r="H715" s="127">
        <f>HLOOKUP('Operational Worksheet'!E715,$B$773:$U$775,3)</f>
        <v>9.3624999999999989</v>
      </c>
      <c r="I715" s="127">
        <f t="shared" si="592"/>
        <v>0.90791471926205691</v>
      </c>
      <c r="J715" s="127">
        <f t="shared" si="593"/>
        <v>16.853595757662969</v>
      </c>
      <c r="K715" s="127">
        <f t="shared" si="589"/>
        <v>2.3166758741492122</v>
      </c>
      <c r="L715" s="127">
        <f t="shared" si="589"/>
        <v>43.00439001162588</v>
      </c>
      <c r="M715" s="127">
        <f t="shared" si="590"/>
        <v>45.321065885775091</v>
      </c>
      <c r="N715" s="128">
        <f t="shared" si="591"/>
        <v>4.8407012962109581</v>
      </c>
      <c r="O715" s="129" t="str">
        <f t="shared" si="594"/>
        <v>OK</v>
      </c>
    </row>
    <row r="716" spans="1:15" ht="14.25" customHeight="1" x14ac:dyDescent="0.25">
      <c r="A716" s="120" t="str">
        <f>IF(N716=MIN(N705:N728),1,"")</f>
        <v/>
      </c>
      <c r="B716" s="121">
        <f t="shared" si="585"/>
        <v>42338.458333333307</v>
      </c>
      <c r="C716" s="122">
        <f t="shared" si="588"/>
        <v>30</v>
      </c>
      <c r="D716" s="123">
        <v>1822.8207183961399</v>
      </c>
      <c r="E716" s="124">
        <v>36.507827758789063</v>
      </c>
      <c r="F716" s="125">
        <v>12.599947639432443</v>
      </c>
      <c r="G716" s="126">
        <v>2.3731467723846436</v>
      </c>
      <c r="H716" s="127">
        <f>HLOOKUP('Operational Worksheet'!E716,$B$773:$U$775,3)</f>
        <v>9.3624999999999989</v>
      </c>
      <c r="I716" s="128">
        <f t="shared" si="592"/>
        <v>0.89421849529678454</v>
      </c>
      <c r="J716" s="127">
        <f t="shared" si="593"/>
        <v>16.589604248763017</v>
      </c>
      <c r="K716" s="127">
        <f>I716*$G716</f>
        <v>2.1221117359202166</v>
      </c>
      <c r="L716" s="127">
        <f>J716*$G716</f>
        <v>39.369565778090525</v>
      </c>
      <c r="M716" s="127">
        <f>K716+L716</f>
        <v>41.491677514010739</v>
      </c>
      <c r="N716" s="128">
        <f t="shared" si="591"/>
        <v>4.4316878519637646</v>
      </c>
      <c r="O716" s="129" t="str">
        <f t="shared" si="594"/>
        <v>OK</v>
      </c>
    </row>
    <row r="717" spans="1:15" ht="14.25" customHeight="1" x14ac:dyDescent="0.25">
      <c r="A717" s="120" t="str">
        <f>IF(N717=MIN(N705:N728),1,"")</f>
        <v/>
      </c>
      <c r="B717" s="121">
        <f t="shared" si="585"/>
        <v>42338.499999999971</v>
      </c>
      <c r="C717" s="122">
        <f>DAY(B717)</f>
        <v>30</v>
      </c>
      <c r="D717" s="123">
        <v>1802.8589097757661</v>
      </c>
      <c r="E717" s="124">
        <v>36.507827758789063</v>
      </c>
      <c r="F717" s="125">
        <v>12.605031887552949</v>
      </c>
      <c r="G717" s="126">
        <v>2.5175073146820068</v>
      </c>
      <c r="H717" s="127">
        <f>HLOOKUP('Operational Worksheet'!E717,$B$773:$U$775,3)</f>
        <v>9.3624999999999989</v>
      </c>
      <c r="I717" s="127">
        <f t="shared" si="592"/>
        <v>0.90411955764343999</v>
      </c>
      <c r="J717" s="127">
        <f t="shared" si="593"/>
        <v>16.78005769951778</v>
      </c>
      <c r="K717" s="127">
        <f>I717*$G717</f>
        <v>2.2761275997144206</v>
      </c>
      <c r="L717" s="127">
        <f>J717*$G717</f>
        <v>42.243917999322136</v>
      </c>
      <c r="M717" s="127">
        <f>K717+L717</f>
        <v>44.520045599036557</v>
      </c>
      <c r="N717" s="128">
        <f>IF(D717&gt;0,M717/H717,"PO")</f>
        <v>4.7551450573069758</v>
      </c>
      <c r="O717" s="129" t="str">
        <f t="shared" si="594"/>
        <v>OK</v>
      </c>
    </row>
    <row r="718" spans="1:15" ht="14.25" customHeight="1" x14ac:dyDescent="0.25">
      <c r="A718" s="120" t="str">
        <f>IF(N718=MIN(N705:N728),1,"")</f>
        <v/>
      </c>
      <c r="B718" s="121">
        <f t="shared" si="585"/>
        <v>42338.541666666635</v>
      </c>
      <c r="C718" s="122">
        <f t="shared" ref="C718:C722" si="595">DAY(B718)</f>
        <v>30</v>
      </c>
      <c r="D718" s="123">
        <v>1789.5948447185135</v>
      </c>
      <c r="E718" s="124">
        <v>35.985664991247631</v>
      </c>
      <c r="F718" s="125">
        <v>12.592671553809041</v>
      </c>
      <c r="G718" s="126">
        <v>2.5175073146820068</v>
      </c>
      <c r="H718" s="127">
        <f>HLOOKUP('Operational Worksheet'!E718,$B$773:$U$775,3)</f>
        <v>9.3624999999999989</v>
      </c>
      <c r="I718" s="127">
        <f t="shared" si="592"/>
        <v>0.91082068369300861</v>
      </c>
      <c r="J718" s="127">
        <f t="shared" si="593"/>
        <v>16.887851358275118</v>
      </c>
      <c r="K718" s="127">
        <f t="shared" ref="K718:L721" si="596">I718*$G718</f>
        <v>2.2929977335608158</v>
      </c>
      <c r="L718" s="127">
        <f t="shared" si="596"/>
        <v>42.515289323720076</v>
      </c>
      <c r="M718" s="127">
        <f t="shared" ref="M718:M721" si="597">K718+L718</f>
        <v>44.808287057280893</v>
      </c>
      <c r="N718" s="128">
        <f t="shared" ref="N718:N722" si="598">IF(D718&gt;0,M718/H718,"PO")</f>
        <v>4.7859318619258637</v>
      </c>
      <c r="O718" s="129" t="str">
        <f t="shared" si="594"/>
        <v>OK</v>
      </c>
    </row>
    <row r="719" spans="1:15" ht="14.25" customHeight="1" x14ac:dyDescent="0.25">
      <c r="A719" s="120" t="str">
        <f>IF(N719=MIN(N705:N728),1,"")</f>
        <v/>
      </c>
      <c r="B719" s="121">
        <f t="shared" si="585"/>
        <v>42338.583333333299</v>
      </c>
      <c r="C719" s="122">
        <f t="shared" si="595"/>
        <v>30</v>
      </c>
      <c r="D719" s="123">
        <v>1809.6691080403268</v>
      </c>
      <c r="E719" s="124">
        <v>35.751712799072266</v>
      </c>
      <c r="F719" s="125">
        <v>12.60773794807197</v>
      </c>
      <c r="G719" s="126">
        <v>2.5175073146820068</v>
      </c>
      <c r="H719" s="127">
        <f>HLOOKUP('Operational Worksheet'!E719,$B$773:$U$775,3)</f>
        <v>9.3624999999999989</v>
      </c>
      <c r="I719" s="127">
        <f t="shared" si="592"/>
        <v>0.90071714920586299</v>
      </c>
      <c r="J719" s="127">
        <f t="shared" si="593"/>
        <v>16.720499311688776</v>
      </c>
      <c r="K719" s="127">
        <f t="shared" si="596"/>
        <v>2.2675620115852846</v>
      </c>
      <c r="L719" s="127">
        <f t="shared" si="596"/>
        <v>42.093979322311952</v>
      </c>
      <c r="M719" s="127">
        <f t="shared" si="597"/>
        <v>44.361541333897236</v>
      </c>
      <c r="N719" s="128">
        <f t="shared" si="598"/>
        <v>4.7382153627660601</v>
      </c>
      <c r="O719" s="129" t="str">
        <f t="shared" si="594"/>
        <v>OK</v>
      </c>
    </row>
    <row r="720" spans="1:15" ht="14.25" customHeight="1" x14ac:dyDescent="0.25">
      <c r="A720" s="120" t="str">
        <f>IF(N720=MIN(N705:N728),1,"")</f>
        <v/>
      </c>
      <c r="B720" s="121">
        <f t="shared" si="585"/>
        <v>42338.624999999964</v>
      </c>
      <c r="C720" s="122">
        <f t="shared" si="595"/>
        <v>30</v>
      </c>
      <c r="D720" s="123">
        <v>1810.5858147375286</v>
      </c>
      <c r="E720" s="124">
        <v>35.751712799072266</v>
      </c>
      <c r="F720" s="125">
        <v>12.600666936286242</v>
      </c>
      <c r="G720" s="126">
        <v>2.5175073146820068</v>
      </c>
      <c r="H720" s="127">
        <f>HLOOKUP('Operational Worksheet'!E720,$B$773:$U$775,3)</f>
        <v>9.3624999999999989</v>
      </c>
      <c r="I720" s="127">
        <f t="shared" si="592"/>
        <v>0.90026111258156127</v>
      </c>
      <c r="J720" s="127">
        <f t="shared" si="593"/>
        <v>16.702660763677169</v>
      </c>
      <c r="K720" s="127">
        <f t="shared" si="596"/>
        <v>2.2664139360478424</v>
      </c>
      <c r="L720" s="127">
        <f t="shared" si="596"/>
        <v>42.049070647209426</v>
      </c>
      <c r="M720" s="127">
        <f t="shared" si="597"/>
        <v>44.315484583257266</v>
      </c>
      <c r="N720" s="128">
        <f t="shared" si="598"/>
        <v>4.7332960836589875</v>
      </c>
      <c r="O720" s="129" t="str">
        <f t="shared" si="594"/>
        <v>OK</v>
      </c>
    </row>
    <row r="721" spans="1:15" ht="14.25" customHeight="1" x14ac:dyDescent="0.25">
      <c r="A721" s="120" t="str">
        <f>IF(N721=MIN(N705:N728),1,"")</f>
        <v/>
      </c>
      <c r="B721" s="121">
        <f t="shared" si="585"/>
        <v>42338.666666666628</v>
      </c>
      <c r="C721" s="122">
        <f t="shared" si="595"/>
        <v>30</v>
      </c>
      <c r="D721" s="123">
        <v>1804.9847660458979</v>
      </c>
      <c r="E721" s="124">
        <v>36.322685275879834</v>
      </c>
      <c r="F721" s="125">
        <v>12.609603146251473</v>
      </c>
      <c r="G721" s="126">
        <v>2.5175073146820068</v>
      </c>
      <c r="H721" s="127">
        <f>HLOOKUP('Operational Worksheet'!E721,$B$773:$U$775,3)</f>
        <v>9.3624999999999989</v>
      </c>
      <c r="I721" s="127">
        <f t="shared" si="592"/>
        <v>0.90305471307149621</v>
      </c>
      <c r="J721" s="127">
        <f t="shared" si="593"/>
        <v>16.76637283609849</v>
      </c>
      <c r="K721" s="127">
        <f t="shared" si="596"/>
        <v>2.2734468457155526</v>
      </c>
      <c r="L721" s="127">
        <f t="shared" si="596"/>
        <v>42.209466255563655</v>
      </c>
      <c r="M721" s="127">
        <f t="shared" si="597"/>
        <v>44.482913101279209</v>
      </c>
      <c r="N721" s="128">
        <f t="shared" si="598"/>
        <v>4.7511789694290218</v>
      </c>
      <c r="O721" s="129" t="str">
        <f t="shared" si="594"/>
        <v>OK</v>
      </c>
    </row>
    <row r="722" spans="1:15" ht="14.25" customHeight="1" x14ac:dyDescent="0.25">
      <c r="A722" s="120" t="str">
        <f>IF(N722=MIN(N705:N728),1,"")</f>
        <v/>
      </c>
      <c r="B722" s="121">
        <f t="shared" si="585"/>
        <v>42338.708333333292</v>
      </c>
      <c r="C722" s="122">
        <f t="shared" si="595"/>
        <v>30</v>
      </c>
      <c r="D722" s="123">
        <v>1800.5383923652405</v>
      </c>
      <c r="E722" s="124">
        <v>36.454826354980469</v>
      </c>
      <c r="F722" s="125">
        <v>12.603910814761766</v>
      </c>
      <c r="G722" s="126">
        <v>2.5724053382873535</v>
      </c>
      <c r="H722" s="127">
        <f>HLOOKUP('Operational Worksheet'!E722,$B$773:$U$775,3)</f>
        <v>9.3624999999999989</v>
      </c>
      <c r="I722" s="128">
        <f t="shared" si="592"/>
        <v>0.9052847786593341</v>
      </c>
      <c r="J722" s="127">
        <f t="shared" si="593"/>
        <v>16.800189367632285</v>
      </c>
      <c r="K722" s="127">
        <f>I722*$G722</f>
        <v>2.3287593972935561</v>
      </c>
      <c r="L722" s="127">
        <f>J722*$G722</f>
        <v>43.216896813535726</v>
      </c>
      <c r="M722" s="127">
        <f>K722+L722</f>
        <v>45.545656210829279</v>
      </c>
      <c r="N722" s="128">
        <f t="shared" si="598"/>
        <v>4.8646895819310316</v>
      </c>
      <c r="O722" s="129" t="str">
        <f t="shared" si="594"/>
        <v>OK</v>
      </c>
    </row>
    <row r="723" spans="1:15" ht="14.25" customHeight="1" x14ac:dyDescent="0.25">
      <c r="A723" s="120" t="str">
        <f>IF(N723=MIN(N705:N728),1,"")</f>
        <v/>
      </c>
      <c r="B723" s="121">
        <f>B722+1/24</f>
        <v>42338.749999999956</v>
      </c>
      <c r="C723" s="122">
        <f>DAY(B723)</f>
        <v>30</v>
      </c>
      <c r="D723" s="123">
        <v>1804.0495558229748</v>
      </c>
      <c r="E723" s="124">
        <v>36.454826354980469</v>
      </c>
      <c r="F723" s="125">
        <v>12.608958661734903</v>
      </c>
      <c r="G723" s="126">
        <v>2.5724053382873535</v>
      </c>
      <c r="H723" s="127">
        <f>HLOOKUP('Operational Worksheet'!E723,$B$773:$U$775,3)</f>
        <v>9.3624999999999989</v>
      </c>
      <c r="I723" s="127">
        <f t="shared" si="592"/>
        <v>0.90352285209616845</v>
      </c>
      <c r="J723" s="127">
        <f t="shared" si="593"/>
        <v>16.77420705572526</v>
      </c>
      <c r="K723" s="127">
        <f>I723*$G723</f>
        <v>2.3242270079967988</v>
      </c>
      <c r="L723" s="127">
        <f>J723*$G723</f>
        <v>43.150059775685051</v>
      </c>
      <c r="M723" s="127">
        <f>K723+L723</f>
        <v>45.474286783681848</v>
      </c>
      <c r="N723" s="128">
        <f>IF(D723&gt;0,M723/H723,"PO")</f>
        <v>4.8570666791649506</v>
      </c>
      <c r="O723" s="129" t="str">
        <f t="shared" si="594"/>
        <v>OK</v>
      </c>
    </row>
    <row r="724" spans="1:15" ht="14.25" customHeight="1" x14ac:dyDescent="0.25">
      <c r="A724" s="120" t="str">
        <f>IF(N724=MIN(N705:N728),1,"")</f>
        <v/>
      </c>
      <c r="B724" s="121">
        <f t="shared" ref="B724:B728" si="599">B723+1/24</f>
        <v>42338.791666666621</v>
      </c>
      <c r="C724" s="122">
        <f t="shared" ref="C724:C728" si="600">DAY(B724)</f>
        <v>30</v>
      </c>
      <c r="D724" s="123">
        <v>1819.1566867563038</v>
      </c>
      <c r="E724" s="124">
        <v>36.454826354980469</v>
      </c>
      <c r="F724" s="125">
        <v>12.611044503990367</v>
      </c>
      <c r="G724" s="126">
        <v>2.5724053382873535</v>
      </c>
      <c r="H724" s="127">
        <f>HLOOKUP('Operational Worksheet'!E724,$B$773:$U$775,3)</f>
        <v>9.3624999999999989</v>
      </c>
      <c r="I724" s="127">
        <f t="shared" si="592"/>
        <v>0.89601957427120549</v>
      </c>
      <c r="J724" s="127">
        <f t="shared" si="593"/>
        <v>16.637658003799764</v>
      </c>
      <c r="K724" s="127">
        <f t="shared" ref="K724:L727" si="601">I724*$G724</f>
        <v>2.3049255360652108</v>
      </c>
      <c r="L724" s="127">
        <f t="shared" si="601"/>
        <v>42.798800265573824</v>
      </c>
      <c r="M724" s="127">
        <f t="shared" ref="M724:M727" si="602">K724+L724</f>
        <v>45.103725801639037</v>
      </c>
      <c r="N724" s="128">
        <f t="shared" ref="N724:N728" si="603">IF(D724&gt;0,M724/H724,"PO")</f>
        <v>4.8174874020442235</v>
      </c>
      <c r="O724" s="129" t="str">
        <f t="shared" si="594"/>
        <v>OK</v>
      </c>
    </row>
    <row r="725" spans="1:15" ht="14.25" customHeight="1" x14ac:dyDescent="0.25">
      <c r="A725" s="120" t="str">
        <f>IF(N725=MIN(N705:N728),1,"")</f>
        <v/>
      </c>
      <c r="B725" s="121">
        <f t="shared" si="599"/>
        <v>42338.833333333285</v>
      </c>
      <c r="C725" s="122">
        <f t="shared" si="600"/>
        <v>30</v>
      </c>
      <c r="D725" s="123">
        <v>1807.1383528221147</v>
      </c>
      <c r="E725" s="124">
        <v>36.464917091094534</v>
      </c>
      <c r="F725" s="125">
        <v>12.598083756942689</v>
      </c>
      <c r="G725" s="126">
        <v>2.5861027240753174</v>
      </c>
      <c r="H725" s="127">
        <f>HLOOKUP('Operational Worksheet'!E725,$B$773:$U$775,3)</f>
        <v>9.3624999999999989</v>
      </c>
      <c r="I725" s="127">
        <f t="shared" si="592"/>
        <v>0.90197853277504358</v>
      </c>
      <c r="J725" s="127">
        <f t="shared" si="593"/>
        <v>16.731093648389116</v>
      </c>
      <c r="K725" s="127">
        <f t="shared" si="601"/>
        <v>2.3326091406669982</v>
      </c>
      <c r="L725" s="127">
        <f t="shared" si="601"/>
        <v>43.26832686085833</v>
      </c>
      <c r="M725" s="127">
        <f t="shared" si="602"/>
        <v>45.600936001525326</v>
      </c>
      <c r="N725" s="128">
        <f t="shared" si="603"/>
        <v>4.8705939654499684</v>
      </c>
      <c r="O725" s="129" t="str">
        <f t="shared" si="594"/>
        <v>OK</v>
      </c>
    </row>
    <row r="726" spans="1:15" ht="14.25" customHeight="1" x14ac:dyDescent="0.25">
      <c r="A726" s="120" t="str">
        <f>IF(N726=MIN(N705:N728),1,"")</f>
        <v/>
      </c>
      <c r="B726" s="121">
        <f t="shared" si="599"/>
        <v>42338.874999999949</v>
      </c>
      <c r="C726" s="122">
        <f t="shared" si="600"/>
        <v>30</v>
      </c>
      <c r="D726" s="123">
        <v>1802.2587651902761</v>
      </c>
      <c r="E726" s="124">
        <v>36.465427398681641</v>
      </c>
      <c r="F726" s="125">
        <v>12.618127722307154</v>
      </c>
      <c r="G726" s="126">
        <v>2.3591279983520508</v>
      </c>
      <c r="H726" s="127">
        <f>HLOOKUP('Operational Worksheet'!E726,$B$773:$U$775,3)</f>
        <v>9.3624999999999989</v>
      </c>
      <c r="I726" s="127">
        <f t="shared" si="592"/>
        <v>0.90442062565189429</v>
      </c>
      <c r="J726" s="127">
        <f t="shared" si="593"/>
        <v>16.803084617174793</v>
      </c>
      <c r="K726" s="127">
        <f t="shared" si="601"/>
        <v>2.1336440202624627</v>
      </c>
      <c r="L726" s="127">
        <f t="shared" si="601"/>
        <v>39.640627379055708</v>
      </c>
      <c r="M726" s="127">
        <f t="shared" si="602"/>
        <v>41.774271399318174</v>
      </c>
      <c r="N726" s="128">
        <f t="shared" si="603"/>
        <v>4.4618714445199661</v>
      </c>
      <c r="O726" s="129" t="str">
        <f t="shared" si="594"/>
        <v>OK</v>
      </c>
    </row>
    <row r="727" spans="1:15" ht="14.25" customHeight="1" x14ac:dyDescent="0.25">
      <c r="A727" s="120" t="str">
        <f>IF(N727=MIN(N705:N728),1,"")</f>
        <v/>
      </c>
      <c r="B727" s="121">
        <f t="shared" si="599"/>
        <v>42338.916666666613</v>
      </c>
      <c r="C727" s="122">
        <f t="shared" si="600"/>
        <v>30</v>
      </c>
      <c r="D727" s="123">
        <v>1801.5253247250969</v>
      </c>
      <c r="E727" s="124">
        <v>36.465427398681641</v>
      </c>
      <c r="F727" s="125">
        <v>12.612176358338377</v>
      </c>
      <c r="G727" s="126">
        <v>2.592951774597168</v>
      </c>
      <c r="H727" s="127">
        <f>HLOOKUP('Operational Worksheet'!E727,$B$773:$U$775,3)</f>
        <v>9.3624999999999989</v>
      </c>
      <c r="I727" s="127">
        <f t="shared" si="592"/>
        <v>0.90478883512155417</v>
      </c>
      <c r="J727" s="127">
        <f t="shared" si="593"/>
        <v>16.801997088012641</v>
      </c>
      <c r="K727" s="127">
        <f t="shared" si="601"/>
        <v>2.3460738156641381</v>
      </c>
      <c r="L727" s="127">
        <f t="shared" si="601"/>
        <v>43.566768166138829</v>
      </c>
      <c r="M727" s="127">
        <f t="shared" si="602"/>
        <v>45.91284198180297</v>
      </c>
      <c r="N727" s="128">
        <f t="shared" si="603"/>
        <v>4.9039083558668066</v>
      </c>
      <c r="O727" s="129" t="str">
        <f t="shared" si="594"/>
        <v>OK</v>
      </c>
    </row>
    <row r="728" spans="1:15" ht="14.25" customHeight="1" x14ac:dyDescent="0.25">
      <c r="A728" s="130" t="str">
        <f>IF(N728=MIN(N705:N728),1,"")</f>
        <v/>
      </c>
      <c r="B728" s="131">
        <f t="shared" si="599"/>
        <v>42338.958333333278</v>
      </c>
      <c r="C728" s="132">
        <f t="shared" si="600"/>
        <v>30</v>
      </c>
      <c r="D728" s="123">
        <v>1812.3130181440783</v>
      </c>
      <c r="E728" s="124">
        <v>36.465427398681641</v>
      </c>
      <c r="F728" s="125">
        <v>12.617772022400404</v>
      </c>
      <c r="G728" s="126">
        <v>2.592951774597168</v>
      </c>
      <c r="H728" s="133">
        <f>HLOOKUP('Operational Worksheet'!E728,$B$773:$U$775,3)</f>
        <v>9.3624999999999989</v>
      </c>
      <c r="I728" s="134">
        <f t="shared" si="592"/>
        <v>0.89940312941592271</v>
      </c>
      <c r="J728" s="133">
        <f t="shared" si="593"/>
        <v>16.709394321281373</v>
      </c>
      <c r="K728" s="133">
        <f>I728*$G728</f>
        <v>2.332108940497263</v>
      </c>
      <c r="L728" s="133">
        <f>J728*$G728</f>
        <v>43.326653657810375</v>
      </c>
      <c r="M728" s="133">
        <f>K728+L728</f>
        <v>45.658762598307639</v>
      </c>
      <c r="N728" s="134">
        <f t="shared" si="603"/>
        <v>4.8767703709807897</v>
      </c>
      <c r="O728" s="135" t="str">
        <f t="shared" si="594"/>
        <v>OK</v>
      </c>
    </row>
    <row r="729" spans="1:15" ht="14.25" customHeight="1" x14ac:dyDescent="0.25">
      <c r="A729" s="110" t="str">
        <f>IF(N729=MIN(N729:N752),1,"")</f>
        <v/>
      </c>
      <c r="B729" s="111" t="str">
        <f>'[1]Turbidity Daily Data Sheet'!B46</f>
        <v/>
      </c>
      <c r="C729" s="112" t="e">
        <f>DAY(B729)</f>
        <v>#VALUE!</v>
      </c>
      <c r="D729" s="123">
        <v>1816.1228795186946</v>
      </c>
      <c r="E729" s="124">
        <v>36.465427398681641</v>
      </c>
      <c r="F729" s="125">
        <v>12.606092073356896</v>
      </c>
      <c r="G729" s="126">
        <v>2.592951774597168</v>
      </c>
      <c r="H729" s="117">
        <f>HLOOKUP('Operational Worksheet'!E729,$B$773:$U$775,3)</f>
        <v>9.3624999999999989</v>
      </c>
      <c r="I729" s="117">
        <f t="shared" si="592"/>
        <v>0.89751636212632235</v>
      </c>
      <c r="J729" s="117">
        <f t="shared" si="593"/>
        <v>16.658906353338036</v>
      </c>
      <c r="K729" s="117">
        <f>I729*$G729</f>
        <v>2.3272166439054418</v>
      </c>
      <c r="L729" s="117">
        <f>J729*$G729</f>
        <v>43.195740791735894</v>
      </c>
      <c r="M729" s="117">
        <f>K729+L729</f>
        <v>45.522957435641338</v>
      </c>
      <c r="N729" s="118">
        <f>IF(D729&gt;0,M729/H729,"PO")</f>
        <v>4.8622651466639617</v>
      </c>
      <c r="O729" s="119" t="str">
        <f t="shared" si="594"/>
        <v>OK</v>
      </c>
    </row>
    <row r="730" spans="1:15" ht="14.25" customHeight="1" x14ac:dyDescent="0.25">
      <c r="A730" s="120" t="str">
        <f>IF(N730=MIN(N729:N752),1,"")</f>
        <v/>
      </c>
      <c r="B730" s="121" t="e">
        <f>B729+1/24</f>
        <v>#VALUE!</v>
      </c>
      <c r="C730" s="122" t="e">
        <f>DAY(B730)</f>
        <v>#VALUE!</v>
      </c>
      <c r="D730" s="123">
        <v>1796.4106210489622</v>
      </c>
      <c r="E730" s="124">
        <v>36.465427398681641</v>
      </c>
      <c r="F730" s="125">
        <v>12.60360372770271</v>
      </c>
      <c r="G730" s="126">
        <v>2.592951774597168</v>
      </c>
      <c r="H730" s="127">
        <f>HLOOKUP('Operational Worksheet'!E730,$B$773:$U$775,3)</f>
        <v>9.3624999999999989</v>
      </c>
      <c r="I730" s="127">
        <f t="shared" si="592"/>
        <v>0.90736493143656016</v>
      </c>
      <c r="J730" s="127">
        <f t="shared" si="593"/>
        <v>16.838382378759082</v>
      </c>
      <c r="K730" s="127">
        <f t="shared" ref="K730:L733" si="604">I730*$G730</f>
        <v>2.3527535091756664</v>
      </c>
      <c r="L730" s="127">
        <f t="shared" si="604"/>
        <v>43.661113470349044</v>
      </c>
      <c r="M730" s="127">
        <f t="shared" ref="M730:M733" si="605">K730+L730</f>
        <v>46.013866979524707</v>
      </c>
      <c r="N730" s="128">
        <f t="shared" ref="N730:N734" si="606">IF(D730&gt;0,M730/H730,"PO")</f>
        <v>4.9146987428063778</v>
      </c>
      <c r="O730" s="129" t="str">
        <f t="shared" si="594"/>
        <v>OK</v>
      </c>
    </row>
    <row r="731" spans="1:15" ht="14.25" customHeight="1" x14ac:dyDescent="0.25">
      <c r="A731" s="120" t="str">
        <f>IF(N731=MIN(N729:N752),1,"")</f>
        <v/>
      </c>
      <c r="B731" s="121" t="e">
        <f t="shared" ref="B731:B746" si="607">B730+1/24</f>
        <v>#VALUE!</v>
      </c>
      <c r="C731" s="122" t="e">
        <f t="shared" ref="C731" si="608">DAY(B731)</f>
        <v>#VALUE!</v>
      </c>
      <c r="D731" s="123">
        <v>1808.5124859760829</v>
      </c>
      <c r="E731" s="124">
        <v>36.465427398681641</v>
      </c>
      <c r="F731" s="125">
        <v>12.614890061287477</v>
      </c>
      <c r="G731" s="126">
        <v>2.6065423488616943</v>
      </c>
      <c r="H731" s="127">
        <f>HLOOKUP('Operational Worksheet'!E731,$B$773:$U$775,3)</f>
        <v>9.3624999999999989</v>
      </c>
      <c r="I731" s="127">
        <f t="shared" si="592"/>
        <v>0.90129319683422759</v>
      </c>
      <c r="J731" s="127">
        <f t="shared" si="593"/>
        <v>16.740684060441886</v>
      </c>
      <c r="K731" s="127">
        <f t="shared" si="604"/>
        <v>2.3492588862893529</v>
      </c>
      <c r="L731" s="127">
        <f t="shared" si="604"/>
        <v>43.63530195245572</v>
      </c>
      <c r="M731" s="127">
        <f t="shared" si="605"/>
        <v>45.984560838745075</v>
      </c>
      <c r="N731" s="128">
        <f t="shared" si="606"/>
        <v>4.9115685809073515</v>
      </c>
      <c r="O731" s="129" t="str">
        <f t="shared" si="594"/>
        <v>OK</v>
      </c>
    </row>
    <row r="732" spans="1:15" ht="14.25" customHeight="1" x14ac:dyDescent="0.25">
      <c r="A732" s="120" t="str">
        <f>IF(N732=MIN(N729:N752),1,"")</f>
        <v/>
      </c>
      <c r="B732" s="121" t="e">
        <f t="shared" si="607"/>
        <v>#VALUE!</v>
      </c>
      <c r="C732" s="122" t="e">
        <f>DAY(B732)</f>
        <v>#VALUE!</v>
      </c>
      <c r="D732" s="123">
        <v>1811.2552417089037</v>
      </c>
      <c r="E732" s="124">
        <v>36.466422902602538</v>
      </c>
      <c r="F732" s="125">
        <v>12.606580947183412</v>
      </c>
      <c r="G732" s="126">
        <v>2.6065423488616943</v>
      </c>
      <c r="H732" s="127">
        <f>HLOOKUP('Operational Worksheet'!E732,$B$773:$U$775,3)</f>
        <v>9.3624999999999989</v>
      </c>
      <c r="I732" s="127">
        <f t="shared" si="592"/>
        <v>0.89992838251891494</v>
      </c>
      <c r="J732" s="127">
        <f t="shared" si="593"/>
        <v>16.704323927694535</v>
      </c>
      <c r="K732" s="127">
        <f t="shared" si="604"/>
        <v>2.3457014399781579</v>
      </c>
      <c r="L732" s="127">
        <f t="shared" si="604"/>
        <v>43.540527726639517</v>
      </c>
      <c r="M732" s="127">
        <f t="shared" si="605"/>
        <v>45.886229166617674</v>
      </c>
      <c r="N732" s="128">
        <f t="shared" si="606"/>
        <v>4.9010658655933437</v>
      </c>
      <c r="O732" s="129" t="str">
        <f t="shared" si="594"/>
        <v>OK</v>
      </c>
    </row>
    <row r="733" spans="1:15" ht="14.25" customHeight="1" x14ac:dyDescent="0.25">
      <c r="A733" s="120" t="str">
        <f>IF(N733=MIN(N729:N752),1,"")</f>
        <v/>
      </c>
      <c r="B733" s="121" t="e">
        <f t="shared" si="607"/>
        <v>#VALUE!</v>
      </c>
      <c r="C733" s="122" t="e">
        <f t="shared" ref="C733:C734" si="609">DAY(B733)</f>
        <v>#VALUE!</v>
      </c>
      <c r="D733" s="123">
        <v>1810.0357917705826</v>
      </c>
      <c r="E733" s="124">
        <v>36.507827758789063</v>
      </c>
      <c r="F733" s="125">
        <v>12.617941508475543</v>
      </c>
      <c r="G733" s="126">
        <v>2.6065423488616943</v>
      </c>
      <c r="H733" s="127">
        <f>HLOOKUP('Operational Worksheet'!E733,$B$773:$U$775,3)</f>
        <v>9.3624999999999989</v>
      </c>
      <c r="I733" s="127">
        <f t="shared" si="592"/>
        <v>0.90053467860186842</v>
      </c>
      <c r="J733" s="127">
        <f t="shared" si="593"/>
        <v>16.730641326555382</v>
      </c>
      <c r="K733" s="127">
        <f t="shared" si="604"/>
        <v>2.347281776394325</v>
      </c>
      <c r="L733" s="127">
        <f t="shared" si="604"/>
        <v>43.609125141282199</v>
      </c>
      <c r="M733" s="127">
        <f t="shared" si="605"/>
        <v>45.956406917676524</v>
      </c>
      <c r="N733" s="128">
        <f t="shared" si="606"/>
        <v>4.9085614865342091</v>
      </c>
      <c r="O733" s="129" t="str">
        <f t="shared" si="594"/>
        <v>OK</v>
      </c>
    </row>
    <row r="734" spans="1:15" ht="14.25" customHeight="1" x14ac:dyDescent="0.25">
      <c r="A734" s="120" t="str">
        <f>IF(N734=MIN(N729:N752),1,"")</f>
        <v/>
      </c>
      <c r="B734" s="121" t="e">
        <f t="shared" si="607"/>
        <v>#VALUE!</v>
      </c>
      <c r="C734" s="122" t="e">
        <f t="shared" si="609"/>
        <v>#VALUE!</v>
      </c>
      <c r="D734" s="123">
        <v>1801.1970663653428</v>
      </c>
      <c r="E734" s="124">
        <v>36.507827758789063</v>
      </c>
      <c r="F734" s="125">
        <v>12.614934640467624</v>
      </c>
      <c r="G734" s="126">
        <v>2.6065423488616943</v>
      </c>
      <c r="H734" s="127">
        <f>HLOOKUP('Operational Worksheet'!E734,$B$773:$U$775,3)</f>
        <v>9.3624999999999989</v>
      </c>
      <c r="I734" s="128">
        <f t="shared" si="592"/>
        <v>0.90495372796114781</v>
      </c>
      <c r="J734" s="127">
        <f t="shared" si="593"/>
        <v>16.808734425831751</v>
      </c>
      <c r="K734" s="127">
        <f>I734*$G734</f>
        <v>2.3588002156909971</v>
      </c>
      <c r="L734" s="127">
        <f>J734*$G734</f>
        <v>43.812678111699917</v>
      </c>
      <c r="M734" s="127">
        <f>K734+L734</f>
        <v>46.171478327390915</v>
      </c>
      <c r="N734" s="128">
        <f t="shared" si="606"/>
        <v>4.9315330656759331</v>
      </c>
      <c r="O734" s="129" t="str">
        <f t="shared" si="594"/>
        <v>OK</v>
      </c>
    </row>
    <row r="735" spans="1:15" ht="14.25" customHeight="1" x14ac:dyDescent="0.25">
      <c r="A735" s="120" t="str">
        <f>IF(N735=MIN(N729:N752),1,"")</f>
        <v/>
      </c>
      <c r="B735" s="121" t="e">
        <f t="shared" si="607"/>
        <v>#VALUE!</v>
      </c>
      <c r="C735" s="122" t="e">
        <f>DAY(B735)</f>
        <v>#VALUE!</v>
      </c>
      <c r="D735" s="123">
        <v>1799.9643224089621</v>
      </c>
      <c r="E735" s="124">
        <v>36.507827758789063</v>
      </c>
      <c r="F735" s="125">
        <v>12.611473411443328</v>
      </c>
      <c r="G735" s="126">
        <v>2.6065423488616943</v>
      </c>
      <c r="H735" s="127">
        <f>HLOOKUP('Operational Worksheet'!E735,$B$773:$U$775,3)</f>
        <v>9.3624999999999989</v>
      </c>
      <c r="I735" s="127">
        <f t="shared" si="592"/>
        <v>0.90557350482286658</v>
      </c>
      <c r="J735" s="127">
        <f t="shared" si="593"/>
        <v>16.815631182597976</v>
      </c>
      <c r="K735" s="127">
        <f>I735*$G735</f>
        <v>2.3604156903279114</v>
      </c>
      <c r="L735" s="127">
        <f>J735*$G735</f>
        <v>43.830654800280875</v>
      </c>
      <c r="M735" s="127">
        <f>K735+L735</f>
        <v>46.191070490608787</v>
      </c>
      <c r="N735" s="128">
        <f>IF(D735&gt;0,M735/H735,"PO")</f>
        <v>4.9336256865803785</v>
      </c>
      <c r="O735" s="129" t="str">
        <f t="shared" si="594"/>
        <v>OK</v>
      </c>
    </row>
    <row r="736" spans="1:15" ht="14.25" customHeight="1" x14ac:dyDescent="0.25">
      <c r="A736" s="120" t="str">
        <f>IF(N736=MIN(N729:N752),1,"")</f>
        <v/>
      </c>
      <c r="B736" s="121" t="e">
        <f t="shared" si="607"/>
        <v>#VALUE!</v>
      </c>
      <c r="C736" s="122" t="e">
        <f t="shared" ref="C736:C740" si="610">DAY(B736)</f>
        <v>#VALUE!</v>
      </c>
      <c r="D736" s="123">
        <v>1812.8808255741567</v>
      </c>
      <c r="E736" s="124">
        <v>36.59225462929107</v>
      </c>
      <c r="F736" s="125">
        <v>12.60631464526236</v>
      </c>
      <c r="G736" s="126">
        <v>2.6065423488616943</v>
      </c>
      <c r="H736" s="127">
        <f>HLOOKUP('Operational Worksheet'!E736,$B$773:$U$775,3)</f>
        <v>9.3624999999999989</v>
      </c>
      <c r="I736" s="127">
        <f t="shared" si="592"/>
        <v>0.8991214298291027</v>
      </c>
      <c r="J736" s="127">
        <f t="shared" si="593"/>
        <v>16.688992857016714</v>
      </c>
      <c r="K736" s="127">
        <f t="shared" ref="K736:L739" si="611">I736*$G736</f>
        <v>2.3435980836186343</v>
      </c>
      <c r="L736" s="127">
        <f t="shared" si="611"/>
        <v>43.500566641664385</v>
      </c>
      <c r="M736" s="127">
        <f t="shared" ref="M736:M739" si="612">K736+L736</f>
        <v>45.844164725283022</v>
      </c>
      <c r="N736" s="128">
        <f t="shared" ref="N736:N740" si="613">IF(D736&gt;0,M736/H736,"PO")</f>
        <v>4.8965730013653435</v>
      </c>
      <c r="O736" s="129" t="str">
        <f t="shared" si="594"/>
        <v>OK</v>
      </c>
    </row>
    <row r="737" spans="1:15" ht="14.25" customHeight="1" x14ac:dyDescent="0.25">
      <c r="A737" s="120" t="str">
        <f>IF(N737=MIN(N729:N752),1,"")</f>
        <v/>
      </c>
      <c r="B737" s="121" t="e">
        <f t="shared" si="607"/>
        <v>#VALUE!</v>
      </c>
      <c r="C737" s="122" t="e">
        <f t="shared" si="610"/>
        <v>#VALUE!</v>
      </c>
      <c r="D737" s="123">
        <v>1815.5344501876323</v>
      </c>
      <c r="E737" s="124">
        <v>36.751625061035156</v>
      </c>
      <c r="F737" s="125">
        <v>12.604845168213963</v>
      </c>
      <c r="G737" s="126">
        <v>2.6065423488616943</v>
      </c>
      <c r="H737" s="127">
        <f>HLOOKUP('Operational Worksheet'!E737,$B$773:$U$775,3)</f>
        <v>9.3624999999999989</v>
      </c>
      <c r="I737" s="127">
        <f t="shared" si="592"/>
        <v>0.89780725440464237</v>
      </c>
      <c r="J737" s="127">
        <f t="shared" si="593"/>
        <v>16.66265732417639</v>
      </c>
      <c r="K737" s="127">
        <f t="shared" si="611"/>
        <v>2.3401726297209451</v>
      </c>
      <c r="L737" s="127">
        <f t="shared" si="611"/>
        <v>43.431921960036242</v>
      </c>
      <c r="M737" s="127">
        <f t="shared" si="612"/>
        <v>45.772094589757188</v>
      </c>
      <c r="N737" s="128">
        <f t="shared" si="613"/>
        <v>4.8888752565828781</v>
      </c>
      <c r="O737" s="129" t="str">
        <f t="shared" si="594"/>
        <v>OK</v>
      </c>
    </row>
    <row r="738" spans="1:15" ht="14.25" customHeight="1" x14ac:dyDescent="0.25">
      <c r="A738" s="120" t="str">
        <f>IF(N738=MIN(N729:N752),1,"")</f>
        <v/>
      </c>
      <c r="B738" s="121" t="e">
        <f t="shared" si="607"/>
        <v>#VALUE!</v>
      </c>
      <c r="C738" s="122" t="e">
        <f t="shared" si="610"/>
        <v>#VALUE!</v>
      </c>
      <c r="D738" s="123">
        <v>1820.0651559794053</v>
      </c>
      <c r="E738" s="124">
        <v>36.751625061035156</v>
      </c>
      <c r="F738" s="125">
        <v>12.607801831479721</v>
      </c>
      <c r="G738" s="126">
        <v>2.6065423488616943</v>
      </c>
      <c r="H738" s="127">
        <f>HLOOKUP('Operational Worksheet'!E738,$B$773:$U$775,3)</f>
        <v>9.3624999999999989</v>
      </c>
      <c r="I738" s="127">
        <f t="shared" si="592"/>
        <v>0.89557233412496806</v>
      </c>
      <c r="J738" s="127">
        <f t="shared" si="593"/>
        <v>16.625077567219641</v>
      </c>
      <c r="K738" s="127">
        <f t="shared" si="611"/>
        <v>2.3343472153656446</v>
      </c>
      <c r="L738" s="127">
        <f t="shared" si="611"/>
        <v>43.333968732068548</v>
      </c>
      <c r="M738" s="127">
        <f t="shared" si="612"/>
        <v>45.668315947434195</v>
      </c>
      <c r="N738" s="128">
        <f t="shared" si="613"/>
        <v>4.8777907554001816</v>
      </c>
      <c r="O738" s="129" t="str">
        <f t="shared" si="594"/>
        <v>OK</v>
      </c>
    </row>
    <row r="739" spans="1:15" ht="14.25" customHeight="1" x14ac:dyDescent="0.25">
      <c r="A739" s="120" t="str">
        <f>IF(N739=MIN(N729:N752),1,"")</f>
        <v/>
      </c>
      <c r="B739" s="121" t="e">
        <f t="shared" si="607"/>
        <v>#VALUE!</v>
      </c>
      <c r="C739" s="122" t="e">
        <f t="shared" si="610"/>
        <v>#VALUE!</v>
      </c>
      <c r="D739" s="123">
        <v>1806.1866636750258</v>
      </c>
      <c r="E739" s="124">
        <v>36.751625061035156</v>
      </c>
      <c r="F739" s="125">
        <v>12.619383206081563</v>
      </c>
      <c r="G739" s="126">
        <v>2.5033817291259766</v>
      </c>
      <c r="H739" s="127">
        <f>HLOOKUP('Operational Worksheet'!E739,$B$773:$U$775,3)</f>
        <v>9.3624999999999989</v>
      </c>
      <c r="I739" s="127">
        <f t="shared" si="592"/>
        <v>0.9024537899551639</v>
      </c>
      <c r="J739" s="127">
        <f t="shared" si="593"/>
        <v>16.768211339226777</v>
      </c>
      <c r="K739" s="127">
        <f t="shared" si="611"/>
        <v>2.2591863291542489</v>
      </c>
      <c r="L739" s="127">
        <f t="shared" si="611"/>
        <v>41.977233896743336</v>
      </c>
      <c r="M739" s="127">
        <f t="shared" si="612"/>
        <v>44.236420225897582</v>
      </c>
      <c r="N739" s="128">
        <f t="shared" si="613"/>
        <v>4.7248512924857238</v>
      </c>
      <c r="O739" s="129" t="str">
        <f t="shared" si="594"/>
        <v>OK</v>
      </c>
    </row>
    <row r="740" spans="1:15" ht="14.25" customHeight="1" x14ac:dyDescent="0.25">
      <c r="A740" s="120" t="str">
        <f>IF(N740=MIN(N729:N752),1,"")</f>
        <v/>
      </c>
      <c r="B740" s="121" t="e">
        <f t="shared" si="607"/>
        <v>#VALUE!</v>
      </c>
      <c r="C740" s="122" t="e">
        <f t="shared" si="610"/>
        <v>#VALUE!</v>
      </c>
      <c r="D740" s="123">
        <v>1781.6960437037606</v>
      </c>
      <c r="E740" s="124">
        <v>35.657735526255927</v>
      </c>
      <c r="F740" s="125">
        <v>12.621160466523657</v>
      </c>
      <c r="G740" s="126">
        <v>2.5033817291259766</v>
      </c>
      <c r="H740" s="127">
        <f>HLOOKUP('Operational Worksheet'!E740,$B$773:$U$775,3)</f>
        <v>9.3624999999999989</v>
      </c>
      <c r="I740" s="128">
        <f t="shared" si="592"/>
        <v>0.91485862909117921</v>
      </c>
      <c r="J740" s="127">
        <f t="shared" si="593"/>
        <v>17.001095796726801</v>
      </c>
      <c r="K740" s="127">
        <f>I740*$G740</f>
        <v>2.2902403768000967</v>
      </c>
      <c r="L740" s="127">
        <f>J740*$G740</f>
        <v>42.560232592646315</v>
      </c>
      <c r="M740" s="127">
        <f>K740+L740</f>
        <v>44.850472969446415</v>
      </c>
      <c r="N740" s="128">
        <f t="shared" si="613"/>
        <v>4.7904377003414069</v>
      </c>
      <c r="O740" s="129" t="str">
        <f t="shared" si="594"/>
        <v>OK</v>
      </c>
    </row>
    <row r="741" spans="1:15" ht="14.25" customHeight="1" x14ac:dyDescent="0.25">
      <c r="A741" s="120" t="str">
        <f>IF(N741=MIN(N729:N752),1,"")</f>
        <v/>
      </c>
      <c r="B741" s="121" t="e">
        <f t="shared" si="607"/>
        <v>#VALUE!</v>
      </c>
      <c r="C741" s="122" t="e">
        <f>DAY(B741)</f>
        <v>#VALUE!</v>
      </c>
      <c r="D741" s="123">
        <v>1801.8418112624411</v>
      </c>
      <c r="E741" s="124">
        <v>34.984996795654297</v>
      </c>
      <c r="F741" s="125">
        <v>12.620225778642379</v>
      </c>
      <c r="G741" s="126">
        <v>2.5033817291259766</v>
      </c>
      <c r="H741" s="127">
        <f>HLOOKUP('Operational Worksheet'!E741,$B$773:$U$775,3)</f>
        <v>10.149999999999999</v>
      </c>
      <c r="I741" s="127">
        <f t="shared" si="592"/>
        <v>0.90462991246604385</v>
      </c>
      <c r="J741" s="127">
        <f t="shared" si="593"/>
        <v>16.80976747205148</v>
      </c>
      <c r="K741" s="127">
        <f>I741*$G741</f>
        <v>2.2646339944883258</v>
      </c>
      <c r="L741" s="127">
        <f>J741*$G741</f>
        <v>42.081264760389828</v>
      </c>
      <c r="M741" s="127">
        <f>K741+L741</f>
        <v>44.345898754878156</v>
      </c>
      <c r="N741" s="128">
        <f>IF(D741&gt;0,M741/H741,"PO")</f>
        <v>4.3690540645200162</v>
      </c>
      <c r="O741" s="129" t="str">
        <f t="shared" si="594"/>
        <v>OK</v>
      </c>
    </row>
    <row r="742" spans="1:15" ht="14.25" customHeight="1" x14ac:dyDescent="0.25">
      <c r="A742" s="120" t="str">
        <f>IF(N742=MIN(N729:N752),1,"")</f>
        <v/>
      </c>
      <c r="B742" s="121" t="e">
        <f t="shared" si="607"/>
        <v>#VALUE!</v>
      </c>
      <c r="C742" s="122" t="e">
        <f t="shared" ref="C742:C746" si="614">DAY(B742)</f>
        <v>#VALUE!</v>
      </c>
      <c r="D742" s="123">
        <v>1817.4515994655735</v>
      </c>
      <c r="E742" s="124">
        <v>35.214063516268894</v>
      </c>
      <c r="F742" s="125">
        <v>12.619932263748664</v>
      </c>
      <c r="G742" s="126">
        <v>2.5033817291259766</v>
      </c>
      <c r="H742" s="127">
        <f>HLOOKUP('Operational Worksheet'!E742,$B$773:$U$775,3)</f>
        <v>10.149999999999999</v>
      </c>
      <c r="I742" s="127">
        <f t="shared" si="592"/>
        <v>0.89686019725604016</v>
      </c>
      <c r="J742" s="127">
        <f t="shared" si="593"/>
        <v>16.665003591789191</v>
      </c>
      <c r="K742" s="127">
        <f t="shared" ref="K742:L745" si="615">I742*$G742</f>
        <v>2.2451834313910903</v>
      </c>
      <c r="L742" s="127">
        <f t="shared" si="615"/>
        <v>41.718865507503835</v>
      </c>
      <c r="M742" s="127">
        <f t="shared" ref="M742:M745" si="616">K742+L742</f>
        <v>43.964048938894926</v>
      </c>
      <c r="N742" s="128">
        <f t="shared" ref="N742:N746" si="617">IF(D742&gt;0,M742/H742,"PO")</f>
        <v>4.3314333929945743</v>
      </c>
      <c r="O742" s="129" t="str">
        <f t="shared" si="594"/>
        <v>OK</v>
      </c>
    </row>
    <row r="743" spans="1:15" ht="14.25" customHeight="1" x14ac:dyDescent="0.25">
      <c r="A743" s="120" t="str">
        <f>IF(N743=MIN(N729:N752),1,"")</f>
        <v/>
      </c>
      <c r="B743" s="121" t="e">
        <f t="shared" si="607"/>
        <v>#VALUE!</v>
      </c>
      <c r="C743" s="122" t="e">
        <f t="shared" si="614"/>
        <v>#VALUE!</v>
      </c>
      <c r="D743" s="123">
        <v>1798.2563994347147</v>
      </c>
      <c r="E743" s="124">
        <v>35.363056182861328</v>
      </c>
      <c r="F743" s="125">
        <v>12.625596793907727</v>
      </c>
      <c r="G743" s="126">
        <v>2.5369837284088135</v>
      </c>
      <c r="H743" s="127">
        <f>HLOOKUP('Operational Worksheet'!E743,$B$773:$U$775,3)</f>
        <v>10.149999999999999</v>
      </c>
      <c r="I743" s="127">
        <f t="shared" si="592"/>
        <v>0.90643358784230854</v>
      </c>
      <c r="J743" s="127">
        <f t="shared" si="593"/>
        <v>16.850451534555283</v>
      </c>
      <c r="K743" s="127">
        <f t="shared" si="615"/>
        <v>2.2996072632391575</v>
      </c>
      <c r="L743" s="127">
        <f t="shared" si="615"/>
        <v>42.749321359508073</v>
      </c>
      <c r="M743" s="127">
        <f t="shared" si="616"/>
        <v>45.048928622747233</v>
      </c>
      <c r="N743" s="128">
        <f t="shared" si="617"/>
        <v>4.438318090911058</v>
      </c>
      <c r="O743" s="129" t="str">
        <f t="shared" si="594"/>
        <v>OK</v>
      </c>
    </row>
    <row r="744" spans="1:15" ht="14.25" customHeight="1" x14ac:dyDescent="0.25">
      <c r="A744" s="120" t="str">
        <f>IF(N744=MIN(N729:N752),1,"")</f>
        <v/>
      </c>
      <c r="B744" s="121" t="e">
        <f t="shared" si="607"/>
        <v>#VALUE!</v>
      </c>
      <c r="C744" s="122" t="e">
        <f t="shared" si="614"/>
        <v>#VALUE!</v>
      </c>
      <c r="D744" s="123">
        <v>1793.1169480065732</v>
      </c>
      <c r="E744" s="124">
        <v>35.995734912660474</v>
      </c>
      <c r="F744" s="125">
        <v>12.62553732559955</v>
      </c>
      <c r="G744" s="126">
        <v>2.5369837284088135</v>
      </c>
      <c r="H744" s="127">
        <f>HLOOKUP('Operational Worksheet'!E744,$B$773:$U$775,3)</f>
        <v>9.3624999999999989</v>
      </c>
      <c r="I744" s="127">
        <f t="shared" si="592"/>
        <v>0.90903161771578145</v>
      </c>
      <c r="J744" s="127">
        <f t="shared" si="593"/>
        <v>16.898668887785139</v>
      </c>
      <c r="K744" s="127">
        <f t="shared" si="615"/>
        <v>2.3061984227540786</v>
      </c>
      <c r="L744" s="127">
        <f t="shared" si="615"/>
        <v>42.871648000079155</v>
      </c>
      <c r="M744" s="127">
        <f t="shared" si="616"/>
        <v>45.177846422833234</v>
      </c>
      <c r="N744" s="128">
        <f t="shared" si="617"/>
        <v>4.8254041573119615</v>
      </c>
      <c r="O744" s="129" t="str">
        <f t="shared" si="594"/>
        <v>OK</v>
      </c>
    </row>
    <row r="745" spans="1:15" ht="14.25" customHeight="1" x14ac:dyDescent="0.25">
      <c r="A745" s="120" t="str">
        <f>IF(N745=MIN(N729:N752),1,"")</f>
        <v/>
      </c>
      <c r="B745" s="121" t="e">
        <f t="shared" si="607"/>
        <v>#VALUE!</v>
      </c>
      <c r="C745" s="122" t="e">
        <f t="shared" si="614"/>
        <v>#VALUE!</v>
      </c>
      <c r="D745" s="123">
        <v>1672.3014405469207</v>
      </c>
      <c r="E745" s="124">
        <v>36.168636322021484</v>
      </c>
      <c r="F745" s="125">
        <v>12.628209190982457</v>
      </c>
      <c r="G745" s="126">
        <v>1.5828537940979004</v>
      </c>
      <c r="H745" s="127">
        <f>HLOOKUP('Operational Worksheet'!E745,$B$773:$U$775,3)</f>
        <v>9.3624999999999989</v>
      </c>
      <c r="I745" s="127">
        <f t="shared" si="592"/>
        <v>0.97470465579872601</v>
      </c>
      <c r="J745" s="127">
        <f t="shared" si="593"/>
        <v>18.12334865205035</v>
      </c>
      <c r="K745" s="127">
        <f t="shared" si="615"/>
        <v>1.5428149625559016</v>
      </c>
      <c r="L745" s="127">
        <f t="shared" si="615"/>
        <v>28.686611175656964</v>
      </c>
      <c r="M745" s="127">
        <f t="shared" si="616"/>
        <v>30.229426138212865</v>
      </c>
      <c r="N745" s="128">
        <f t="shared" si="617"/>
        <v>3.2287771576195321</v>
      </c>
      <c r="O745" s="129" t="str">
        <f t="shared" si="594"/>
        <v>OK</v>
      </c>
    </row>
    <row r="746" spans="1:15" ht="14.25" customHeight="1" x14ac:dyDescent="0.25">
      <c r="A746" s="120" t="str">
        <f>IF(N746=MIN(N729:N752),1,"")</f>
        <v/>
      </c>
      <c r="B746" s="121" t="e">
        <f t="shared" si="607"/>
        <v>#VALUE!</v>
      </c>
      <c r="C746" s="122" t="e">
        <f t="shared" si="614"/>
        <v>#VALUE!</v>
      </c>
      <c r="D746" s="123">
        <v>356.40864592390443</v>
      </c>
      <c r="E746" s="124">
        <v>35.954760242109174</v>
      </c>
      <c r="F746" s="125">
        <v>12.86602408705607</v>
      </c>
      <c r="G746" s="126">
        <v>1.0670502185821533</v>
      </c>
      <c r="H746" s="127">
        <f>HLOOKUP('Operational Worksheet'!E746,$B$773:$U$775,3)</f>
        <v>9.3624999999999989</v>
      </c>
      <c r="I746" s="128">
        <f t="shared" si="592"/>
        <v>4.5734019604788587</v>
      </c>
      <c r="J746" s="127">
        <f t="shared" si="593"/>
        <v>86.637791091990849</v>
      </c>
      <c r="K746" s="127">
        <f>I746*$G746</f>
        <v>4.8800495615930144</v>
      </c>
      <c r="L746" s="127">
        <f>J746*$G746</f>
        <v>92.446873922183769</v>
      </c>
      <c r="M746" s="127">
        <f>K746+L746</f>
        <v>97.326923483776781</v>
      </c>
      <c r="N746" s="128">
        <f t="shared" si="617"/>
        <v>10.395399036985506</v>
      </c>
      <c r="O746" s="129" t="str">
        <f t="shared" si="594"/>
        <v>OK</v>
      </c>
    </row>
    <row r="747" spans="1:15" ht="14.25" customHeight="1" x14ac:dyDescent="0.25">
      <c r="A747" s="120">
        <f>IF(N747=MIN(N729:N752),1,"")</f>
        <v>1</v>
      </c>
      <c r="B747" s="121" t="e">
        <f>B746+1/24</f>
        <v>#VALUE!</v>
      </c>
      <c r="C747" s="122" t="e">
        <f>DAY(B747)</f>
        <v>#VALUE!</v>
      </c>
      <c r="D747" s="123">
        <v>1259.3925558858371</v>
      </c>
      <c r="E747" s="124">
        <v>35.744647979736328</v>
      </c>
      <c r="F747" s="125">
        <v>12.688158289451231</v>
      </c>
      <c r="G747" s="126">
        <v>1.1082503795623779</v>
      </c>
      <c r="H747" s="127">
        <f>HLOOKUP('Operational Worksheet'!E747,$B$773:$U$775,3)</f>
        <v>9.3624999999999989</v>
      </c>
      <c r="I747" s="127">
        <f t="shared" si="592"/>
        <v>1.2942747615762136</v>
      </c>
      <c r="J747" s="127">
        <f t="shared" si="593"/>
        <v>24.179577489453862</v>
      </c>
      <c r="K747" s="127">
        <f>I747*$G747</f>
        <v>1.4343804957748449</v>
      </c>
      <c r="L747" s="127">
        <f>J747*$G747</f>
        <v>26.797025930345171</v>
      </c>
      <c r="M747" s="127">
        <f>K747+L747</f>
        <v>28.231406426120017</v>
      </c>
      <c r="N747" s="128">
        <f>IF(D747&gt;0,M747/H747,"PO")</f>
        <v>3.0153705128032064</v>
      </c>
      <c r="O747" s="129" t="str">
        <f t="shared" si="594"/>
        <v>OK</v>
      </c>
    </row>
    <row r="748" spans="1:15" ht="14.25" customHeight="1" x14ac:dyDescent="0.25">
      <c r="A748" s="120" t="str">
        <f>IF(N748=MIN(N729:N752),1,"")</f>
        <v/>
      </c>
      <c r="B748" s="121" t="e">
        <f t="shared" ref="B748:B752" si="618">B747+1/24</f>
        <v>#VALUE!</v>
      </c>
      <c r="C748" s="122" t="e">
        <f t="shared" ref="C748:C752" si="619">DAY(B748)</f>
        <v>#VALUE!</v>
      </c>
      <c r="D748" s="123">
        <v>1797.9811411850371</v>
      </c>
      <c r="E748" s="124">
        <v>35.744647979736328</v>
      </c>
      <c r="F748" s="125">
        <v>12.607541489389646</v>
      </c>
      <c r="G748" s="126">
        <v>2.3042299747467041</v>
      </c>
      <c r="H748" s="127">
        <f>HLOOKUP('Operational Worksheet'!E748,$B$773:$U$775,3)</f>
        <v>9.3624999999999989</v>
      </c>
      <c r="I748" s="127">
        <f t="shared" si="592"/>
        <v>0.90657235644066769</v>
      </c>
      <c r="J748" s="127">
        <f t="shared" si="593"/>
        <v>16.828930449510857</v>
      </c>
      <c r="K748" s="127">
        <f t="shared" ref="K748:L751" si="620">I748*$G748</f>
        <v>2.0889511979873396</v>
      </c>
      <c r="L748" s="127">
        <f t="shared" si="620"/>
        <v>38.777725984690441</v>
      </c>
      <c r="M748" s="127">
        <f t="shared" ref="M748:M751" si="621">K748+L748</f>
        <v>40.866677182677783</v>
      </c>
      <c r="N748" s="128">
        <f t="shared" ref="N748:N752" si="622">IF(D748&gt;0,M748/H748,"PO")</f>
        <v>4.364932142342087</v>
      </c>
      <c r="O748" s="129" t="str">
        <f t="shared" si="594"/>
        <v>OK</v>
      </c>
    </row>
    <row r="749" spans="1:15" ht="14.25" customHeight="1" x14ac:dyDescent="0.25">
      <c r="A749" s="120" t="str">
        <f>IF(N749=MIN(N729:N752),1,"")</f>
        <v/>
      </c>
      <c r="B749" s="121" t="e">
        <f t="shared" si="618"/>
        <v>#VALUE!</v>
      </c>
      <c r="C749" s="122" t="e">
        <f t="shared" si="619"/>
        <v>#VALUE!</v>
      </c>
      <c r="D749" s="123">
        <v>1795.9318481194248</v>
      </c>
      <c r="E749" s="124">
        <v>35.744647979736328</v>
      </c>
      <c r="F749" s="125">
        <v>12.619738090241743</v>
      </c>
      <c r="G749" s="126">
        <v>2.3042299747467041</v>
      </c>
      <c r="H749" s="127">
        <f>HLOOKUP('Operational Worksheet'!E749,$B$773:$U$775,3)</f>
        <v>9.3624999999999989</v>
      </c>
      <c r="I749" s="127">
        <f t="shared" si="592"/>
        <v>0.90760682355893563</v>
      </c>
      <c r="J749" s="127">
        <f t="shared" si="593"/>
        <v>16.864432494081004</v>
      </c>
      <c r="K749" s="127">
        <f t="shared" si="620"/>
        <v>2.0913348481291427</v>
      </c>
      <c r="L749" s="127">
        <f t="shared" si="620"/>
        <v>38.859530859953772</v>
      </c>
      <c r="M749" s="127">
        <f t="shared" si="621"/>
        <v>40.950865708082915</v>
      </c>
      <c r="N749" s="128">
        <f t="shared" si="622"/>
        <v>4.3739242411837562</v>
      </c>
      <c r="O749" s="129" t="str">
        <f t="shared" si="594"/>
        <v>OK</v>
      </c>
    </row>
    <row r="750" spans="1:15" ht="14.25" customHeight="1" x14ac:dyDescent="0.25">
      <c r="A750" s="120" t="str">
        <f>IF(N750=MIN(N729:N752),1,"")</f>
        <v/>
      </c>
      <c r="B750" s="121" t="e">
        <f t="shared" si="618"/>
        <v>#VALUE!</v>
      </c>
      <c r="C750" s="122" t="e">
        <f t="shared" si="619"/>
        <v>#VALUE!</v>
      </c>
      <c r="D750" s="123">
        <v>1797.0084967041018</v>
      </c>
      <c r="E750" s="124">
        <v>35.744647979736328</v>
      </c>
      <c r="F750" s="125">
        <v>12.621389368978207</v>
      </c>
      <c r="G750" s="126">
        <v>2.5515377521514893</v>
      </c>
      <c r="H750" s="127">
        <f>HLOOKUP('Operational Worksheet'!E750,$B$773:$U$775,3)</f>
        <v>9.3624999999999989</v>
      </c>
      <c r="I750" s="127">
        <f t="shared" si="592"/>
        <v>0.90706304560584294</v>
      </c>
      <c r="J750" s="127">
        <f t="shared" si="593"/>
        <v>16.856533812224658</v>
      </c>
      <c r="K750" s="127">
        <f t="shared" si="620"/>
        <v>2.3144056044448162</v>
      </c>
      <c r="L750" s="127">
        <f t="shared" si="620"/>
        <v>43.010082392309279</v>
      </c>
      <c r="M750" s="127">
        <f t="shared" si="621"/>
        <v>45.324487996754094</v>
      </c>
      <c r="N750" s="128">
        <f t="shared" si="622"/>
        <v>4.8410668087320801</v>
      </c>
      <c r="O750" s="129" t="str">
        <f t="shared" si="594"/>
        <v>OK</v>
      </c>
    </row>
    <row r="751" spans="1:15" ht="14.25" customHeight="1" x14ac:dyDescent="0.25">
      <c r="A751" s="120" t="str">
        <f>IF(N751=MIN(N729:N752),1,"")</f>
        <v/>
      </c>
      <c r="B751" s="121" t="e">
        <f t="shared" si="618"/>
        <v>#VALUE!</v>
      </c>
      <c r="C751" s="122" t="e">
        <f t="shared" si="619"/>
        <v>#VALUE!</v>
      </c>
      <c r="D751" s="123">
        <v>1795.3461964904845</v>
      </c>
      <c r="E751" s="124">
        <v>35.744647979736328</v>
      </c>
      <c r="F751" s="125">
        <v>12.629004504444241</v>
      </c>
      <c r="G751" s="126">
        <v>2.5515377521514893</v>
      </c>
      <c r="H751" s="127">
        <f>HLOOKUP('Operational Worksheet'!E751,$B$773:$U$775,3)</f>
        <v>9.3624999999999989</v>
      </c>
      <c r="I751" s="127">
        <f t="shared" si="592"/>
        <v>0.90790288980827161</v>
      </c>
      <c r="J751" s="127">
        <f t="shared" si="593"/>
        <v>16.882321008569235</v>
      </c>
      <c r="K751" s="127">
        <f t="shared" si="620"/>
        <v>2.3165484986332388</v>
      </c>
      <c r="L751" s="127">
        <f t="shared" si="620"/>
        <v>43.075879397304611</v>
      </c>
      <c r="M751" s="127">
        <f t="shared" si="621"/>
        <v>45.39242789593785</v>
      </c>
      <c r="N751" s="128">
        <f t="shared" si="622"/>
        <v>4.848323406775739</v>
      </c>
      <c r="O751" s="129" t="str">
        <f t="shared" si="594"/>
        <v>OK</v>
      </c>
    </row>
    <row r="752" spans="1:15" ht="14.25" customHeight="1" thickBot="1" x14ac:dyDescent="0.3">
      <c r="A752" s="130" t="str">
        <f>IF(N752=MIN(N729:N752),1,"")</f>
        <v/>
      </c>
      <c r="B752" s="136" t="e">
        <f t="shared" si="618"/>
        <v>#VALUE!</v>
      </c>
      <c r="C752" s="137" t="e">
        <f t="shared" si="619"/>
        <v>#VALUE!</v>
      </c>
      <c r="D752" s="123">
        <v>1802.5911219266595</v>
      </c>
      <c r="E752" s="124">
        <v>36.17067846305099</v>
      </c>
      <c r="F752" s="125">
        <v>12.627908953042285</v>
      </c>
      <c r="G752" s="126">
        <v>2.5515377521514893</v>
      </c>
      <c r="H752" s="138">
        <f>HLOOKUP('Operational Worksheet'!E752,$B$773:$U$775,3)</f>
        <v>9.3624999999999989</v>
      </c>
      <c r="I752" s="139">
        <f t="shared" si="592"/>
        <v>0.90425387109296906</v>
      </c>
      <c r="J752" s="138">
        <f t="shared" si="593"/>
        <v>16.813009405543138</v>
      </c>
      <c r="K752" s="138">
        <f>I752*$G752</f>
        <v>2.3072378896228369</v>
      </c>
      <c r="L752" s="138">
        <f>J752*$G752</f>
        <v>42.899028225521384</v>
      </c>
      <c r="M752" s="138">
        <f>K752+L752</f>
        <v>45.206266115144224</v>
      </c>
      <c r="N752" s="139">
        <f t="shared" si="622"/>
        <v>4.8284396384666737</v>
      </c>
      <c r="O752" s="140" t="str">
        <f t="shared" si="594"/>
        <v>OK</v>
      </c>
    </row>
    <row r="753" spans="1:15" ht="14.25" customHeight="1" x14ac:dyDescent="0.25">
      <c r="A753" s="141"/>
      <c r="B753" s="142"/>
      <c r="C753" s="143"/>
      <c r="D753" s="144"/>
      <c r="E753" s="144"/>
      <c r="F753" s="144"/>
      <c r="G753" s="145"/>
      <c r="H753" s="144"/>
      <c r="I753" s="144"/>
      <c r="J753" s="144"/>
      <c r="K753" s="144"/>
      <c r="L753" s="144"/>
      <c r="M753" s="144"/>
      <c r="N753" s="146"/>
      <c r="O753" s="142"/>
    </row>
    <row r="754" spans="1:15" ht="15" customHeight="1" x14ac:dyDescent="0.25">
      <c r="A754" s="141"/>
      <c r="B754" s="147" t="s">
        <v>103</v>
      </c>
      <c r="C754" s="148"/>
      <c r="D754" s="144"/>
      <c r="E754" s="144"/>
      <c r="F754" s="144"/>
      <c r="G754" s="145"/>
      <c r="H754" s="144"/>
      <c r="I754" s="144"/>
      <c r="J754" s="144"/>
      <c r="K754" s="144"/>
      <c r="L754" s="146"/>
      <c r="M754" s="146"/>
      <c r="N754" s="149"/>
      <c r="O754" s="149"/>
    </row>
    <row r="755" spans="1:15" ht="14.25" customHeight="1" x14ac:dyDescent="0.25">
      <c r="A755" s="141"/>
      <c r="B755" s="150" t="s">
        <v>104</v>
      </c>
      <c r="C755" s="151"/>
      <c r="D755" s="144"/>
      <c r="E755" s="144"/>
      <c r="F755" s="144"/>
      <c r="G755" s="145"/>
      <c r="H755" s="144"/>
      <c r="I755" s="144"/>
      <c r="J755" s="144"/>
      <c r="K755" s="144"/>
      <c r="L755" s="146"/>
      <c r="M755" s="146"/>
      <c r="N755" s="149"/>
      <c r="O755" s="149"/>
    </row>
    <row r="756" spans="1:15" ht="14.25" customHeight="1" x14ac:dyDescent="0.25">
      <c r="A756" s="141"/>
      <c r="B756" s="150" t="s">
        <v>105</v>
      </c>
      <c r="C756" s="151"/>
      <c r="D756" s="144"/>
      <c r="E756" s="144"/>
      <c r="F756" s="144"/>
      <c r="G756" s="145"/>
      <c r="H756" s="144"/>
      <c r="I756" s="144"/>
      <c r="J756" s="144"/>
      <c r="K756" s="144"/>
      <c r="L756" s="146"/>
      <c r="M756" s="146"/>
      <c r="N756" s="149"/>
      <c r="O756" s="149"/>
    </row>
    <row r="757" spans="1:15" ht="14.25" customHeight="1" x14ac:dyDescent="0.25">
      <c r="A757" s="141"/>
      <c r="B757" s="150" t="s">
        <v>106</v>
      </c>
      <c r="C757" s="151"/>
      <c r="D757" s="144"/>
      <c r="E757" s="144"/>
      <c r="F757" s="144"/>
      <c r="G757" s="145"/>
      <c r="H757" s="144"/>
      <c r="I757" s="144"/>
      <c r="J757" s="144"/>
      <c r="K757" s="144"/>
      <c r="L757" s="146"/>
      <c r="M757" s="146"/>
      <c r="N757" s="149"/>
      <c r="O757" s="149"/>
    </row>
    <row r="758" spans="1:15" ht="14.25" customHeight="1" x14ac:dyDescent="0.25">
      <c r="A758" s="141"/>
      <c r="B758" s="150" t="s">
        <v>107</v>
      </c>
      <c r="C758" s="151"/>
      <c r="D758" s="144"/>
      <c r="E758" s="144"/>
      <c r="F758" s="144"/>
      <c r="G758" s="145"/>
      <c r="H758" s="144"/>
      <c r="I758" s="144"/>
      <c r="J758" s="144"/>
      <c r="K758" s="144"/>
      <c r="L758" s="146"/>
      <c r="M758" s="146"/>
      <c r="N758" s="149"/>
      <c r="O758" s="149"/>
    </row>
    <row r="759" spans="1:15" ht="14.25" customHeight="1" x14ac:dyDescent="0.25">
      <c r="A759" s="146"/>
      <c r="B759" s="150" t="s">
        <v>108</v>
      </c>
      <c r="C759" s="151"/>
      <c r="D759" s="144"/>
      <c r="E759" s="144"/>
      <c r="F759" s="144"/>
      <c r="G759" s="145"/>
      <c r="H759" s="144"/>
      <c r="I759" s="144"/>
      <c r="J759" s="144"/>
      <c r="K759" s="144"/>
      <c r="L759" s="146"/>
      <c r="M759" s="146"/>
      <c r="N759" s="149"/>
      <c r="O759" s="149"/>
    </row>
    <row r="760" spans="1:15" ht="14.25" customHeight="1" x14ac:dyDescent="0.25">
      <c r="A760" s="149"/>
      <c r="B760" s="150" t="s">
        <v>109</v>
      </c>
      <c r="C760" s="151"/>
      <c r="D760" s="144"/>
      <c r="E760" s="144"/>
      <c r="F760" s="144"/>
      <c r="G760" s="145"/>
      <c r="H760" s="144"/>
      <c r="I760" s="144"/>
      <c r="J760" s="144"/>
      <c r="K760" s="144"/>
      <c r="L760" s="146"/>
      <c r="M760" s="146"/>
      <c r="N760" s="149"/>
      <c r="O760" s="149"/>
    </row>
    <row r="761" spans="1:15" ht="14.25" customHeight="1" x14ac:dyDescent="0.25">
      <c r="A761" s="149"/>
      <c r="B761" s="150" t="s">
        <v>110</v>
      </c>
      <c r="C761" s="151"/>
      <c r="D761" s="144"/>
      <c r="E761" s="144"/>
      <c r="F761" s="144"/>
      <c r="G761" s="145"/>
      <c r="H761" s="144"/>
      <c r="I761" s="144"/>
      <c r="J761" s="144"/>
      <c r="K761" s="144"/>
      <c r="L761" s="146"/>
      <c r="M761" s="146"/>
      <c r="N761" s="149"/>
      <c r="O761" s="149"/>
    </row>
    <row r="762" spans="1:15" ht="14.25" customHeight="1" x14ac:dyDescent="0.25">
      <c r="A762" s="149"/>
      <c r="B762" s="150" t="s">
        <v>111</v>
      </c>
      <c r="C762" s="151"/>
      <c r="D762" s="144"/>
      <c r="E762" s="144"/>
      <c r="F762" s="144"/>
      <c r="G762" s="145"/>
      <c r="H762" s="144"/>
      <c r="I762" s="144"/>
      <c r="J762" s="144"/>
      <c r="K762" s="144"/>
      <c r="L762" s="146"/>
      <c r="M762" s="146"/>
      <c r="N762" s="149"/>
      <c r="O762" s="149"/>
    </row>
    <row r="763" spans="1:15" ht="14.25" customHeight="1" x14ac:dyDescent="0.25">
      <c r="A763" s="149"/>
      <c r="B763" s="149" t="s">
        <v>112</v>
      </c>
      <c r="C763" s="152"/>
      <c r="D763" s="144"/>
      <c r="E763" s="144"/>
      <c r="F763" s="144"/>
      <c r="G763" s="145"/>
      <c r="H763" s="144"/>
      <c r="I763" s="144"/>
      <c r="J763" s="144"/>
      <c r="K763" s="144"/>
      <c r="L763" s="146"/>
      <c r="M763" s="146"/>
      <c r="N763" s="149"/>
      <c r="O763" s="149"/>
    </row>
    <row r="764" spans="1:15" ht="14.25" customHeight="1" x14ac:dyDescent="0.25">
      <c r="A764" s="149"/>
      <c r="B764" s="149" t="s">
        <v>113</v>
      </c>
      <c r="C764" s="152"/>
      <c r="D764" s="144"/>
      <c r="E764" s="144"/>
      <c r="F764" s="144"/>
      <c r="G764" s="145"/>
      <c r="H764" s="144"/>
      <c r="I764" s="144"/>
      <c r="J764" s="144"/>
      <c r="K764" s="144"/>
      <c r="L764" s="146"/>
      <c r="M764" s="146"/>
      <c r="N764" s="149"/>
      <c r="O764" s="149"/>
    </row>
    <row r="765" spans="1:15" ht="15" customHeight="1" x14ac:dyDescent="0.25">
      <c r="A765" s="149"/>
      <c r="B765" s="147"/>
      <c r="C765" s="148"/>
      <c r="D765" s="144"/>
      <c r="E765" s="144"/>
      <c r="F765" s="144"/>
      <c r="G765" s="145"/>
      <c r="H765" s="144"/>
      <c r="I765" s="144"/>
      <c r="J765" s="144">
        <f>G769*16.5</f>
        <v>132000</v>
      </c>
      <c r="K765" s="144"/>
      <c r="L765" s="146"/>
      <c r="M765" s="146"/>
      <c r="N765" s="149"/>
      <c r="O765" s="149"/>
    </row>
    <row r="766" spans="1:15" ht="15" customHeight="1" x14ac:dyDescent="0.25">
      <c r="A766" s="153"/>
      <c r="B766" s="154"/>
      <c r="C766" s="155"/>
      <c r="D766" s="156"/>
      <c r="E766" s="156"/>
      <c r="F766" s="157"/>
      <c r="G766" s="158" t="s">
        <v>114</v>
      </c>
      <c r="H766" s="159" t="s">
        <v>115</v>
      </c>
      <c r="I766" s="160"/>
      <c r="J766" s="160"/>
      <c r="K766" s="153"/>
      <c r="L766" s="153"/>
      <c r="M766" s="153"/>
      <c r="N766" s="153"/>
      <c r="O766" s="153"/>
    </row>
    <row r="767" spans="1:15" ht="15" customHeight="1" x14ac:dyDescent="0.25">
      <c r="A767" s="153"/>
      <c r="B767" s="161"/>
      <c r="C767" s="162"/>
      <c r="D767" s="163"/>
      <c r="E767" s="163"/>
      <c r="F767" s="164"/>
      <c r="G767" s="165" t="s">
        <v>116</v>
      </c>
      <c r="H767" s="166" t="s">
        <v>117</v>
      </c>
      <c r="I767" s="160"/>
      <c r="J767" s="160"/>
      <c r="K767" s="153"/>
      <c r="L767" s="153"/>
      <c r="M767" s="153"/>
      <c r="N767" s="153"/>
      <c r="O767" s="153"/>
    </row>
    <row r="768" spans="1:15" ht="14.25" customHeight="1" x14ac:dyDescent="0.25">
      <c r="A768" s="149"/>
      <c r="B768" s="167" t="s">
        <v>118</v>
      </c>
      <c r="C768" s="168"/>
      <c r="D768" s="169"/>
      <c r="E768" s="169"/>
      <c r="F768" s="170"/>
      <c r="G768" s="171">
        <f>ROUND(3.14/4*(20/12)^2*100*7.48,-1)</f>
        <v>1630</v>
      </c>
      <c r="H768" s="172">
        <v>1</v>
      </c>
      <c r="I768" s="152" t="s">
        <v>119</v>
      </c>
      <c r="J768" s="173"/>
      <c r="K768" s="149"/>
      <c r="L768" s="149"/>
      <c r="M768" s="149"/>
      <c r="N768" s="149"/>
      <c r="O768" s="149"/>
    </row>
    <row r="769" spans="1:15" ht="15" customHeight="1" x14ac:dyDescent="0.25">
      <c r="A769" s="149"/>
      <c r="B769" s="167" t="s">
        <v>120</v>
      </c>
      <c r="C769" s="168"/>
      <c r="D769" s="174"/>
      <c r="E769" s="169"/>
      <c r="F769" s="170"/>
      <c r="G769" s="175">
        <f>ROUND((70.5*9.42+42*9.33+1.5*10)*7.48,-2)</f>
        <v>8000</v>
      </c>
      <c r="H769" s="176">
        <v>0.3</v>
      </c>
      <c r="I769" s="152" t="s">
        <v>121</v>
      </c>
      <c r="J769" s="143"/>
      <c r="K769" s="149"/>
      <c r="L769" s="149"/>
      <c r="M769" s="149"/>
      <c r="N769" s="149"/>
      <c r="O769" s="149"/>
    </row>
    <row r="770" spans="1:15" ht="15" customHeight="1" x14ac:dyDescent="0.25">
      <c r="A770" s="149"/>
      <c r="B770" s="161"/>
      <c r="C770" s="162"/>
      <c r="D770" s="177"/>
      <c r="E770" s="177"/>
      <c r="F770" s="178"/>
      <c r="G770" s="179"/>
      <c r="H770" s="180"/>
      <c r="I770" s="143"/>
      <c r="J770" s="143"/>
      <c r="K770" s="149"/>
      <c r="L770" s="149"/>
      <c r="M770" s="149"/>
      <c r="N770" s="149"/>
      <c r="O770" s="149"/>
    </row>
    <row r="771" spans="1:15" ht="14.25" customHeight="1" x14ac:dyDescent="0.25">
      <c r="A771" s="149"/>
      <c r="B771" s="181"/>
      <c r="C771" s="182"/>
      <c r="D771" s="149"/>
      <c r="E771" s="149"/>
      <c r="F771" s="149"/>
      <c r="G771" s="183"/>
      <c r="H771" s="149"/>
      <c r="I771" s="149"/>
      <c r="J771" s="149"/>
      <c r="K771" s="149"/>
      <c r="L771" s="149"/>
      <c r="M771" s="149"/>
      <c r="N771" s="149"/>
      <c r="O771" s="149"/>
    </row>
    <row r="772" spans="1:15" ht="18" customHeight="1" x14ac:dyDescent="0.25">
      <c r="A772" s="87"/>
      <c r="B772" s="87" t="s">
        <v>107</v>
      </c>
      <c r="C772" s="184"/>
      <c r="D772" s="174"/>
      <c r="E772" s="185"/>
      <c r="F772" s="87"/>
      <c r="G772" s="86"/>
      <c r="H772" s="84"/>
      <c r="I772" s="84"/>
      <c r="J772" s="84"/>
      <c r="K772" s="84"/>
      <c r="L772" s="84"/>
      <c r="M772" s="84"/>
      <c r="N772" s="87"/>
      <c r="O772" s="87"/>
    </row>
    <row r="773" spans="1:15" ht="15" customHeight="1" x14ac:dyDescent="0.25">
      <c r="A773" s="186"/>
      <c r="B773" s="186" t="s">
        <v>122</v>
      </c>
      <c r="C773" s="187"/>
      <c r="D773" s="186">
        <f>D774*1.8+32</f>
        <v>32.9</v>
      </c>
      <c r="E773" s="186">
        <f t="shared" ref="E773:O773" si="623">E774*1.8+32</f>
        <v>33.799999999999997</v>
      </c>
      <c r="F773" s="186">
        <f t="shared" si="623"/>
        <v>35.6</v>
      </c>
      <c r="G773" s="188">
        <f>G774*1.8+32</f>
        <v>37.4</v>
      </c>
      <c r="H773" s="186">
        <f t="shared" si="623"/>
        <v>39.200000000000003</v>
      </c>
      <c r="I773" s="186">
        <f t="shared" si="623"/>
        <v>41</v>
      </c>
      <c r="J773" s="186">
        <f t="shared" si="623"/>
        <v>42.8</v>
      </c>
      <c r="K773" s="186">
        <f>+J773+1</f>
        <v>43.8</v>
      </c>
      <c r="L773" s="186">
        <f t="shared" si="623"/>
        <v>46.4</v>
      </c>
      <c r="M773" s="186">
        <f t="shared" si="623"/>
        <v>48.2</v>
      </c>
      <c r="N773" s="186">
        <f t="shared" si="623"/>
        <v>50</v>
      </c>
      <c r="O773" s="186">
        <f t="shared" si="623"/>
        <v>51.8</v>
      </c>
    </row>
    <row r="774" spans="1:15" ht="15" customHeight="1" x14ac:dyDescent="0.25">
      <c r="A774" s="186"/>
      <c r="B774" s="186" t="s">
        <v>123</v>
      </c>
      <c r="C774" s="187"/>
      <c r="D774" s="186">
        <v>0.5</v>
      </c>
      <c r="E774" s="186">
        <v>1</v>
      </c>
      <c r="F774" s="186">
        <v>2</v>
      </c>
      <c r="G774" s="188">
        <v>3</v>
      </c>
      <c r="H774" s="186">
        <v>4</v>
      </c>
      <c r="I774" s="186">
        <v>5</v>
      </c>
      <c r="J774" s="186">
        <v>6</v>
      </c>
      <c r="K774" s="186">
        <v>7</v>
      </c>
      <c r="L774" s="186">
        <v>8</v>
      </c>
      <c r="M774" s="186">
        <v>9</v>
      </c>
      <c r="N774" s="186">
        <v>10</v>
      </c>
      <c r="O774" s="186">
        <v>11</v>
      </c>
    </row>
    <row r="775" spans="1:15" ht="14.25" customHeight="1" x14ac:dyDescent="0.25">
      <c r="A775" s="189"/>
      <c r="B775" s="190" t="s">
        <v>124</v>
      </c>
      <c r="C775" s="191"/>
      <c r="D775" s="189">
        <v>10.5</v>
      </c>
      <c r="E775" s="189">
        <v>10.149999999999999</v>
      </c>
      <c r="F775" s="189">
        <v>9.3624999999999989</v>
      </c>
      <c r="G775" s="192">
        <v>8.5750000000000011</v>
      </c>
      <c r="H775" s="189">
        <v>7.7875000000000005</v>
      </c>
      <c r="I775" s="189">
        <v>7</v>
      </c>
      <c r="J775" s="189">
        <v>6.6499999999999995</v>
      </c>
      <c r="K775" s="189">
        <v>6.3000000000000007</v>
      </c>
      <c r="L775" s="189">
        <v>5.9499999999999993</v>
      </c>
      <c r="M775" s="189">
        <v>5.6000000000000005</v>
      </c>
      <c r="N775" s="189">
        <v>5.25</v>
      </c>
      <c r="O775" s="189">
        <v>4.8999999999999995</v>
      </c>
    </row>
    <row r="776" spans="1:15" ht="15" customHeight="1" x14ac:dyDescent="0.25">
      <c r="A776" s="193"/>
      <c r="B776" s="87"/>
      <c r="C776" s="184"/>
      <c r="D776" s="193"/>
      <c r="E776" s="193"/>
      <c r="F776" s="193"/>
      <c r="G776" s="183"/>
      <c r="H776" s="193"/>
      <c r="I776" s="193"/>
      <c r="J776" s="193"/>
      <c r="K776" s="193"/>
      <c r="L776" s="193"/>
      <c r="M776" s="193"/>
      <c r="N776" s="193"/>
      <c r="O776" s="193"/>
    </row>
    <row r="777" spans="1:15" ht="14.25" customHeight="1" x14ac:dyDescent="0.25">
      <c r="A777" s="149"/>
      <c r="B777" s="149"/>
      <c r="C777" s="152"/>
      <c r="D777" s="149"/>
      <c r="E777" s="149"/>
      <c r="F777" s="149"/>
      <c r="G777" s="183"/>
      <c r="H777" s="149"/>
      <c r="I777" s="149"/>
      <c r="J777" s="149"/>
      <c r="K777" s="149"/>
      <c r="L777" s="149"/>
      <c r="M777" s="149"/>
      <c r="N777" s="149"/>
      <c r="O777" s="149"/>
    </row>
    <row r="778" spans="1:15" ht="14.25" customHeight="1" x14ac:dyDescent="0.25">
      <c r="A778" s="149"/>
      <c r="B778" s="149"/>
      <c r="C778" s="152"/>
      <c r="D778" s="149"/>
      <c r="E778" s="149"/>
      <c r="F778" s="149"/>
      <c r="G778" s="183"/>
      <c r="H778" s="149"/>
      <c r="I778" s="149"/>
      <c r="J778" s="149"/>
      <c r="K778" s="149"/>
      <c r="L778" s="149"/>
      <c r="M778" s="149"/>
      <c r="N778" s="149"/>
      <c r="O778" s="149"/>
    </row>
    <row r="779" spans="1:15" ht="12.75" customHeight="1" x14ac:dyDescent="0.25">
      <c r="G779" s="194"/>
    </row>
    <row r="780" spans="1:15" ht="12.75" customHeight="1" x14ac:dyDescent="0.25">
      <c r="G780" s="194"/>
    </row>
    <row r="781" spans="1:15" ht="12.75" customHeight="1" x14ac:dyDescent="0.25">
      <c r="G781" s="194"/>
    </row>
    <row r="782" spans="1:15" ht="12.75" customHeight="1" x14ac:dyDescent="0.25">
      <c r="G782" s="194"/>
    </row>
    <row r="783" spans="1:15" ht="12.75" customHeight="1" x14ac:dyDescent="0.25">
      <c r="G783" s="194"/>
    </row>
    <row r="784" spans="1:15" ht="12.75" customHeight="1" x14ac:dyDescent="0.25">
      <c r="G784" s="194"/>
    </row>
    <row r="785" spans="7:7" ht="12.75" customHeight="1" x14ac:dyDescent="0.25">
      <c r="G785" s="194"/>
    </row>
    <row r="786" spans="7:7" ht="12.75" customHeight="1" x14ac:dyDescent="0.25">
      <c r="G786" s="194"/>
    </row>
    <row r="787" spans="7:7" ht="12.75" customHeight="1" x14ac:dyDescent="0.25">
      <c r="G787" s="194"/>
    </row>
    <row r="788" spans="7:7" ht="12.75" customHeight="1" x14ac:dyDescent="0.25">
      <c r="G788" s="194"/>
    </row>
    <row r="789" spans="7:7" ht="12.75" customHeight="1" x14ac:dyDescent="0.25">
      <c r="G789" s="194"/>
    </row>
    <row r="790" spans="7:7" ht="12.75" customHeight="1" x14ac:dyDescent="0.25">
      <c r="G790" s="194"/>
    </row>
    <row r="791" spans="7:7" ht="12.75" customHeight="1" x14ac:dyDescent="0.25">
      <c r="G791" s="194"/>
    </row>
    <row r="792" spans="7:7" ht="12.75" customHeight="1" x14ac:dyDescent="0.25">
      <c r="G792" s="194"/>
    </row>
    <row r="793" spans="7:7" ht="12.75" customHeight="1" x14ac:dyDescent="0.25">
      <c r="G793" s="194"/>
    </row>
    <row r="794" spans="7:7" ht="12.75" customHeight="1" x14ac:dyDescent="0.25">
      <c r="G794" s="194"/>
    </row>
    <row r="795" spans="7:7" ht="12.75" customHeight="1" x14ac:dyDescent="0.25">
      <c r="G795" s="194"/>
    </row>
    <row r="796" spans="7:7" ht="12.75" customHeight="1" x14ac:dyDescent="0.25">
      <c r="G796" s="194"/>
    </row>
    <row r="797" spans="7:7" ht="12.75" customHeight="1" x14ac:dyDescent="0.25">
      <c r="G797" s="194"/>
    </row>
    <row r="798" spans="7:7" ht="12.75" customHeight="1" x14ac:dyDescent="0.25">
      <c r="G798" s="194"/>
    </row>
    <row r="799" spans="7:7" ht="12.75" customHeight="1" x14ac:dyDescent="0.25">
      <c r="G799" s="194"/>
    </row>
    <row r="800" spans="7:7" ht="12.75" customHeight="1" x14ac:dyDescent="0.25">
      <c r="G800" s="194"/>
    </row>
  </sheetData>
  <conditionalFormatting sqref="O9:O14">
    <cfRule type="containsText" dxfId="247" priority="247" stopIfTrue="1" operator="containsText" text="ALARM">
      <formula>NOT(ISERROR(SEARCH("ALARM",O9)))</formula>
    </cfRule>
    <cfRule type="containsText" dxfId="246" priority="248" stopIfTrue="1" operator="containsText" text="OK">
      <formula>NOT(ISERROR(SEARCH("OK",O9)))</formula>
    </cfRule>
  </conditionalFormatting>
  <conditionalFormatting sqref="O15:O20">
    <cfRule type="containsText" dxfId="245" priority="245" stopIfTrue="1" operator="containsText" text="ALARM">
      <formula>NOT(ISERROR(SEARCH("ALARM",O15)))</formula>
    </cfRule>
    <cfRule type="containsText" dxfId="244" priority="246" stopIfTrue="1" operator="containsText" text="OK">
      <formula>NOT(ISERROR(SEARCH("OK",O15)))</formula>
    </cfRule>
  </conditionalFormatting>
  <conditionalFormatting sqref="O21:O26">
    <cfRule type="containsText" dxfId="243" priority="243" stopIfTrue="1" operator="containsText" text="ALARM">
      <formula>NOT(ISERROR(SEARCH("ALARM",O21)))</formula>
    </cfRule>
    <cfRule type="containsText" dxfId="242" priority="244" stopIfTrue="1" operator="containsText" text="OK">
      <formula>NOT(ISERROR(SEARCH("OK",O21)))</formula>
    </cfRule>
  </conditionalFormatting>
  <conditionalFormatting sqref="O27:O32">
    <cfRule type="containsText" dxfId="241" priority="241" stopIfTrue="1" operator="containsText" text="ALARM">
      <formula>NOT(ISERROR(SEARCH("ALARM",O27)))</formula>
    </cfRule>
    <cfRule type="containsText" dxfId="240" priority="242" stopIfTrue="1" operator="containsText" text="OK">
      <formula>NOT(ISERROR(SEARCH("OK",O27)))</formula>
    </cfRule>
  </conditionalFormatting>
  <conditionalFormatting sqref="O33:O38">
    <cfRule type="containsText" dxfId="239" priority="239" stopIfTrue="1" operator="containsText" text="ALARM">
      <formula>NOT(ISERROR(SEARCH("ALARM",O33)))</formula>
    </cfRule>
    <cfRule type="containsText" dxfId="238" priority="240" stopIfTrue="1" operator="containsText" text="OK">
      <formula>NOT(ISERROR(SEARCH("OK",O33)))</formula>
    </cfRule>
  </conditionalFormatting>
  <conditionalFormatting sqref="O39:O44">
    <cfRule type="containsText" dxfId="237" priority="237" stopIfTrue="1" operator="containsText" text="ALARM">
      <formula>NOT(ISERROR(SEARCH("ALARM",O39)))</formula>
    </cfRule>
    <cfRule type="containsText" dxfId="236" priority="238" stopIfTrue="1" operator="containsText" text="OK">
      <formula>NOT(ISERROR(SEARCH("OK",O39)))</formula>
    </cfRule>
  </conditionalFormatting>
  <conditionalFormatting sqref="O45:O50">
    <cfRule type="containsText" dxfId="235" priority="235" stopIfTrue="1" operator="containsText" text="ALARM">
      <formula>NOT(ISERROR(SEARCH("ALARM",O45)))</formula>
    </cfRule>
    <cfRule type="containsText" dxfId="234" priority="236" stopIfTrue="1" operator="containsText" text="OK">
      <formula>NOT(ISERROR(SEARCH("OK",O45)))</formula>
    </cfRule>
  </conditionalFormatting>
  <conditionalFormatting sqref="O51:O56">
    <cfRule type="containsText" dxfId="233" priority="233" stopIfTrue="1" operator="containsText" text="ALARM">
      <formula>NOT(ISERROR(SEARCH("ALARM",O51)))</formula>
    </cfRule>
    <cfRule type="containsText" dxfId="232" priority="234" stopIfTrue="1" operator="containsText" text="OK">
      <formula>NOT(ISERROR(SEARCH("OK",O51)))</formula>
    </cfRule>
  </conditionalFormatting>
  <conditionalFormatting sqref="O57:O62">
    <cfRule type="containsText" dxfId="231" priority="231" stopIfTrue="1" operator="containsText" text="ALARM">
      <formula>NOT(ISERROR(SEARCH("ALARM",O57)))</formula>
    </cfRule>
    <cfRule type="containsText" dxfId="230" priority="232" stopIfTrue="1" operator="containsText" text="OK">
      <formula>NOT(ISERROR(SEARCH("OK",O57)))</formula>
    </cfRule>
  </conditionalFormatting>
  <conditionalFormatting sqref="O63:O68">
    <cfRule type="containsText" dxfId="229" priority="229" stopIfTrue="1" operator="containsText" text="ALARM">
      <formula>NOT(ISERROR(SEARCH("ALARM",O63)))</formula>
    </cfRule>
    <cfRule type="containsText" dxfId="228" priority="230" stopIfTrue="1" operator="containsText" text="OK">
      <formula>NOT(ISERROR(SEARCH("OK",O63)))</formula>
    </cfRule>
  </conditionalFormatting>
  <conditionalFormatting sqref="O69:O74">
    <cfRule type="containsText" dxfId="227" priority="227" stopIfTrue="1" operator="containsText" text="ALARM">
      <formula>NOT(ISERROR(SEARCH("ALARM",O69)))</formula>
    </cfRule>
    <cfRule type="containsText" dxfId="226" priority="228" stopIfTrue="1" operator="containsText" text="OK">
      <formula>NOT(ISERROR(SEARCH("OK",O69)))</formula>
    </cfRule>
  </conditionalFormatting>
  <conditionalFormatting sqref="O75:O80">
    <cfRule type="containsText" dxfId="225" priority="225" stopIfTrue="1" operator="containsText" text="ALARM">
      <formula>NOT(ISERROR(SEARCH("ALARM",O75)))</formula>
    </cfRule>
    <cfRule type="containsText" dxfId="224" priority="226" stopIfTrue="1" operator="containsText" text="OK">
      <formula>NOT(ISERROR(SEARCH("OK",O75)))</formula>
    </cfRule>
  </conditionalFormatting>
  <conditionalFormatting sqref="O81:O86">
    <cfRule type="containsText" dxfId="223" priority="223" stopIfTrue="1" operator="containsText" text="ALARM">
      <formula>NOT(ISERROR(SEARCH("ALARM",O81)))</formula>
    </cfRule>
    <cfRule type="containsText" dxfId="222" priority="224" stopIfTrue="1" operator="containsText" text="OK">
      <formula>NOT(ISERROR(SEARCH("OK",O81)))</formula>
    </cfRule>
  </conditionalFormatting>
  <conditionalFormatting sqref="O87:O92">
    <cfRule type="containsText" dxfId="221" priority="221" stopIfTrue="1" operator="containsText" text="ALARM">
      <formula>NOT(ISERROR(SEARCH("ALARM",O87)))</formula>
    </cfRule>
    <cfRule type="containsText" dxfId="220" priority="222" stopIfTrue="1" operator="containsText" text="OK">
      <formula>NOT(ISERROR(SEARCH("OK",O87)))</formula>
    </cfRule>
  </conditionalFormatting>
  <conditionalFormatting sqref="O93:O98">
    <cfRule type="containsText" dxfId="219" priority="219" stopIfTrue="1" operator="containsText" text="ALARM">
      <formula>NOT(ISERROR(SEARCH("ALARM",O93)))</formula>
    </cfRule>
    <cfRule type="containsText" dxfId="218" priority="220" stopIfTrue="1" operator="containsText" text="OK">
      <formula>NOT(ISERROR(SEARCH("OK",O93)))</formula>
    </cfRule>
  </conditionalFormatting>
  <conditionalFormatting sqref="O99:O104">
    <cfRule type="containsText" dxfId="217" priority="217" stopIfTrue="1" operator="containsText" text="ALARM">
      <formula>NOT(ISERROR(SEARCH("ALARM",O99)))</formula>
    </cfRule>
    <cfRule type="containsText" dxfId="216" priority="218" stopIfTrue="1" operator="containsText" text="OK">
      <formula>NOT(ISERROR(SEARCH("OK",O99)))</formula>
    </cfRule>
  </conditionalFormatting>
  <conditionalFormatting sqref="O105:O110">
    <cfRule type="containsText" dxfId="215" priority="215" stopIfTrue="1" operator="containsText" text="ALARM">
      <formula>NOT(ISERROR(SEARCH("ALARM",O105)))</formula>
    </cfRule>
    <cfRule type="containsText" dxfId="214" priority="216" stopIfTrue="1" operator="containsText" text="OK">
      <formula>NOT(ISERROR(SEARCH("OK",O105)))</formula>
    </cfRule>
  </conditionalFormatting>
  <conditionalFormatting sqref="O111:O116">
    <cfRule type="containsText" dxfId="213" priority="213" stopIfTrue="1" operator="containsText" text="ALARM">
      <formula>NOT(ISERROR(SEARCH("ALARM",O111)))</formula>
    </cfRule>
    <cfRule type="containsText" dxfId="212" priority="214" stopIfTrue="1" operator="containsText" text="OK">
      <formula>NOT(ISERROR(SEARCH("OK",O111)))</formula>
    </cfRule>
  </conditionalFormatting>
  <conditionalFormatting sqref="O117:O122">
    <cfRule type="containsText" dxfId="211" priority="211" stopIfTrue="1" operator="containsText" text="ALARM">
      <formula>NOT(ISERROR(SEARCH("ALARM",O117)))</formula>
    </cfRule>
    <cfRule type="containsText" dxfId="210" priority="212" stopIfTrue="1" operator="containsText" text="OK">
      <formula>NOT(ISERROR(SEARCH("OK",O117)))</formula>
    </cfRule>
  </conditionalFormatting>
  <conditionalFormatting sqref="O123:O128">
    <cfRule type="containsText" dxfId="209" priority="209" stopIfTrue="1" operator="containsText" text="ALARM">
      <formula>NOT(ISERROR(SEARCH("ALARM",O123)))</formula>
    </cfRule>
    <cfRule type="containsText" dxfId="208" priority="210" stopIfTrue="1" operator="containsText" text="OK">
      <formula>NOT(ISERROR(SEARCH("OK",O123)))</formula>
    </cfRule>
  </conditionalFormatting>
  <conditionalFormatting sqref="O129:O134">
    <cfRule type="containsText" dxfId="207" priority="207" stopIfTrue="1" operator="containsText" text="ALARM">
      <formula>NOT(ISERROR(SEARCH("ALARM",O129)))</formula>
    </cfRule>
    <cfRule type="containsText" dxfId="206" priority="208" stopIfTrue="1" operator="containsText" text="OK">
      <formula>NOT(ISERROR(SEARCH("OK",O129)))</formula>
    </cfRule>
  </conditionalFormatting>
  <conditionalFormatting sqref="O135:O140">
    <cfRule type="containsText" dxfId="205" priority="205" stopIfTrue="1" operator="containsText" text="ALARM">
      <formula>NOT(ISERROR(SEARCH("ALARM",O135)))</formula>
    </cfRule>
    <cfRule type="containsText" dxfId="204" priority="206" stopIfTrue="1" operator="containsText" text="OK">
      <formula>NOT(ISERROR(SEARCH("OK",O135)))</formula>
    </cfRule>
  </conditionalFormatting>
  <conditionalFormatting sqref="O141:O146">
    <cfRule type="containsText" dxfId="203" priority="203" stopIfTrue="1" operator="containsText" text="ALARM">
      <formula>NOT(ISERROR(SEARCH("ALARM",O141)))</formula>
    </cfRule>
    <cfRule type="containsText" dxfId="202" priority="204" stopIfTrue="1" operator="containsText" text="OK">
      <formula>NOT(ISERROR(SEARCH("OK",O141)))</formula>
    </cfRule>
  </conditionalFormatting>
  <conditionalFormatting sqref="O147:O152">
    <cfRule type="containsText" dxfId="201" priority="201" stopIfTrue="1" operator="containsText" text="ALARM">
      <formula>NOT(ISERROR(SEARCH("ALARM",O147)))</formula>
    </cfRule>
    <cfRule type="containsText" dxfId="200" priority="202" stopIfTrue="1" operator="containsText" text="OK">
      <formula>NOT(ISERROR(SEARCH("OK",O147)))</formula>
    </cfRule>
  </conditionalFormatting>
  <conditionalFormatting sqref="O153:O158">
    <cfRule type="containsText" dxfId="199" priority="199" stopIfTrue="1" operator="containsText" text="ALARM">
      <formula>NOT(ISERROR(SEARCH("ALARM",O153)))</formula>
    </cfRule>
    <cfRule type="containsText" dxfId="198" priority="200" stopIfTrue="1" operator="containsText" text="OK">
      <formula>NOT(ISERROR(SEARCH("OK",O153)))</formula>
    </cfRule>
  </conditionalFormatting>
  <conditionalFormatting sqref="O159:O164">
    <cfRule type="containsText" dxfId="197" priority="197" stopIfTrue="1" operator="containsText" text="ALARM">
      <formula>NOT(ISERROR(SEARCH("ALARM",O159)))</formula>
    </cfRule>
    <cfRule type="containsText" dxfId="196" priority="198" stopIfTrue="1" operator="containsText" text="OK">
      <formula>NOT(ISERROR(SEARCH("OK",O159)))</formula>
    </cfRule>
  </conditionalFormatting>
  <conditionalFormatting sqref="O165:O170">
    <cfRule type="containsText" dxfId="195" priority="195" stopIfTrue="1" operator="containsText" text="ALARM">
      <formula>NOT(ISERROR(SEARCH("ALARM",O165)))</formula>
    </cfRule>
    <cfRule type="containsText" dxfId="194" priority="196" stopIfTrue="1" operator="containsText" text="OK">
      <formula>NOT(ISERROR(SEARCH("OK",O165)))</formula>
    </cfRule>
  </conditionalFormatting>
  <conditionalFormatting sqref="O171:O176">
    <cfRule type="containsText" dxfId="193" priority="193" stopIfTrue="1" operator="containsText" text="ALARM">
      <formula>NOT(ISERROR(SEARCH("ALARM",O171)))</formula>
    </cfRule>
    <cfRule type="containsText" dxfId="192" priority="194" stopIfTrue="1" operator="containsText" text="OK">
      <formula>NOT(ISERROR(SEARCH("OK",O171)))</formula>
    </cfRule>
  </conditionalFormatting>
  <conditionalFormatting sqref="O177:O182">
    <cfRule type="containsText" dxfId="191" priority="191" stopIfTrue="1" operator="containsText" text="ALARM">
      <formula>NOT(ISERROR(SEARCH("ALARM",O177)))</formula>
    </cfRule>
    <cfRule type="containsText" dxfId="190" priority="192" stopIfTrue="1" operator="containsText" text="OK">
      <formula>NOT(ISERROR(SEARCH("OK",O177)))</formula>
    </cfRule>
  </conditionalFormatting>
  <conditionalFormatting sqref="O183:O188">
    <cfRule type="containsText" dxfId="189" priority="189" stopIfTrue="1" operator="containsText" text="ALARM">
      <formula>NOT(ISERROR(SEARCH("ALARM",O183)))</formula>
    </cfRule>
    <cfRule type="containsText" dxfId="188" priority="190" stopIfTrue="1" operator="containsText" text="OK">
      <formula>NOT(ISERROR(SEARCH("OK",O183)))</formula>
    </cfRule>
  </conditionalFormatting>
  <conditionalFormatting sqref="O189:O194">
    <cfRule type="containsText" dxfId="187" priority="187" stopIfTrue="1" operator="containsText" text="ALARM">
      <formula>NOT(ISERROR(SEARCH("ALARM",O189)))</formula>
    </cfRule>
    <cfRule type="containsText" dxfId="186" priority="188" stopIfTrue="1" operator="containsText" text="OK">
      <formula>NOT(ISERROR(SEARCH("OK",O189)))</formula>
    </cfRule>
  </conditionalFormatting>
  <conditionalFormatting sqref="O195:O200">
    <cfRule type="containsText" dxfId="185" priority="185" stopIfTrue="1" operator="containsText" text="ALARM">
      <formula>NOT(ISERROR(SEARCH("ALARM",O195)))</formula>
    </cfRule>
    <cfRule type="containsText" dxfId="184" priority="186" stopIfTrue="1" operator="containsText" text="OK">
      <formula>NOT(ISERROR(SEARCH("OK",O195)))</formula>
    </cfRule>
  </conditionalFormatting>
  <conditionalFormatting sqref="O201:O206">
    <cfRule type="containsText" dxfId="183" priority="183" stopIfTrue="1" operator="containsText" text="ALARM">
      <formula>NOT(ISERROR(SEARCH("ALARM",O201)))</formula>
    </cfRule>
    <cfRule type="containsText" dxfId="182" priority="184" stopIfTrue="1" operator="containsText" text="OK">
      <formula>NOT(ISERROR(SEARCH("OK",O201)))</formula>
    </cfRule>
  </conditionalFormatting>
  <conditionalFormatting sqref="O207:O212">
    <cfRule type="containsText" dxfId="181" priority="181" stopIfTrue="1" operator="containsText" text="ALARM">
      <formula>NOT(ISERROR(SEARCH("ALARM",O207)))</formula>
    </cfRule>
    <cfRule type="containsText" dxfId="180" priority="182" stopIfTrue="1" operator="containsText" text="OK">
      <formula>NOT(ISERROR(SEARCH("OK",O207)))</formula>
    </cfRule>
  </conditionalFormatting>
  <conditionalFormatting sqref="O213:O218">
    <cfRule type="containsText" dxfId="179" priority="179" stopIfTrue="1" operator="containsText" text="ALARM">
      <formula>NOT(ISERROR(SEARCH("ALARM",O213)))</formula>
    </cfRule>
    <cfRule type="containsText" dxfId="178" priority="180" stopIfTrue="1" operator="containsText" text="OK">
      <formula>NOT(ISERROR(SEARCH("OK",O213)))</formula>
    </cfRule>
  </conditionalFormatting>
  <conditionalFormatting sqref="O219:O224">
    <cfRule type="containsText" dxfId="177" priority="177" stopIfTrue="1" operator="containsText" text="ALARM">
      <formula>NOT(ISERROR(SEARCH("ALARM",O219)))</formula>
    </cfRule>
    <cfRule type="containsText" dxfId="176" priority="178" stopIfTrue="1" operator="containsText" text="OK">
      <formula>NOT(ISERROR(SEARCH("OK",O219)))</formula>
    </cfRule>
  </conditionalFormatting>
  <conditionalFormatting sqref="O225:O230">
    <cfRule type="containsText" dxfId="175" priority="175" stopIfTrue="1" operator="containsText" text="ALARM">
      <formula>NOT(ISERROR(SEARCH("ALARM",O225)))</formula>
    </cfRule>
    <cfRule type="containsText" dxfId="174" priority="176" stopIfTrue="1" operator="containsText" text="OK">
      <formula>NOT(ISERROR(SEARCH("OK",O225)))</formula>
    </cfRule>
  </conditionalFormatting>
  <conditionalFormatting sqref="O231:O236">
    <cfRule type="containsText" dxfId="173" priority="173" stopIfTrue="1" operator="containsText" text="ALARM">
      <formula>NOT(ISERROR(SEARCH("ALARM",O231)))</formula>
    </cfRule>
    <cfRule type="containsText" dxfId="172" priority="174" stopIfTrue="1" operator="containsText" text="OK">
      <formula>NOT(ISERROR(SEARCH("OK",O231)))</formula>
    </cfRule>
  </conditionalFormatting>
  <conditionalFormatting sqref="O237:O242">
    <cfRule type="containsText" dxfId="171" priority="171" stopIfTrue="1" operator="containsText" text="ALARM">
      <formula>NOT(ISERROR(SEARCH("ALARM",O237)))</formula>
    </cfRule>
    <cfRule type="containsText" dxfId="170" priority="172" stopIfTrue="1" operator="containsText" text="OK">
      <formula>NOT(ISERROR(SEARCH("OK",O237)))</formula>
    </cfRule>
  </conditionalFormatting>
  <conditionalFormatting sqref="O243:O248">
    <cfRule type="containsText" dxfId="169" priority="169" stopIfTrue="1" operator="containsText" text="ALARM">
      <formula>NOT(ISERROR(SEARCH("ALARM",O243)))</formula>
    </cfRule>
    <cfRule type="containsText" dxfId="168" priority="170" stopIfTrue="1" operator="containsText" text="OK">
      <formula>NOT(ISERROR(SEARCH("OK",O243)))</formula>
    </cfRule>
  </conditionalFormatting>
  <conditionalFormatting sqref="O249:O254">
    <cfRule type="containsText" dxfId="167" priority="167" stopIfTrue="1" operator="containsText" text="ALARM">
      <formula>NOT(ISERROR(SEARCH("ALARM",O249)))</formula>
    </cfRule>
    <cfRule type="containsText" dxfId="166" priority="168" stopIfTrue="1" operator="containsText" text="OK">
      <formula>NOT(ISERROR(SEARCH("OK",O249)))</formula>
    </cfRule>
  </conditionalFormatting>
  <conditionalFormatting sqref="O255:O260">
    <cfRule type="containsText" dxfId="165" priority="165" stopIfTrue="1" operator="containsText" text="ALARM">
      <formula>NOT(ISERROR(SEARCH("ALARM",O255)))</formula>
    </cfRule>
    <cfRule type="containsText" dxfId="164" priority="166" stopIfTrue="1" operator="containsText" text="OK">
      <formula>NOT(ISERROR(SEARCH("OK",O255)))</formula>
    </cfRule>
  </conditionalFormatting>
  <conditionalFormatting sqref="O261:O266">
    <cfRule type="containsText" dxfId="163" priority="163" stopIfTrue="1" operator="containsText" text="ALARM">
      <formula>NOT(ISERROR(SEARCH("ALARM",O261)))</formula>
    </cfRule>
    <cfRule type="containsText" dxfId="162" priority="164" stopIfTrue="1" operator="containsText" text="OK">
      <formula>NOT(ISERROR(SEARCH("OK",O261)))</formula>
    </cfRule>
  </conditionalFormatting>
  <conditionalFormatting sqref="O267:O272">
    <cfRule type="containsText" dxfId="161" priority="161" stopIfTrue="1" operator="containsText" text="ALARM">
      <formula>NOT(ISERROR(SEARCH("ALARM",O267)))</formula>
    </cfRule>
    <cfRule type="containsText" dxfId="160" priority="162" stopIfTrue="1" operator="containsText" text="OK">
      <formula>NOT(ISERROR(SEARCH("OK",O267)))</formula>
    </cfRule>
  </conditionalFormatting>
  <conditionalFormatting sqref="O273:O278">
    <cfRule type="containsText" dxfId="159" priority="159" stopIfTrue="1" operator="containsText" text="ALARM">
      <formula>NOT(ISERROR(SEARCH("ALARM",O273)))</formula>
    </cfRule>
    <cfRule type="containsText" dxfId="158" priority="160" stopIfTrue="1" operator="containsText" text="OK">
      <formula>NOT(ISERROR(SEARCH("OK",O273)))</formula>
    </cfRule>
  </conditionalFormatting>
  <conditionalFormatting sqref="O279:O284">
    <cfRule type="containsText" dxfId="157" priority="157" stopIfTrue="1" operator="containsText" text="ALARM">
      <formula>NOT(ISERROR(SEARCH("ALARM",O279)))</formula>
    </cfRule>
    <cfRule type="containsText" dxfId="156" priority="158" stopIfTrue="1" operator="containsText" text="OK">
      <formula>NOT(ISERROR(SEARCH("OK",O279)))</formula>
    </cfRule>
  </conditionalFormatting>
  <conditionalFormatting sqref="O285:O290">
    <cfRule type="containsText" dxfId="155" priority="155" stopIfTrue="1" operator="containsText" text="ALARM">
      <formula>NOT(ISERROR(SEARCH("ALARM",O285)))</formula>
    </cfRule>
    <cfRule type="containsText" dxfId="154" priority="156" stopIfTrue="1" operator="containsText" text="OK">
      <formula>NOT(ISERROR(SEARCH("OK",O285)))</formula>
    </cfRule>
  </conditionalFormatting>
  <conditionalFormatting sqref="O291:O296">
    <cfRule type="containsText" dxfId="153" priority="153" stopIfTrue="1" operator="containsText" text="ALARM">
      <formula>NOT(ISERROR(SEARCH("ALARM",O291)))</formula>
    </cfRule>
    <cfRule type="containsText" dxfId="152" priority="154" stopIfTrue="1" operator="containsText" text="OK">
      <formula>NOT(ISERROR(SEARCH("OK",O291)))</formula>
    </cfRule>
  </conditionalFormatting>
  <conditionalFormatting sqref="O297:O302">
    <cfRule type="containsText" dxfId="151" priority="151" stopIfTrue="1" operator="containsText" text="ALARM">
      <formula>NOT(ISERROR(SEARCH("ALARM",O297)))</formula>
    </cfRule>
    <cfRule type="containsText" dxfId="150" priority="152" stopIfTrue="1" operator="containsText" text="OK">
      <formula>NOT(ISERROR(SEARCH("OK",O297)))</formula>
    </cfRule>
  </conditionalFormatting>
  <conditionalFormatting sqref="O303:O308">
    <cfRule type="containsText" dxfId="149" priority="149" stopIfTrue="1" operator="containsText" text="ALARM">
      <formula>NOT(ISERROR(SEARCH("ALARM",O303)))</formula>
    </cfRule>
    <cfRule type="containsText" dxfId="148" priority="150" stopIfTrue="1" operator="containsText" text="OK">
      <formula>NOT(ISERROR(SEARCH("OK",O303)))</formula>
    </cfRule>
  </conditionalFormatting>
  <conditionalFormatting sqref="O309:O314">
    <cfRule type="containsText" dxfId="147" priority="147" stopIfTrue="1" operator="containsText" text="ALARM">
      <formula>NOT(ISERROR(SEARCH("ALARM",O309)))</formula>
    </cfRule>
    <cfRule type="containsText" dxfId="146" priority="148" stopIfTrue="1" operator="containsText" text="OK">
      <formula>NOT(ISERROR(SEARCH("OK",O309)))</formula>
    </cfRule>
  </conditionalFormatting>
  <conditionalFormatting sqref="O315:O320">
    <cfRule type="containsText" dxfId="145" priority="145" stopIfTrue="1" operator="containsText" text="ALARM">
      <formula>NOT(ISERROR(SEARCH("ALARM",O315)))</formula>
    </cfRule>
    <cfRule type="containsText" dxfId="144" priority="146" stopIfTrue="1" operator="containsText" text="OK">
      <formula>NOT(ISERROR(SEARCH("OK",O315)))</formula>
    </cfRule>
  </conditionalFormatting>
  <conditionalFormatting sqref="O321:O326">
    <cfRule type="containsText" dxfId="143" priority="143" stopIfTrue="1" operator="containsText" text="ALARM">
      <formula>NOT(ISERROR(SEARCH("ALARM",O321)))</formula>
    </cfRule>
    <cfRule type="containsText" dxfId="142" priority="144" stopIfTrue="1" operator="containsText" text="OK">
      <formula>NOT(ISERROR(SEARCH("OK",O321)))</formula>
    </cfRule>
  </conditionalFormatting>
  <conditionalFormatting sqref="O327:O332">
    <cfRule type="containsText" dxfId="141" priority="141" stopIfTrue="1" operator="containsText" text="ALARM">
      <formula>NOT(ISERROR(SEARCH("ALARM",O327)))</formula>
    </cfRule>
    <cfRule type="containsText" dxfId="140" priority="142" stopIfTrue="1" operator="containsText" text="OK">
      <formula>NOT(ISERROR(SEARCH("OK",O327)))</formula>
    </cfRule>
  </conditionalFormatting>
  <conditionalFormatting sqref="O333:O338">
    <cfRule type="containsText" dxfId="139" priority="139" stopIfTrue="1" operator="containsText" text="ALARM">
      <formula>NOT(ISERROR(SEARCH("ALARM",O333)))</formula>
    </cfRule>
    <cfRule type="containsText" dxfId="138" priority="140" stopIfTrue="1" operator="containsText" text="OK">
      <formula>NOT(ISERROR(SEARCH("OK",O333)))</formula>
    </cfRule>
  </conditionalFormatting>
  <conditionalFormatting sqref="O339:O344">
    <cfRule type="containsText" dxfId="137" priority="137" stopIfTrue="1" operator="containsText" text="ALARM">
      <formula>NOT(ISERROR(SEARCH("ALARM",O339)))</formula>
    </cfRule>
    <cfRule type="containsText" dxfId="136" priority="138" stopIfTrue="1" operator="containsText" text="OK">
      <formula>NOT(ISERROR(SEARCH("OK",O339)))</formula>
    </cfRule>
  </conditionalFormatting>
  <conditionalFormatting sqref="O345:O350">
    <cfRule type="containsText" dxfId="135" priority="135" stopIfTrue="1" operator="containsText" text="ALARM">
      <formula>NOT(ISERROR(SEARCH("ALARM",O345)))</formula>
    </cfRule>
    <cfRule type="containsText" dxfId="134" priority="136" stopIfTrue="1" operator="containsText" text="OK">
      <formula>NOT(ISERROR(SEARCH("OK",O345)))</formula>
    </cfRule>
  </conditionalFormatting>
  <conditionalFormatting sqref="O351:O356">
    <cfRule type="containsText" dxfId="133" priority="133" stopIfTrue="1" operator="containsText" text="ALARM">
      <formula>NOT(ISERROR(SEARCH("ALARM",O351)))</formula>
    </cfRule>
    <cfRule type="containsText" dxfId="132" priority="134" stopIfTrue="1" operator="containsText" text="OK">
      <formula>NOT(ISERROR(SEARCH("OK",O351)))</formula>
    </cfRule>
  </conditionalFormatting>
  <conditionalFormatting sqref="O357:O362">
    <cfRule type="containsText" dxfId="131" priority="131" stopIfTrue="1" operator="containsText" text="ALARM">
      <formula>NOT(ISERROR(SEARCH("ALARM",O357)))</formula>
    </cfRule>
    <cfRule type="containsText" dxfId="130" priority="132" stopIfTrue="1" operator="containsText" text="OK">
      <formula>NOT(ISERROR(SEARCH("OK",O357)))</formula>
    </cfRule>
  </conditionalFormatting>
  <conditionalFormatting sqref="O363:O368">
    <cfRule type="containsText" dxfId="129" priority="129" stopIfTrue="1" operator="containsText" text="ALARM">
      <formula>NOT(ISERROR(SEARCH("ALARM",O363)))</formula>
    </cfRule>
    <cfRule type="containsText" dxfId="128" priority="130" stopIfTrue="1" operator="containsText" text="OK">
      <formula>NOT(ISERROR(SEARCH("OK",O363)))</formula>
    </cfRule>
  </conditionalFormatting>
  <conditionalFormatting sqref="O369:O374">
    <cfRule type="containsText" dxfId="127" priority="127" stopIfTrue="1" operator="containsText" text="ALARM">
      <formula>NOT(ISERROR(SEARCH("ALARM",O369)))</formula>
    </cfRule>
    <cfRule type="containsText" dxfId="126" priority="128" stopIfTrue="1" operator="containsText" text="OK">
      <formula>NOT(ISERROR(SEARCH("OK",O369)))</formula>
    </cfRule>
  </conditionalFormatting>
  <conditionalFormatting sqref="O375:O380">
    <cfRule type="containsText" dxfId="125" priority="125" stopIfTrue="1" operator="containsText" text="ALARM">
      <formula>NOT(ISERROR(SEARCH("ALARM",O375)))</formula>
    </cfRule>
    <cfRule type="containsText" dxfId="124" priority="126" stopIfTrue="1" operator="containsText" text="OK">
      <formula>NOT(ISERROR(SEARCH("OK",O375)))</formula>
    </cfRule>
  </conditionalFormatting>
  <conditionalFormatting sqref="O381:O386">
    <cfRule type="containsText" dxfId="123" priority="123" stopIfTrue="1" operator="containsText" text="ALARM">
      <formula>NOT(ISERROR(SEARCH("ALARM",O381)))</formula>
    </cfRule>
    <cfRule type="containsText" dxfId="122" priority="124" stopIfTrue="1" operator="containsText" text="OK">
      <formula>NOT(ISERROR(SEARCH("OK",O381)))</formula>
    </cfRule>
  </conditionalFormatting>
  <conditionalFormatting sqref="O387:O392">
    <cfRule type="containsText" dxfId="121" priority="121" stopIfTrue="1" operator="containsText" text="ALARM">
      <formula>NOT(ISERROR(SEARCH("ALARM",O387)))</formula>
    </cfRule>
    <cfRule type="containsText" dxfId="120" priority="122" stopIfTrue="1" operator="containsText" text="OK">
      <formula>NOT(ISERROR(SEARCH("OK",O387)))</formula>
    </cfRule>
  </conditionalFormatting>
  <conditionalFormatting sqref="O393:O398">
    <cfRule type="containsText" dxfId="119" priority="119" stopIfTrue="1" operator="containsText" text="ALARM">
      <formula>NOT(ISERROR(SEARCH("ALARM",O393)))</formula>
    </cfRule>
    <cfRule type="containsText" dxfId="118" priority="120" stopIfTrue="1" operator="containsText" text="OK">
      <formula>NOT(ISERROR(SEARCH("OK",O393)))</formula>
    </cfRule>
  </conditionalFormatting>
  <conditionalFormatting sqref="O399:O404">
    <cfRule type="containsText" dxfId="117" priority="117" stopIfTrue="1" operator="containsText" text="ALARM">
      <formula>NOT(ISERROR(SEARCH("ALARM",O399)))</formula>
    </cfRule>
    <cfRule type="containsText" dxfId="116" priority="118" stopIfTrue="1" operator="containsText" text="OK">
      <formula>NOT(ISERROR(SEARCH("OK",O399)))</formula>
    </cfRule>
  </conditionalFormatting>
  <conditionalFormatting sqref="O405:O410">
    <cfRule type="containsText" dxfId="115" priority="115" stopIfTrue="1" operator="containsText" text="ALARM">
      <formula>NOT(ISERROR(SEARCH("ALARM",O405)))</formula>
    </cfRule>
    <cfRule type="containsText" dxfId="114" priority="116" stopIfTrue="1" operator="containsText" text="OK">
      <formula>NOT(ISERROR(SEARCH("OK",O405)))</formula>
    </cfRule>
  </conditionalFormatting>
  <conditionalFormatting sqref="O411:O416">
    <cfRule type="containsText" dxfId="113" priority="113" stopIfTrue="1" operator="containsText" text="ALARM">
      <formula>NOT(ISERROR(SEARCH("ALARM",O411)))</formula>
    </cfRule>
    <cfRule type="containsText" dxfId="112" priority="114" stopIfTrue="1" operator="containsText" text="OK">
      <formula>NOT(ISERROR(SEARCH("OK",O411)))</formula>
    </cfRule>
  </conditionalFormatting>
  <conditionalFormatting sqref="O417:O422">
    <cfRule type="containsText" dxfId="111" priority="111" stopIfTrue="1" operator="containsText" text="ALARM">
      <formula>NOT(ISERROR(SEARCH("ALARM",O417)))</formula>
    </cfRule>
    <cfRule type="containsText" dxfId="110" priority="112" stopIfTrue="1" operator="containsText" text="OK">
      <formula>NOT(ISERROR(SEARCH("OK",O417)))</formula>
    </cfRule>
  </conditionalFormatting>
  <conditionalFormatting sqref="O423:O428">
    <cfRule type="containsText" dxfId="109" priority="109" stopIfTrue="1" operator="containsText" text="ALARM">
      <formula>NOT(ISERROR(SEARCH("ALARM",O423)))</formula>
    </cfRule>
    <cfRule type="containsText" dxfId="108" priority="110" stopIfTrue="1" operator="containsText" text="OK">
      <formula>NOT(ISERROR(SEARCH("OK",O423)))</formula>
    </cfRule>
  </conditionalFormatting>
  <conditionalFormatting sqref="O429:O434">
    <cfRule type="containsText" dxfId="107" priority="107" stopIfTrue="1" operator="containsText" text="ALARM">
      <formula>NOT(ISERROR(SEARCH("ALARM",O429)))</formula>
    </cfRule>
    <cfRule type="containsText" dxfId="106" priority="108" stopIfTrue="1" operator="containsText" text="OK">
      <formula>NOT(ISERROR(SEARCH("OK",O429)))</formula>
    </cfRule>
  </conditionalFormatting>
  <conditionalFormatting sqref="O435:O440">
    <cfRule type="containsText" dxfId="105" priority="105" stopIfTrue="1" operator="containsText" text="ALARM">
      <formula>NOT(ISERROR(SEARCH("ALARM",O435)))</formula>
    </cfRule>
    <cfRule type="containsText" dxfId="104" priority="106" stopIfTrue="1" operator="containsText" text="OK">
      <formula>NOT(ISERROR(SEARCH("OK",O435)))</formula>
    </cfRule>
  </conditionalFormatting>
  <conditionalFormatting sqref="O441:O446">
    <cfRule type="containsText" dxfId="103" priority="103" stopIfTrue="1" operator="containsText" text="ALARM">
      <formula>NOT(ISERROR(SEARCH("ALARM",O441)))</formula>
    </cfRule>
    <cfRule type="containsText" dxfId="102" priority="104" stopIfTrue="1" operator="containsText" text="OK">
      <formula>NOT(ISERROR(SEARCH("OK",O441)))</formula>
    </cfRule>
  </conditionalFormatting>
  <conditionalFormatting sqref="O447:O452">
    <cfRule type="containsText" dxfId="101" priority="101" stopIfTrue="1" operator="containsText" text="ALARM">
      <formula>NOT(ISERROR(SEARCH("ALARM",O447)))</formula>
    </cfRule>
    <cfRule type="containsText" dxfId="100" priority="102" stopIfTrue="1" operator="containsText" text="OK">
      <formula>NOT(ISERROR(SEARCH("OK",O447)))</formula>
    </cfRule>
  </conditionalFormatting>
  <conditionalFormatting sqref="O453:O458">
    <cfRule type="containsText" dxfId="99" priority="99" stopIfTrue="1" operator="containsText" text="ALARM">
      <formula>NOT(ISERROR(SEARCH("ALARM",O453)))</formula>
    </cfRule>
    <cfRule type="containsText" dxfId="98" priority="100" stopIfTrue="1" operator="containsText" text="OK">
      <formula>NOT(ISERROR(SEARCH("OK",O453)))</formula>
    </cfRule>
  </conditionalFormatting>
  <conditionalFormatting sqref="O459:O464">
    <cfRule type="containsText" dxfId="97" priority="97" stopIfTrue="1" operator="containsText" text="ALARM">
      <formula>NOT(ISERROR(SEARCH("ALARM",O459)))</formula>
    </cfRule>
    <cfRule type="containsText" dxfId="96" priority="98" stopIfTrue="1" operator="containsText" text="OK">
      <formula>NOT(ISERROR(SEARCH("OK",O459)))</formula>
    </cfRule>
  </conditionalFormatting>
  <conditionalFormatting sqref="O465:O470">
    <cfRule type="containsText" dxfId="95" priority="95" stopIfTrue="1" operator="containsText" text="ALARM">
      <formula>NOT(ISERROR(SEARCH("ALARM",O465)))</formula>
    </cfRule>
    <cfRule type="containsText" dxfId="94" priority="96" stopIfTrue="1" operator="containsText" text="OK">
      <formula>NOT(ISERROR(SEARCH("OK",O465)))</formula>
    </cfRule>
  </conditionalFormatting>
  <conditionalFormatting sqref="O471:O476">
    <cfRule type="containsText" dxfId="93" priority="93" stopIfTrue="1" operator="containsText" text="ALARM">
      <formula>NOT(ISERROR(SEARCH("ALARM",O471)))</formula>
    </cfRule>
    <cfRule type="containsText" dxfId="92" priority="94" stopIfTrue="1" operator="containsText" text="OK">
      <formula>NOT(ISERROR(SEARCH("OK",O471)))</formula>
    </cfRule>
  </conditionalFormatting>
  <conditionalFormatting sqref="O477:O482">
    <cfRule type="containsText" dxfId="91" priority="91" stopIfTrue="1" operator="containsText" text="ALARM">
      <formula>NOT(ISERROR(SEARCH("ALARM",O477)))</formula>
    </cfRule>
    <cfRule type="containsText" dxfId="90" priority="92" stopIfTrue="1" operator="containsText" text="OK">
      <formula>NOT(ISERROR(SEARCH("OK",O477)))</formula>
    </cfRule>
  </conditionalFormatting>
  <conditionalFormatting sqref="O483:O488">
    <cfRule type="containsText" dxfId="89" priority="89" stopIfTrue="1" operator="containsText" text="ALARM">
      <formula>NOT(ISERROR(SEARCH("ALARM",O483)))</formula>
    </cfRule>
    <cfRule type="containsText" dxfId="88" priority="90" stopIfTrue="1" operator="containsText" text="OK">
      <formula>NOT(ISERROR(SEARCH("OK",O483)))</formula>
    </cfRule>
  </conditionalFormatting>
  <conditionalFormatting sqref="O489:O494">
    <cfRule type="containsText" dxfId="87" priority="87" stopIfTrue="1" operator="containsText" text="ALARM">
      <formula>NOT(ISERROR(SEARCH("ALARM",O489)))</formula>
    </cfRule>
    <cfRule type="containsText" dxfId="86" priority="88" stopIfTrue="1" operator="containsText" text="OK">
      <formula>NOT(ISERROR(SEARCH("OK",O489)))</formula>
    </cfRule>
  </conditionalFormatting>
  <conditionalFormatting sqref="O495:O500">
    <cfRule type="containsText" dxfId="85" priority="85" stopIfTrue="1" operator="containsText" text="ALARM">
      <formula>NOT(ISERROR(SEARCH("ALARM",O495)))</formula>
    </cfRule>
    <cfRule type="containsText" dxfId="84" priority="86" stopIfTrue="1" operator="containsText" text="OK">
      <formula>NOT(ISERROR(SEARCH("OK",O495)))</formula>
    </cfRule>
  </conditionalFormatting>
  <conditionalFormatting sqref="O501:O506">
    <cfRule type="containsText" dxfId="83" priority="83" stopIfTrue="1" operator="containsText" text="ALARM">
      <formula>NOT(ISERROR(SEARCH("ALARM",O501)))</formula>
    </cfRule>
    <cfRule type="containsText" dxfId="82" priority="84" stopIfTrue="1" operator="containsText" text="OK">
      <formula>NOT(ISERROR(SEARCH("OK",O501)))</formula>
    </cfRule>
  </conditionalFormatting>
  <conditionalFormatting sqref="O507:O512">
    <cfRule type="containsText" dxfId="81" priority="81" stopIfTrue="1" operator="containsText" text="ALARM">
      <formula>NOT(ISERROR(SEARCH("ALARM",O507)))</formula>
    </cfRule>
    <cfRule type="containsText" dxfId="80" priority="82" stopIfTrue="1" operator="containsText" text="OK">
      <formula>NOT(ISERROR(SEARCH("OK",O507)))</formula>
    </cfRule>
  </conditionalFormatting>
  <conditionalFormatting sqref="O513:O518">
    <cfRule type="containsText" dxfId="79" priority="79" stopIfTrue="1" operator="containsText" text="ALARM">
      <formula>NOT(ISERROR(SEARCH("ALARM",O513)))</formula>
    </cfRule>
    <cfRule type="containsText" dxfId="78" priority="80" stopIfTrue="1" operator="containsText" text="OK">
      <formula>NOT(ISERROR(SEARCH("OK",O513)))</formula>
    </cfRule>
  </conditionalFormatting>
  <conditionalFormatting sqref="O519:O524">
    <cfRule type="containsText" dxfId="77" priority="77" stopIfTrue="1" operator="containsText" text="ALARM">
      <formula>NOT(ISERROR(SEARCH("ALARM",O519)))</formula>
    </cfRule>
    <cfRule type="containsText" dxfId="76" priority="78" stopIfTrue="1" operator="containsText" text="OK">
      <formula>NOT(ISERROR(SEARCH("OK",O519)))</formula>
    </cfRule>
  </conditionalFormatting>
  <conditionalFormatting sqref="O525:O530">
    <cfRule type="containsText" dxfId="75" priority="75" stopIfTrue="1" operator="containsText" text="ALARM">
      <formula>NOT(ISERROR(SEARCH("ALARM",O525)))</formula>
    </cfRule>
    <cfRule type="containsText" dxfId="74" priority="76" stopIfTrue="1" operator="containsText" text="OK">
      <formula>NOT(ISERROR(SEARCH("OK",O525)))</formula>
    </cfRule>
  </conditionalFormatting>
  <conditionalFormatting sqref="O531:O536">
    <cfRule type="containsText" dxfId="73" priority="73" stopIfTrue="1" operator="containsText" text="ALARM">
      <formula>NOT(ISERROR(SEARCH("ALARM",O531)))</formula>
    </cfRule>
    <cfRule type="containsText" dxfId="72" priority="74" stopIfTrue="1" operator="containsText" text="OK">
      <formula>NOT(ISERROR(SEARCH("OK",O531)))</formula>
    </cfRule>
  </conditionalFormatting>
  <conditionalFormatting sqref="O537:O542">
    <cfRule type="containsText" dxfId="71" priority="71" stopIfTrue="1" operator="containsText" text="ALARM">
      <formula>NOT(ISERROR(SEARCH("ALARM",O537)))</formula>
    </cfRule>
    <cfRule type="containsText" dxfId="70" priority="72" stopIfTrue="1" operator="containsText" text="OK">
      <formula>NOT(ISERROR(SEARCH("OK",O537)))</formula>
    </cfRule>
  </conditionalFormatting>
  <conditionalFormatting sqref="O543:O548">
    <cfRule type="containsText" dxfId="69" priority="69" stopIfTrue="1" operator="containsText" text="ALARM">
      <formula>NOT(ISERROR(SEARCH("ALARM",O543)))</formula>
    </cfRule>
    <cfRule type="containsText" dxfId="68" priority="70" stopIfTrue="1" operator="containsText" text="OK">
      <formula>NOT(ISERROR(SEARCH("OK",O543)))</formula>
    </cfRule>
  </conditionalFormatting>
  <conditionalFormatting sqref="O549:O554">
    <cfRule type="containsText" dxfId="67" priority="67" stopIfTrue="1" operator="containsText" text="ALARM">
      <formula>NOT(ISERROR(SEARCH("ALARM",O549)))</formula>
    </cfRule>
    <cfRule type="containsText" dxfId="66" priority="68" stopIfTrue="1" operator="containsText" text="OK">
      <formula>NOT(ISERROR(SEARCH("OK",O549)))</formula>
    </cfRule>
  </conditionalFormatting>
  <conditionalFormatting sqref="O555:O560">
    <cfRule type="containsText" dxfId="65" priority="65" stopIfTrue="1" operator="containsText" text="ALARM">
      <formula>NOT(ISERROR(SEARCH("ALARM",O555)))</formula>
    </cfRule>
    <cfRule type="containsText" dxfId="64" priority="66" stopIfTrue="1" operator="containsText" text="OK">
      <formula>NOT(ISERROR(SEARCH("OK",O555)))</formula>
    </cfRule>
  </conditionalFormatting>
  <conditionalFormatting sqref="O561:O566">
    <cfRule type="containsText" dxfId="63" priority="63" stopIfTrue="1" operator="containsText" text="ALARM">
      <formula>NOT(ISERROR(SEARCH("ALARM",O561)))</formula>
    </cfRule>
    <cfRule type="containsText" dxfId="62" priority="64" stopIfTrue="1" operator="containsText" text="OK">
      <formula>NOT(ISERROR(SEARCH("OK",O561)))</formula>
    </cfRule>
  </conditionalFormatting>
  <conditionalFormatting sqref="O567:O572">
    <cfRule type="containsText" dxfId="61" priority="61" stopIfTrue="1" operator="containsText" text="ALARM">
      <formula>NOT(ISERROR(SEARCH("ALARM",O567)))</formula>
    </cfRule>
    <cfRule type="containsText" dxfId="60" priority="62" stopIfTrue="1" operator="containsText" text="OK">
      <formula>NOT(ISERROR(SEARCH("OK",O567)))</formula>
    </cfRule>
  </conditionalFormatting>
  <conditionalFormatting sqref="O573:O578">
    <cfRule type="containsText" dxfId="59" priority="59" stopIfTrue="1" operator="containsText" text="ALARM">
      <formula>NOT(ISERROR(SEARCH("ALARM",O573)))</formula>
    </cfRule>
    <cfRule type="containsText" dxfId="58" priority="60" stopIfTrue="1" operator="containsText" text="OK">
      <formula>NOT(ISERROR(SEARCH("OK",O573)))</formula>
    </cfRule>
  </conditionalFormatting>
  <conditionalFormatting sqref="O579:O584">
    <cfRule type="containsText" dxfId="57" priority="57" stopIfTrue="1" operator="containsText" text="ALARM">
      <formula>NOT(ISERROR(SEARCH("ALARM",O579)))</formula>
    </cfRule>
    <cfRule type="containsText" dxfId="56" priority="58" stopIfTrue="1" operator="containsText" text="OK">
      <formula>NOT(ISERROR(SEARCH("OK",O579)))</formula>
    </cfRule>
  </conditionalFormatting>
  <conditionalFormatting sqref="O585:O590">
    <cfRule type="containsText" dxfId="55" priority="55" stopIfTrue="1" operator="containsText" text="ALARM">
      <formula>NOT(ISERROR(SEARCH("ALARM",O585)))</formula>
    </cfRule>
    <cfRule type="containsText" dxfId="54" priority="56" stopIfTrue="1" operator="containsText" text="OK">
      <formula>NOT(ISERROR(SEARCH("OK",O585)))</formula>
    </cfRule>
  </conditionalFormatting>
  <conditionalFormatting sqref="O591:O596">
    <cfRule type="containsText" dxfId="53" priority="53" stopIfTrue="1" operator="containsText" text="ALARM">
      <formula>NOT(ISERROR(SEARCH("ALARM",O591)))</formula>
    </cfRule>
    <cfRule type="containsText" dxfId="52" priority="54" stopIfTrue="1" operator="containsText" text="OK">
      <formula>NOT(ISERROR(SEARCH("OK",O591)))</formula>
    </cfRule>
  </conditionalFormatting>
  <conditionalFormatting sqref="O597:O602">
    <cfRule type="containsText" dxfId="51" priority="51" stopIfTrue="1" operator="containsText" text="ALARM">
      <formula>NOT(ISERROR(SEARCH("ALARM",O597)))</formula>
    </cfRule>
    <cfRule type="containsText" dxfId="50" priority="52" stopIfTrue="1" operator="containsText" text="OK">
      <formula>NOT(ISERROR(SEARCH("OK",O597)))</formula>
    </cfRule>
  </conditionalFormatting>
  <conditionalFormatting sqref="O603:O608">
    <cfRule type="containsText" dxfId="49" priority="49" stopIfTrue="1" operator="containsText" text="ALARM">
      <formula>NOT(ISERROR(SEARCH("ALARM",O603)))</formula>
    </cfRule>
    <cfRule type="containsText" dxfId="48" priority="50" stopIfTrue="1" operator="containsText" text="OK">
      <formula>NOT(ISERROR(SEARCH("OK",O603)))</formula>
    </cfRule>
  </conditionalFormatting>
  <conditionalFormatting sqref="O681:O686">
    <cfRule type="containsText" dxfId="47" priority="47" stopIfTrue="1" operator="containsText" text="ALARM">
      <formula>NOT(ISERROR(SEARCH("ALARM",O681)))</formula>
    </cfRule>
    <cfRule type="containsText" dxfId="46" priority="48" stopIfTrue="1" operator="containsText" text="OK">
      <formula>NOT(ISERROR(SEARCH("OK",O681)))</formula>
    </cfRule>
  </conditionalFormatting>
  <conditionalFormatting sqref="O687:O692">
    <cfRule type="containsText" dxfId="45" priority="45" stopIfTrue="1" operator="containsText" text="ALARM">
      <formula>NOT(ISERROR(SEARCH("ALARM",O687)))</formula>
    </cfRule>
    <cfRule type="containsText" dxfId="44" priority="46" stopIfTrue="1" operator="containsText" text="OK">
      <formula>NOT(ISERROR(SEARCH("OK",O687)))</formula>
    </cfRule>
  </conditionalFormatting>
  <conditionalFormatting sqref="O693:O698">
    <cfRule type="containsText" dxfId="43" priority="43" stopIfTrue="1" operator="containsText" text="ALARM">
      <formula>NOT(ISERROR(SEARCH("ALARM",O693)))</formula>
    </cfRule>
    <cfRule type="containsText" dxfId="42" priority="44" stopIfTrue="1" operator="containsText" text="OK">
      <formula>NOT(ISERROR(SEARCH("OK",O693)))</formula>
    </cfRule>
  </conditionalFormatting>
  <conditionalFormatting sqref="O699:O704">
    <cfRule type="containsText" dxfId="41" priority="41" stopIfTrue="1" operator="containsText" text="ALARM">
      <formula>NOT(ISERROR(SEARCH("ALARM",O699)))</formula>
    </cfRule>
    <cfRule type="containsText" dxfId="40" priority="42" stopIfTrue="1" operator="containsText" text="OK">
      <formula>NOT(ISERROR(SEARCH("OK",O699)))</formula>
    </cfRule>
  </conditionalFormatting>
  <conditionalFormatting sqref="O609:O614">
    <cfRule type="containsText" dxfId="39" priority="39" stopIfTrue="1" operator="containsText" text="ALARM">
      <formula>NOT(ISERROR(SEARCH("ALARM",O609)))</formula>
    </cfRule>
    <cfRule type="containsText" dxfId="38" priority="40" stopIfTrue="1" operator="containsText" text="OK">
      <formula>NOT(ISERROR(SEARCH("OK",O609)))</formula>
    </cfRule>
  </conditionalFormatting>
  <conditionalFormatting sqref="O615:O620">
    <cfRule type="containsText" dxfId="37" priority="37" stopIfTrue="1" operator="containsText" text="ALARM">
      <formula>NOT(ISERROR(SEARCH("ALARM",O615)))</formula>
    </cfRule>
    <cfRule type="containsText" dxfId="36" priority="38" stopIfTrue="1" operator="containsText" text="OK">
      <formula>NOT(ISERROR(SEARCH("OK",O615)))</formula>
    </cfRule>
  </conditionalFormatting>
  <conditionalFormatting sqref="O621:O626">
    <cfRule type="containsText" dxfId="35" priority="35" stopIfTrue="1" operator="containsText" text="ALARM">
      <formula>NOT(ISERROR(SEARCH("ALARM",O621)))</formula>
    </cfRule>
    <cfRule type="containsText" dxfId="34" priority="36" stopIfTrue="1" operator="containsText" text="OK">
      <formula>NOT(ISERROR(SEARCH("OK",O621)))</formula>
    </cfRule>
  </conditionalFormatting>
  <conditionalFormatting sqref="O627:O632">
    <cfRule type="containsText" dxfId="33" priority="33" stopIfTrue="1" operator="containsText" text="ALARM">
      <formula>NOT(ISERROR(SEARCH("ALARM",O627)))</formula>
    </cfRule>
    <cfRule type="containsText" dxfId="32" priority="34" stopIfTrue="1" operator="containsText" text="OK">
      <formula>NOT(ISERROR(SEARCH("OK",O627)))</formula>
    </cfRule>
  </conditionalFormatting>
  <conditionalFormatting sqref="O657:O662">
    <cfRule type="containsText" dxfId="31" priority="31" stopIfTrue="1" operator="containsText" text="ALARM">
      <formula>NOT(ISERROR(SEARCH("ALARM",O657)))</formula>
    </cfRule>
    <cfRule type="containsText" dxfId="30" priority="32" stopIfTrue="1" operator="containsText" text="OK">
      <formula>NOT(ISERROR(SEARCH("OK",O657)))</formula>
    </cfRule>
  </conditionalFormatting>
  <conditionalFormatting sqref="O663:O668">
    <cfRule type="containsText" dxfId="29" priority="29" stopIfTrue="1" operator="containsText" text="ALARM">
      <formula>NOT(ISERROR(SEARCH("ALARM",O663)))</formula>
    </cfRule>
    <cfRule type="containsText" dxfId="28" priority="30" stopIfTrue="1" operator="containsText" text="OK">
      <formula>NOT(ISERROR(SEARCH("OK",O663)))</formula>
    </cfRule>
  </conditionalFormatting>
  <conditionalFormatting sqref="O669:O674">
    <cfRule type="containsText" dxfId="27" priority="27" stopIfTrue="1" operator="containsText" text="ALARM">
      <formula>NOT(ISERROR(SEARCH("ALARM",O669)))</formula>
    </cfRule>
    <cfRule type="containsText" dxfId="26" priority="28" stopIfTrue="1" operator="containsText" text="OK">
      <formula>NOT(ISERROR(SEARCH("OK",O669)))</formula>
    </cfRule>
  </conditionalFormatting>
  <conditionalFormatting sqref="O675:O680">
    <cfRule type="containsText" dxfId="25" priority="25" stopIfTrue="1" operator="containsText" text="ALARM">
      <formula>NOT(ISERROR(SEARCH("ALARM",O675)))</formula>
    </cfRule>
    <cfRule type="containsText" dxfId="24" priority="26" stopIfTrue="1" operator="containsText" text="OK">
      <formula>NOT(ISERROR(SEARCH("OK",O675)))</formula>
    </cfRule>
  </conditionalFormatting>
  <conditionalFormatting sqref="O633:O638">
    <cfRule type="containsText" dxfId="23" priority="23" stopIfTrue="1" operator="containsText" text="ALARM">
      <formula>NOT(ISERROR(SEARCH("ALARM",O633)))</formula>
    </cfRule>
    <cfRule type="containsText" dxfId="22" priority="24" stopIfTrue="1" operator="containsText" text="OK">
      <formula>NOT(ISERROR(SEARCH("OK",O633)))</formula>
    </cfRule>
  </conditionalFormatting>
  <conditionalFormatting sqref="O639:O644">
    <cfRule type="containsText" dxfId="21" priority="21" stopIfTrue="1" operator="containsText" text="ALARM">
      <formula>NOT(ISERROR(SEARCH("ALARM",O639)))</formula>
    </cfRule>
    <cfRule type="containsText" dxfId="20" priority="22" stopIfTrue="1" operator="containsText" text="OK">
      <formula>NOT(ISERROR(SEARCH("OK",O639)))</formula>
    </cfRule>
  </conditionalFormatting>
  <conditionalFormatting sqref="O645:O650">
    <cfRule type="containsText" dxfId="19" priority="19" stopIfTrue="1" operator="containsText" text="ALARM">
      <formula>NOT(ISERROR(SEARCH("ALARM",O645)))</formula>
    </cfRule>
    <cfRule type="containsText" dxfId="18" priority="20" stopIfTrue="1" operator="containsText" text="OK">
      <formula>NOT(ISERROR(SEARCH("OK",O645)))</formula>
    </cfRule>
  </conditionalFormatting>
  <conditionalFormatting sqref="O651:O656">
    <cfRule type="containsText" dxfId="17" priority="17" stopIfTrue="1" operator="containsText" text="ALARM">
      <formula>NOT(ISERROR(SEARCH("ALARM",O651)))</formula>
    </cfRule>
    <cfRule type="containsText" dxfId="16" priority="18" stopIfTrue="1" operator="containsText" text="OK">
      <formula>NOT(ISERROR(SEARCH("OK",O651)))</formula>
    </cfRule>
  </conditionalFormatting>
  <conditionalFormatting sqref="O705:O710">
    <cfRule type="containsText" dxfId="15" priority="15" stopIfTrue="1" operator="containsText" text="ALARM">
      <formula>NOT(ISERROR(SEARCH("ALARM",O705)))</formula>
    </cfRule>
    <cfRule type="containsText" dxfId="14" priority="16" stopIfTrue="1" operator="containsText" text="OK">
      <formula>NOT(ISERROR(SEARCH("OK",O705)))</formula>
    </cfRule>
  </conditionalFormatting>
  <conditionalFormatting sqref="O711:O716">
    <cfRule type="containsText" dxfId="13" priority="13" stopIfTrue="1" operator="containsText" text="ALARM">
      <formula>NOT(ISERROR(SEARCH("ALARM",O711)))</formula>
    </cfRule>
    <cfRule type="containsText" dxfId="12" priority="14" stopIfTrue="1" operator="containsText" text="OK">
      <formula>NOT(ISERROR(SEARCH("OK",O711)))</formula>
    </cfRule>
  </conditionalFormatting>
  <conditionalFormatting sqref="O717:O722">
    <cfRule type="containsText" dxfId="11" priority="11" stopIfTrue="1" operator="containsText" text="ALARM">
      <formula>NOT(ISERROR(SEARCH("ALARM",O717)))</formula>
    </cfRule>
    <cfRule type="containsText" dxfId="10" priority="12" stopIfTrue="1" operator="containsText" text="OK">
      <formula>NOT(ISERROR(SEARCH("OK",O717)))</formula>
    </cfRule>
  </conditionalFormatting>
  <conditionalFormatting sqref="O723:O728">
    <cfRule type="containsText" dxfId="9" priority="9" stopIfTrue="1" operator="containsText" text="ALARM">
      <formula>NOT(ISERROR(SEARCH("ALARM",O723)))</formula>
    </cfRule>
    <cfRule type="containsText" dxfId="8" priority="10" stopIfTrue="1" operator="containsText" text="OK">
      <formula>NOT(ISERROR(SEARCH("OK",O723)))</formula>
    </cfRule>
  </conditionalFormatting>
  <conditionalFormatting sqref="O729:O734">
    <cfRule type="containsText" dxfId="7" priority="7" stopIfTrue="1" operator="containsText" text="ALARM">
      <formula>NOT(ISERROR(SEARCH("ALARM",O729)))</formula>
    </cfRule>
    <cfRule type="containsText" dxfId="6" priority="8" stopIfTrue="1" operator="containsText" text="OK">
      <formula>NOT(ISERROR(SEARCH("OK",O729)))</formula>
    </cfRule>
  </conditionalFormatting>
  <conditionalFormatting sqref="O735:O740">
    <cfRule type="containsText" dxfId="5" priority="5" stopIfTrue="1" operator="containsText" text="ALARM">
      <formula>NOT(ISERROR(SEARCH("ALARM",O735)))</formula>
    </cfRule>
    <cfRule type="containsText" dxfId="4" priority="6" stopIfTrue="1" operator="containsText" text="OK">
      <formula>NOT(ISERROR(SEARCH("OK",O735)))</formula>
    </cfRule>
  </conditionalFormatting>
  <conditionalFormatting sqref="O741:O746">
    <cfRule type="containsText" dxfId="3" priority="3" stopIfTrue="1" operator="containsText" text="ALARM">
      <formula>NOT(ISERROR(SEARCH("ALARM",O741)))</formula>
    </cfRule>
    <cfRule type="containsText" dxfId="2" priority="4" stopIfTrue="1" operator="containsText" text="OK">
      <formula>NOT(ISERROR(SEARCH("OK",O741)))</formula>
    </cfRule>
  </conditionalFormatting>
  <conditionalFormatting sqref="O747:O752">
    <cfRule type="containsText" dxfId="1" priority="1" stopIfTrue="1" operator="containsText" text="ALARM">
      <formula>NOT(ISERROR(SEARCH("ALARM",O747)))</formula>
    </cfRule>
    <cfRule type="containsText" dxfId="0" priority="2" stopIfTrue="1" operator="containsText" text="OK">
      <formula>NOT(ISERROR(SEARCH("OK",O747)))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workbookViewId="0">
      <selection sqref="A1:I1"/>
    </sheetView>
  </sheetViews>
  <sheetFormatPr defaultRowHeight="15" x14ac:dyDescent="0.25"/>
  <cols>
    <col min="1" max="1" width="7.5703125" customWidth="1"/>
    <col min="2" max="2" width="9.7109375" customWidth="1"/>
    <col min="3" max="3" width="16.5703125" customWidth="1"/>
    <col min="4" max="4" width="8.85546875" customWidth="1"/>
    <col min="5" max="5" width="8.5703125" customWidth="1"/>
    <col min="6" max="6" width="9.7109375" customWidth="1"/>
    <col min="7" max="7" width="16.5703125" customWidth="1"/>
    <col min="8" max="8" width="8.85546875" customWidth="1"/>
    <col min="9" max="9" width="8.5703125" customWidth="1"/>
  </cols>
  <sheetData>
    <row r="1" spans="1:9" ht="18.75" customHeight="1" x14ac:dyDescent="0.3">
      <c r="A1" s="266" t="s">
        <v>160</v>
      </c>
      <c r="B1" s="266"/>
      <c r="C1" s="266"/>
      <c r="D1" s="266"/>
      <c r="E1" s="266"/>
      <c r="F1" s="266"/>
      <c r="G1" s="266"/>
      <c r="H1" s="266"/>
      <c r="I1" s="266"/>
    </row>
    <row r="2" spans="1:9" ht="12.75" customHeight="1" x14ac:dyDescent="0.25">
      <c r="A2" s="267"/>
      <c r="B2" s="1"/>
      <c r="C2" s="1"/>
      <c r="D2" s="1"/>
      <c r="E2" s="1"/>
      <c r="F2" s="1"/>
      <c r="G2" s="1"/>
      <c r="H2" s="1"/>
      <c r="I2" s="1"/>
    </row>
    <row r="3" spans="1:9" ht="18.75" customHeight="1" x14ac:dyDescent="0.25">
      <c r="A3" s="1"/>
      <c r="B3" s="268" t="s">
        <v>126</v>
      </c>
      <c r="C3" s="269">
        <v>42309</v>
      </c>
      <c r="D3" s="270"/>
      <c r="E3" s="271"/>
      <c r="F3" s="268" t="s">
        <v>127</v>
      </c>
      <c r="G3" s="272" t="s">
        <v>161</v>
      </c>
      <c r="H3" s="272"/>
      <c r="I3" s="1"/>
    </row>
    <row r="4" spans="1:9" ht="18.75" customHeight="1" x14ac:dyDescent="0.25">
      <c r="A4" s="1"/>
      <c r="B4" s="268" t="s">
        <v>129</v>
      </c>
      <c r="C4" s="273">
        <v>42309</v>
      </c>
      <c r="D4" s="274"/>
      <c r="E4" s="271"/>
      <c r="F4" s="268" t="s">
        <v>130</v>
      </c>
      <c r="G4" s="275" t="s">
        <v>162</v>
      </c>
      <c r="H4" s="275"/>
      <c r="I4" s="1"/>
    </row>
    <row r="5" spans="1:9" ht="19.5" customHeight="1" x14ac:dyDescent="0.25">
      <c r="A5" s="1"/>
      <c r="B5" s="268" t="s">
        <v>132</v>
      </c>
      <c r="C5" s="276">
        <v>22011</v>
      </c>
      <c r="D5" s="277"/>
      <c r="E5" s="271"/>
      <c r="F5" s="268" t="s">
        <v>163</v>
      </c>
      <c r="G5" s="278" t="s">
        <v>9</v>
      </c>
      <c r="H5" s="278"/>
      <c r="I5" s="1"/>
    </row>
    <row r="6" spans="1:9" ht="18.75" customHeight="1" x14ac:dyDescent="0.25">
      <c r="A6" s="1"/>
      <c r="B6" s="279"/>
      <c r="C6" s="279"/>
      <c r="D6" s="279"/>
      <c r="E6" s="271"/>
      <c r="F6" s="268" t="s">
        <v>133</v>
      </c>
      <c r="G6" s="275"/>
      <c r="H6" s="275"/>
      <c r="I6" s="1"/>
    </row>
    <row r="7" spans="1:9" ht="12.75" customHeight="1" x14ac:dyDescent="0.25">
      <c r="A7" s="271"/>
      <c r="B7" s="271"/>
      <c r="C7" s="271"/>
      <c r="D7" s="271"/>
      <c r="E7" s="271"/>
      <c r="F7" s="271"/>
      <c r="G7" s="271"/>
      <c r="H7" s="271"/>
      <c r="I7" s="271"/>
    </row>
    <row r="8" spans="1:9" ht="12.75" customHeight="1" x14ac:dyDescent="0.25">
      <c r="A8" s="271" t="s">
        <v>164</v>
      </c>
      <c r="B8" s="271" t="s">
        <v>165</v>
      </c>
      <c r="C8" s="271"/>
      <c r="D8" s="271"/>
      <c r="E8" s="271"/>
      <c r="F8" s="271"/>
      <c r="G8" s="271"/>
      <c r="H8" s="271"/>
      <c r="I8" s="271"/>
    </row>
    <row r="9" spans="1:9" ht="15.75" customHeight="1" x14ac:dyDescent="0.3">
      <c r="A9" s="271"/>
      <c r="B9" s="271" t="s">
        <v>166</v>
      </c>
      <c r="C9" s="271"/>
      <c r="D9" s="271"/>
      <c r="E9" s="271"/>
      <c r="F9" s="271"/>
      <c r="G9" s="271"/>
      <c r="H9" s="271"/>
      <c r="I9" s="271"/>
    </row>
    <row r="10" spans="1:9" ht="15" customHeight="1" thickBot="1" x14ac:dyDescent="0.3">
      <c r="A10" s="271"/>
      <c r="B10" s="271"/>
      <c r="C10" s="280"/>
      <c r="D10" s="271"/>
      <c r="E10" s="271"/>
      <c r="F10" s="271"/>
      <c r="G10" s="271"/>
      <c r="H10" s="271"/>
      <c r="I10" s="271"/>
    </row>
    <row r="11" spans="1:9" ht="13.5" customHeight="1" thickTop="1" x14ac:dyDescent="0.25">
      <c r="A11" s="279"/>
      <c r="B11" s="281"/>
      <c r="C11" s="282" t="s">
        <v>167</v>
      </c>
      <c r="D11" s="283"/>
      <c r="E11" s="284"/>
      <c r="F11" s="281"/>
      <c r="G11" s="282" t="s">
        <v>167</v>
      </c>
      <c r="H11" s="283"/>
      <c r="I11" s="284"/>
    </row>
    <row r="12" spans="1:9" ht="15.75" customHeight="1" x14ac:dyDescent="0.3">
      <c r="A12" s="279"/>
      <c r="B12" s="285"/>
      <c r="C12" s="286" t="s">
        <v>168</v>
      </c>
      <c r="D12" s="287" t="s">
        <v>169</v>
      </c>
      <c r="E12" s="288"/>
      <c r="F12" s="285"/>
      <c r="G12" s="286" t="s">
        <v>168</v>
      </c>
      <c r="H12" s="287" t="s">
        <v>169</v>
      </c>
      <c r="I12" s="288"/>
    </row>
    <row r="13" spans="1:9" ht="13.5" customHeight="1" thickBot="1" x14ac:dyDescent="0.3">
      <c r="A13" s="279"/>
      <c r="B13" s="285" t="s">
        <v>23</v>
      </c>
      <c r="C13" s="286" t="s">
        <v>170</v>
      </c>
      <c r="D13" s="289" t="s">
        <v>171</v>
      </c>
      <c r="E13" s="288"/>
      <c r="F13" s="285" t="s">
        <v>23</v>
      </c>
      <c r="G13" s="286" t="s">
        <v>170</v>
      </c>
      <c r="H13" s="289" t="s">
        <v>172</v>
      </c>
      <c r="I13" s="288"/>
    </row>
    <row r="14" spans="1:9" ht="13.5" customHeight="1" thickTop="1" x14ac:dyDescent="0.25">
      <c r="A14" s="279"/>
      <c r="B14" s="290">
        <f>'Operational Worksheet'!B9</f>
        <v>42309</v>
      </c>
      <c r="C14" s="291">
        <v>2.228571891784668</v>
      </c>
      <c r="D14" s="292">
        <f>'Sequence 1'!I17+'Sequence 2'!I17</f>
        <v>10.799646801371704</v>
      </c>
      <c r="E14" s="293"/>
      <c r="F14" s="290">
        <f>B28+1</f>
        <v>42324</v>
      </c>
      <c r="G14" s="291">
        <v>2.407390832901001</v>
      </c>
      <c r="H14" s="292">
        <f>'Sequence 1'!I32+'Sequence 2'!I32</f>
        <v>6.6959291145933726</v>
      </c>
      <c r="I14" s="293"/>
    </row>
    <row r="15" spans="1:9" ht="12.75" customHeight="1" x14ac:dyDescent="0.25">
      <c r="A15" s="279"/>
      <c r="B15" s="294">
        <f>B14+1</f>
        <v>42310</v>
      </c>
      <c r="C15" s="295">
        <v>2.2904253005981445</v>
      </c>
      <c r="D15" s="296">
        <f>'Sequence 1'!I18+'Sequence 2'!I18</f>
        <v>7.9753712329596667</v>
      </c>
      <c r="E15" s="297"/>
      <c r="F15" s="294">
        <f>F14+1</f>
        <v>42325</v>
      </c>
      <c r="G15" s="295">
        <v>2.4625027179718018</v>
      </c>
      <c r="H15" s="296">
        <f>'Sequence 1'!I33+'Sequence 2'!I33</f>
        <v>6.3715811619305116</v>
      </c>
      <c r="I15" s="297"/>
    </row>
    <row r="16" spans="1:9" ht="12.75" customHeight="1" x14ac:dyDescent="0.25">
      <c r="A16" s="279"/>
      <c r="B16" s="294">
        <f>B15+1</f>
        <v>42311</v>
      </c>
      <c r="C16" s="295">
        <v>2.01582932472229</v>
      </c>
      <c r="D16" s="296">
        <f>'Sequence 1'!I19+'Sequence 2'!I19</f>
        <v>11.440171203913202</v>
      </c>
      <c r="E16" s="297"/>
      <c r="F16" s="294">
        <f>F15+1</f>
        <v>42326</v>
      </c>
      <c r="G16" s="295">
        <v>2.6068634986877441</v>
      </c>
      <c r="H16" s="296">
        <f>'Sequence 1'!I34+'Sequence 2'!I34</f>
        <v>6.4138671890366492</v>
      </c>
      <c r="I16" s="297"/>
    </row>
    <row r="17" spans="1:9" ht="12.75" customHeight="1" x14ac:dyDescent="0.25">
      <c r="A17" s="279"/>
      <c r="B17" s="294">
        <f>B16+1</f>
        <v>42312</v>
      </c>
      <c r="C17" s="295">
        <v>2.2286787033081055</v>
      </c>
      <c r="D17" s="296">
        <f>'Sequence 1'!I20+'Sequence 2'!I20</f>
        <v>11.132880746802051</v>
      </c>
      <c r="E17" s="297"/>
      <c r="F17" s="294">
        <f>F16+1</f>
        <v>42327</v>
      </c>
      <c r="G17" s="295">
        <v>2.3731467723846436</v>
      </c>
      <c r="H17" s="296">
        <f>'Sequence 1'!I35+'Sequence 2'!I35</f>
        <v>6.5181200522077294</v>
      </c>
      <c r="I17" s="297"/>
    </row>
    <row r="18" spans="1:9" ht="12.75" customHeight="1" x14ac:dyDescent="0.25">
      <c r="A18" s="279"/>
      <c r="B18" s="294">
        <f>B17+1</f>
        <v>42313</v>
      </c>
      <c r="C18" s="295">
        <v>2.2493324279785156</v>
      </c>
      <c r="D18" s="296">
        <f>'Sequence 1'!I21+'Sequence 2'!I21</f>
        <v>9.9117963737424262</v>
      </c>
      <c r="E18" s="297"/>
      <c r="F18" s="294">
        <f>F17+1</f>
        <v>42328</v>
      </c>
      <c r="G18" s="295">
        <v>2.3521721363067627</v>
      </c>
      <c r="H18" s="296">
        <f>'Sequence 1'!I36+'Sequence 2'!I36</f>
        <v>5.8898441032863627</v>
      </c>
      <c r="I18" s="297"/>
    </row>
    <row r="19" spans="1:9" ht="12.75" customHeight="1" x14ac:dyDescent="0.25">
      <c r="A19" s="279"/>
      <c r="B19" s="294">
        <f>B18+1</f>
        <v>42314</v>
      </c>
      <c r="C19" s="295">
        <v>2.2834694385528564</v>
      </c>
      <c r="D19" s="296">
        <f>'Sequence 1'!I22+'Sequence 2'!I22</f>
        <v>8.0802364446332913</v>
      </c>
      <c r="E19" s="297"/>
      <c r="F19" s="294">
        <f>F18+1</f>
        <v>42329</v>
      </c>
      <c r="G19" s="295">
        <v>2.1669321060180664</v>
      </c>
      <c r="H19" s="296">
        <f>'Sequence 1'!I37+'Sequence 2'!I37</f>
        <v>5.5362009256412907</v>
      </c>
      <c r="I19" s="297"/>
    </row>
    <row r="20" spans="1:9" ht="12.75" customHeight="1" x14ac:dyDescent="0.25">
      <c r="A20" s="279"/>
      <c r="B20" s="294">
        <f>B19+1</f>
        <v>42315</v>
      </c>
      <c r="C20" s="295">
        <v>2.30401611328125</v>
      </c>
      <c r="D20" s="296">
        <f>'Sequence 1'!I23+'Sequence 2'!I23</f>
        <v>7.6757356418533931</v>
      </c>
      <c r="E20" s="297"/>
      <c r="F20" s="294">
        <f>F19+1</f>
        <v>42330</v>
      </c>
      <c r="G20" s="295">
        <v>2.3590207099914551</v>
      </c>
      <c r="H20" s="296">
        <f>'Sequence 1'!I38+'Sequence 2'!I38</f>
        <v>5.1003914219960436</v>
      </c>
      <c r="I20" s="297"/>
    </row>
    <row r="21" spans="1:9" ht="12.75" customHeight="1" x14ac:dyDescent="0.25">
      <c r="A21" s="279"/>
      <c r="B21" s="294">
        <f>B20+1</f>
        <v>42316</v>
      </c>
      <c r="C21" s="295">
        <v>2.0638785362243652</v>
      </c>
      <c r="D21" s="296">
        <f>'Sequence 1'!I24+'Sequence 2'!I24</f>
        <v>6.9586294181504647</v>
      </c>
      <c r="E21" s="297"/>
      <c r="F21" s="294">
        <f>F20+1</f>
        <v>42331</v>
      </c>
      <c r="G21" s="295">
        <v>2.1877999305725098</v>
      </c>
      <c r="H21" s="296">
        <f>'Sequence 1'!I39+'Sequence 2'!I39</f>
        <v>5.5684961012701963</v>
      </c>
      <c r="I21" s="297"/>
    </row>
    <row r="22" spans="1:9" ht="12.75" customHeight="1" x14ac:dyDescent="0.25">
      <c r="A22" s="279"/>
      <c r="B22" s="294">
        <f>B21+1</f>
        <v>42317</v>
      </c>
      <c r="C22" s="295">
        <v>2.2356345653533936</v>
      </c>
      <c r="D22" s="296">
        <f>'Sequence 1'!I25+'Sequence 2'!I25</f>
        <v>7.7266064722396246</v>
      </c>
      <c r="E22" s="297"/>
      <c r="F22" s="294">
        <f>F21+1</f>
        <v>42332</v>
      </c>
      <c r="G22" s="295">
        <v>2.373039722442627</v>
      </c>
      <c r="H22" s="296">
        <f>'Sequence 1'!I40+'Sequence 2'!I40</f>
        <v>6.197092701132024</v>
      </c>
      <c r="I22" s="297"/>
    </row>
    <row r="23" spans="1:9" ht="12.75" customHeight="1" x14ac:dyDescent="0.25">
      <c r="A23" s="279"/>
      <c r="B23" s="294">
        <f>B22+1</f>
        <v>42318</v>
      </c>
      <c r="C23" s="295">
        <v>2.2014973163604736</v>
      </c>
      <c r="D23" s="296">
        <f>'Sequence 1'!I26+'Sequence 2'!I26</f>
        <v>7.1636821886485951</v>
      </c>
      <c r="E23" s="297"/>
      <c r="F23" s="294">
        <f>F22+1</f>
        <v>42333</v>
      </c>
      <c r="G23" s="295">
        <v>2.2426974773406982</v>
      </c>
      <c r="H23" s="296">
        <f>'Sequence 1'!I41+'Sequence 2'!I41</f>
        <v>5.438344259432677</v>
      </c>
      <c r="I23" s="297"/>
    </row>
    <row r="24" spans="1:9" ht="12.75" customHeight="1" x14ac:dyDescent="0.25">
      <c r="A24" s="279"/>
      <c r="B24" s="294">
        <f>B23+1</f>
        <v>42319</v>
      </c>
      <c r="C24" s="295">
        <v>2.4897909164428711</v>
      </c>
      <c r="D24" s="296">
        <f>'Sequence 1'!I27+'Sequence 2'!I27</f>
        <v>6.4075537549833124</v>
      </c>
      <c r="E24" s="297"/>
      <c r="F24" s="294">
        <f>F23+1</f>
        <v>42334</v>
      </c>
      <c r="G24" s="295">
        <v>2.2358486652374268</v>
      </c>
      <c r="H24" s="296">
        <f>'Sequence 1'!I42+'Sequence 2'!I42</f>
        <v>4.5047273187855543</v>
      </c>
      <c r="I24" s="297"/>
    </row>
    <row r="25" spans="1:9" ht="12.75" customHeight="1" x14ac:dyDescent="0.25">
      <c r="A25" s="279"/>
      <c r="B25" s="294">
        <f>B24+1</f>
        <v>42320</v>
      </c>
      <c r="C25" s="295">
        <v>2.5103375911712646</v>
      </c>
      <c r="D25" s="296">
        <f>'Sequence 1'!I28+'Sequence 2'!I28</f>
        <v>6.0784757430585676</v>
      </c>
      <c r="E25" s="297"/>
      <c r="F25" s="294">
        <f>F24+1</f>
        <v>42335</v>
      </c>
      <c r="G25" s="295">
        <v>2.3521721363067627</v>
      </c>
      <c r="H25" s="296">
        <f>'Sequence 1'!I43+'Sequence 2'!I43</f>
        <v>4.0573293372058989</v>
      </c>
      <c r="I25" s="297"/>
    </row>
    <row r="26" spans="1:9" ht="12.75" customHeight="1" x14ac:dyDescent="0.25">
      <c r="A26" s="279"/>
      <c r="B26" s="294">
        <f>B25+1</f>
        <v>42321</v>
      </c>
      <c r="C26" s="295">
        <v>2.4832632541656494</v>
      </c>
      <c r="D26" s="296">
        <f>'Sequence 1'!I29+'Sequence 2'!I29</f>
        <v>5.8377637938538163</v>
      </c>
      <c r="E26" s="297"/>
      <c r="F26" s="294">
        <f>F25+1</f>
        <v>42336</v>
      </c>
      <c r="G26" s="295">
        <v>2.2974882125854492</v>
      </c>
      <c r="H26" s="296">
        <f>'Sequence 1'!I44+'Sequence 2'!I44</f>
        <v>3.9942318900107048</v>
      </c>
      <c r="I26" s="297"/>
    </row>
    <row r="27" spans="1:9" ht="15.75" customHeight="1" x14ac:dyDescent="0.25">
      <c r="A27" s="279"/>
      <c r="B27" s="294">
        <f>B26+1</f>
        <v>42322</v>
      </c>
      <c r="C27" s="295">
        <v>2.2217228412628174</v>
      </c>
      <c r="D27" s="296">
        <f>'Sequence 1'!I30+'Sequence 2'!I30</f>
        <v>5.4365200708387791</v>
      </c>
      <c r="E27" s="297"/>
      <c r="F27" s="294">
        <f>IF('EPA Monthly Summary'!F5&lt;&gt;2,F26+1,"")</f>
        <v>42337</v>
      </c>
      <c r="G27" s="295">
        <v>2.084317684173584</v>
      </c>
      <c r="H27" s="296">
        <f>IF('EPA Monthly Summary'!F5&lt;&gt;2,'Sequence 1'!I45+'Sequence 2'!I45,"")</f>
        <v>3.7090167407022516</v>
      </c>
      <c r="I27" s="297"/>
    </row>
    <row r="28" spans="1:9" ht="13.5" customHeight="1" thickBot="1" x14ac:dyDescent="0.3">
      <c r="A28" s="279"/>
      <c r="B28" s="298">
        <f>B27+1</f>
        <v>42323</v>
      </c>
      <c r="C28" s="295">
        <v>2.3591279983520508</v>
      </c>
      <c r="D28" s="299">
        <f>'Sequence 1'!I31+'Sequence 2'!I31</f>
        <v>6.7471373181557102</v>
      </c>
      <c r="E28" s="300"/>
      <c r="F28" s="294">
        <f>IF('EPA Monthly Summary'!F5&lt;&gt;2,F27+1,"")</f>
        <v>42338</v>
      </c>
      <c r="G28" s="295">
        <v>2.4966397285461426</v>
      </c>
      <c r="H28" s="296">
        <f>IF('EPA Monthly Summary'!F5&lt;&gt;2,'Sequence 1'!I46+'Sequence 2'!I46,"")</f>
        <v>4.170606910524759</v>
      </c>
      <c r="I28" s="297"/>
    </row>
    <row r="29" spans="1:9" ht="15.75" customHeight="1" thickTop="1" thickBot="1" x14ac:dyDescent="0.3">
      <c r="A29" s="279"/>
      <c r="B29" s="301"/>
      <c r="C29" s="302"/>
      <c r="D29" s="302"/>
      <c r="E29" s="303"/>
      <c r="F29" s="304" t="str">
        <f>IF(OR('EPA Monthly Summary'!F5=1,'EPA Monthly Summary'!F5=3,'EPA Monthly Summary'!F5=5,'EPA Monthly Summary'!F5=7,'EPA Monthly Summary'!F5=8, 'EPA Monthly Summary'!F5=10, 'EPA Monthly Summary'!F5=12),F28+1,"")</f>
        <v/>
      </c>
      <c r="G29" s="295" t="s">
        <v>38</v>
      </c>
      <c r="H29" s="305" t="str">
        <f>IF(OR('EPA Monthly Summary'!F5=1,'EPA Monthly Summary'!F5=3,'EPA Monthly Summary'!F5=5,'EPA Monthly Summary'!F5=7,'EPA Monthly Summary'!F5=8, 'EPA Monthly Summary'!F5=10, 'EPA Monthly Summary'!F5=12),'Sequence 1'!I47+'Sequence 2'!I47,"")</f>
        <v/>
      </c>
      <c r="I29" s="300"/>
    </row>
    <row r="30" spans="1:9" ht="13.5" customHeight="1" thickTop="1" x14ac:dyDescent="0.25">
      <c r="A30" s="279"/>
      <c r="B30" s="279"/>
      <c r="C30" s="279"/>
      <c r="D30" s="279"/>
      <c r="E30" s="279"/>
      <c r="F30" s="279"/>
      <c r="G30" s="279"/>
      <c r="H30" s="279"/>
      <c r="I30" s="279"/>
    </row>
    <row r="31" spans="1:9" ht="12.75" customHeight="1" x14ac:dyDescent="0.25">
      <c r="A31" s="279" t="s">
        <v>173</v>
      </c>
      <c r="B31" s="279" t="s">
        <v>174</v>
      </c>
      <c r="C31" s="279"/>
      <c r="D31" s="279"/>
      <c r="E31" s="279"/>
      <c r="F31" s="279"/>
      <c r="G31" s="279"/>
      <c r="H31" s="279"/>
      <c r="I31" s="279"/>
    </row>
    <row r="32" spans="1:9" ht="12.75" customHeight="1" x14ac:dyDescent="0.25">
      <c r="A32" s="279"/>
      <c r="B32" s="279" t="s">
        <v>175</v>
      </c>
      <c r="C32" s="279"/>
      <c r="D32" s="279"/>
      <c r="E32" s="279"/>
      <c r="F32" s="279"/>
      <c r="G32" s="279"/>
      <c r="H32" s="279"/>
      <c r="I32" s="279"/>
    </row>
    <row r="33" spans="1:9" ht="12.75" customHeight="1" x14ac:dyDescent="0.25">
      <c r="A33" s="279"/>
      <c r="B33" s="279" t="s">
        <v>176</v>
      </c>
      <c r="C33" s="279"/>
      <c r="D33" s="279"/>
      <c r="E33" s="279"/>
      <c r="F33" s="279"/>
      <c r="G33" s="279"/>
      <c r="H33" s="279"/>
      <c r="I33" s="279"/>
    </row>
    <row r="34" spans="1:9" ht="13.5" customHeight="1" thickBot="1" x14ac:dyDescent="0.3">
      <c r="A34" s="279"/>
      <c r="B34" s="279"/>
      <c r="C34" s="279"/>
      <c r="D34" s="279"/>
      <c r="E34" s="279"/>
      <c r="F34" s="279"/>
      <c r="G34" s="279"/>
      <c r="H34" s="279"/>
      <c r="I34" s="279"/>
    </row>
    <row r="35" spans="1:9" ht="13.5" customHeight="1" thickTop="1" x14ac:dyDescent="0.25">
      <c r="A35" s="279"/>
      <c r="B35" s="281"/>
      <c r="C35" s="306" t="s">
        <v>177</v>
      </c>
      <c r="D35" s="307"/>
      <c r="E35" s="283" t="s">
        <v>178</v>
      </c>
      <c r="F35" s="308"/>
      <c r="G35" s="306"/>
      <c r="H35" s="283"/>
      <c r="I35" s="284"/>
    </row>
    <row r="36" spans="1:9" ht="12.75" customHeight="1" x14ac:dyDescent="0.25">
      <c r="A36" s="279"/>
      <c r="B36" s="285" t="s">
        <v>23</v>
      </c>
      <c r="C36" s="309" t="s">
        <v>179</v>
      </c>
      <c r="D36" s="310" t="s">
        <v>180</v>
      </c>
      <c r="E36" s="287" t="s">
        <v>169</v>
      </c>
      <c r="F36" s="311"/>
      <c r="G36" s="309" t="s">
        <v>181</v>
      </c>
      <c r="H36" s="287" t="s">
        <v>182</v>
      </c>
      <c r="I36" s="288"/>
    </row>
    <row r="37" spans="1:9" ht="13.5" customHeight="1" thickBot="1" x14ac:dyDescent="0.3">
      <c r="A37" s="279"/>
      <c r="B37" s="312"/>
      <c r="C37" s="313" t="s">
        <v>183</v>
      </c>
      <c r="D37" s="314" t="s">
        <v>184</v>
      </c>
      <c r="E37" s="315" t="s">
        <v>185</v>
      </c>
      <c r="F37" s="316"/>
      <c r="G37" s="313" t="s">
        <v>186</v>
      </c>
      <c r="H37" s="315" t="s">
        <v>187</v>
      </c>
      <c r="I37" s="317"/>
    </row>
    <row r="38" spans="1:9" ht="13.5" customHeight="1" thickTop="1" x14ac:dyDescent="0.25">
      <c r="A38" s="279"/>
      <c r="B38" s="318"/>
      <c r="C38" s="319" t="s">
        <v>188</v>
      </c>
      <c r="D38" s="320"/>
      <c r="E38" s="321"/>
      <c r="F38" s="322"/>
      <c r="G38" s="323"/>
      <c r="H38" s="324"/>
      <c r="I38" s="325"/>
    </row>
    <row r="39" spans="1:9" ht="12.75" customHeight="1" x14ac:dyDescent="0.25">
      <c r="A39" s="279"/>
      <c r="B39" s="318"/>
      <c r="C39" s="319" t="s">
        <v>188</v>
      </c>
      <c r="D39" s="326"/>
      <c r="E39" s="327"/>
      <c r="F39" s="328"/>
      <c r="G39" s="329"/>
      <c r="H39" s="330"/>
      <c r="I39" s="331"/>
    </row>
    <row r="40" spans="1:9" ht="12.75" customHeight="1" x14ac:dyDescent="0.25">
      <c r="A40" s="279"/>
      <c r="B40" s="318"/>
      <c r="C40" s="319" t="s">
        <v>188</v>
      </c>
      <c r="D40" s="326"/>
      <c r="E40" s="327"/>
      <c r="F40" s="328"/>
      <c r="G40" s="329"/>
      <c r="H40" s="330"/>
      <c r="I40" s="331"/>
    </row>
    <row r="41" spans="1:9" ht="13.5" customHeight="1" thickBot="1" x14ac:dyDescent="0.3">
      <c r="A41" s="279"/>
      <c r="B41" s="332"/>
      <c r="C41" s="333" t="s">
        <v>188</v>
      </c>
      <c r="D41" s="334"/>
      <c r="E41" s="335"/>
      <c r="F41" s="336"/>
      <c r="G41" s="337"/>
      <c r="H41" s="338"/>
      <c r="I41" s="339"/>
    </row>
    <row r="42" spans="1:9" ht="13.5" customHeight="1" thickTop="1" x14ac:dyDescent="0.25">
      <c r="A42" s="279"/>
      <c r="B42" s="279"/>
      <c r="C42" s="279"/>
      <c r="D42" s="279"/>
      <c r="E42" s="279"/>
      <c r="F42" s="279"/>
      <c r="G42" s="279"/>
      <c r="H42" s="279"/>
      <c r="I42" s="279"/>
    </row>
    <row r="43" spans="1:9" ht="12.75" customHeight="1" x14ac:dyDescent="0.25">
      <c r="A43" s="279" t="s">
        <v>189</v>
      </c>
      <c r="B43" s="279" t="s">
        <v>190</v>
      </c>
      <c r="C43" s="279"/>
      <c r="D43" s="279"/>
      <c r="E43" s="279"/>
      <c r="F43" s="279"/>
      <c r="G43" s="279"/>
      <c r="H43" s="279"/>
      <c r="I43" s="279"/>
    </row>
    <row r="44" spans="1:9" ht="13.5" customHeight="1" thickBot="1" x14ac:dyDescent="0.3">
      <c r="A44" s="279"/>
      <c r="B44" s="279"/>
      <c r="C44" s="279"/>
      <c r="D44" s="279"/>
      <c r="E44" s="279"/>
      <c r="F44" s="279"/>
      <c r="G44" s="279"/>
      <c r="H44" s="279"/>
      <c r="I44" s="279"/>
    </row>
    <row r="45" spans="1:9" ht="13.5" customHeight="1" thickTop="1" x14ac:dyDescent="0.25">
      <c r="A45" s="279"/>
      <c r="B45" s="340"/>
      <c r="C45" s="341"/>
      <c r="D45" s="341"/>
      <c r="E45" s="341"/>
      <c r="F45" s="341"/>
      <c r="G45" s="342" t="s">
        <v>191</v>
      </c>
      <c r="H45" s="341" t="s">
        <v>192</v>
      </c>
      <c r="I45" s="343"/>
    </row>
    <row r="46" spans="1:9" ht="12.75" customHeight="1" x14ac:dyDescent="0.25">
      <c r="A46" s="279"/>
      <c r="B46" s="344"/>
      <c r="C46" s="345"/>
      <c r="D46" s="345"/>
      <c r="E46" s="345"/>
      <c r="F46" s="345"/>
      <c r="G46" s="346" t="s">
        <v>193</v>
      </c>
      <c r="H46" s="345" t="s">
        <v>194</v>
      </c>
      <c r="I46" s="347"/>
    </row>
    <row r="47" spans="1:9" ht="12.75" customHeight="1" x14ac:dyDescent="0.25">
      <c r="A47" s="279"/>
      <c r="B47" s="344"/>
      <c r="C47" s="345"/>
      <c r="D47" s="345"/>
      <c r="E47" s="345"/>
      <c r="F47" s="345"/>
      <c r="G47" s="346" t="s">
        <v>195</v>
      </c>
      <c r="H47" s="345" t="s">
        <v>196</v>
      </c>
      <c r="I47" s="347"/>
    </row>
    <row r="48" spans="1:9" ht="12.75" customHeight="1" x14ac:dyDescent="0.25">
      <c r="A48" s="279"/>
      <c r="B48" s="344"/>
      <c r="C48" s="345"/>
      <c r="D48" s="345"/>
      <c r="E48" s="345"/>
      <c r="F48" s="345"/>
      <c r="G48" s="346" t="s">
        <v>197</v>
      </c>
      <c r="H48" s="345" t="s">
        <v>198</v>
      </c>
      <c r="I48" s="347"/>
    </row>
    <row r="49" spans="1:9" ht="13.5" customHeight="1" thickBot="1" x14ac:dyDescent="0.3">
      <c r="A49" s="279"/>
      <c r="B49" s="348"/>
      <c r="C49" s="315"/>
      <c r="D49" s="315"/>
      <c r="E49" s="315"/>
      <c r="F49" s="315"/>
      <c r="G49" s="349" t="s">
        <v>199</v>
      </c>
      <c r="H49" s="315" t="s">
        <v>200</v>
      </c>
      <c r="I49" s="350"/>
    </row>
    <row r="50" spans="1:9" ht="13.5" customHeight="1" thickTop="1" x14ac:dyDescent="0.25">
      <c r="A50" s="279"/>
      <c r="B50" s="279"/>
      <c r="C50" s="279"/>
      <c r="D50" s="279"/>
      <c r="E50" s="279"/>
      <c r="F50" s="279"/>
      <c r="G50" s="279"/>
      <c r="H50" s="279"/>
      <c r="I50" s="279"/>
    </row>
    <row r="51" spans="1:9" ht="12.75" customHeight="1" x14ac:dyDescent="0.25">
      <c r="A51" s="279"/>
      <c r="B51" s="279" t="s">
        <v>201</v>
      </c>
      <c r="C51" s="279"/>
      <c r="D51" s="279"/>
      <c r="E51" s="351" t="e">
        <f>(I47+I48+I49)/(I45+I46)*100</f>
        <v>#DIV/0!</v>
      </c>
      <c r="F51" s="279" t="s">
        <v>202</v>
      </c>
      <c r="G51" s="279"/>
      <c r="H51" s="279"/>
      <c r="I51" s="352">
        <v>0</v>
      </c>
    </row>
    <row r="52" spans="1:9" ht="12.75" customHeight="1" x14ac:dyDescent="0.25">
      <c r="A52" s="279"/>
      <c r="B52" s="279" t="s">
        <v>203</v>
      </c>
      <c r="C52" s="279"/>
      <c r="D52" s="279"/>
      <c r="E52" s="279"/>
      <c r="F52" s="279"/>
      <c r="G52" s="279"/>
      <c r="H52" s="279"/>
      <c r="I52" s="279"/>
    </row>
    <row r="53" spans="1:9" ht="12.75" customHeight="1" x14ac:dyDescent="0.25">
      <c r="A53" s="353"/>
      <c r="B53" s="353"/>
      <c r="C53" s="353"/>
      <c r="D53" s="353"/>
      <c r="E53" s="353"/>
      <c r="F53" s="353"/>
      <c r="G53" s="353"/>
      <c r="H53" s="353"/>
      <c r="I53" s="353"/>
    </row>
    <row r="54" spans="1:9" ht="12.75" customHeight="1" x14ac:dyDescent="0.25">
      <c r="A54" s="353"/>
      <c r="B54" s="353"/>
      <c r="C54" s="353"/>
      <c r="D54" s="353"/>
      <c r="E54" s="354"/>
      <c r="F54" s="353"/>
      <c r="G54" s="353"/>
      <c r="H54" s="353"/>
      <c r="I54" s="353"/>
    </row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">
    <mergeCell ref="E39:F39"/>
    <mergeCell ref="H39:I39"/>
    <mergeCell ref="E40:F40"/>
    <mergeCell ref="H40:I40"/>
    <mergeCell ref="E41:F41"/>
    <mergeCell ref="H41:I41"/>
    <mergeCell ref="A1:I1"/>
    <mergeCell ref="G3:H3"/>
    <mergeCell ref="G4:H4"/>
    <mergeCell ref="G5:H5"/>
    <mergeCell ref="G6:H6"/>
    <mergeCell ref="E38:F38"/>
    <mergeCell ref="H38:I38"/>
  </mergeCells>
  <dataValidations count="1">
    <dataValidation type="list" allowBlank="1" showInputMessage="1" showErrorMessage="1" sqref="G5:H5">
      <formula1>$K$3:$K$10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6" width="17.140625" customWidth="1"/>
    <col min="7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95" t="s">
        <v>125</v>
      </c>
      <c r="B1" s="196"/>
      <c r="C1" s="197"/>
      <c r="D1" s="198"/>
      <c r="E1" s="198"/>
      <c r="F1" s="197"/>
      <c r="G1" s="199"/>
      <c r="H1" s="199"/>
      <c r="I1" s="198"/>
      <c r="J1" s="196"/>
    </row>
    <row r="2" spans="1:10" ht="15" customHeight="1" x14ac:dyDescent="0.25">
      <c r="A2" s="195"/>
      <c r="B2" s="200" t="s">
        <v>126</v>
      </c>
      <c r="C2" s="201">
        <v>42309</v>
      </c>
      <c r="D2" s="201"/>
      <c r="E2" s="202"/>
      <c r="F2" s="200" t="s">
        <v>127</v>
      </c>
      <c r="G2" s="203" t="s">
        <v>128</v>
      </c>
      <c r="H2" s="204"/>
      <c r="I2" s="198"/>
      <c r="J2" s="196"/>
    </row>
    <row r="3" spans="1:10" ht="15" customHeight="1" x14ac:dyDescent="0.25">
      <c r="A3" s="195"/>
      <c r="B3" s="200" t="s">
        <v>129</v>
      </c>
      <c r="C3" s="205">
        <v>41061</v>
      </c>
      <c r="D3" s="205"/>
      <c r="E3" s="202"/>
      <c r="F3" s="200" t="s">
        <v>130</v>
      </c>
      <c r="G3" s="206" t="s">
        <v>131</v>
      </c>
      <c r="H3" s="207"/>
      <c r="I3" s="198"/>
      <c r="J3" s="196"/>
    </row>
    <row r="4" spans="1:10" ht="15" customHeight="1" x14ac:dyDescent="0.25">
      <c r="A4" s="208"/>
      <c r="B4" s="200" t="s">
        <v>132</v>
      </c>
      <c r="C4" s="209">
        <v>22011</v>
      </c>
      <c r="D4" s="209"/>
      <c r="E4" s="202"/>
      <c r="F4" s="200" t="s">
        <v>133</v>
      </c>
      <c r="G4" s="207"/>
      <c r="H4" s="207"/>
      <c r="I4" s="210"/>
      <c r="J4" s="196"/>
    </row>
    <row r="5" spans="1:10" ht="15" customHeight="1" x14ac:dyDescent="0.25">
      <c r="A5" s="211"/>
      <c r="B5" s="212"/>
      <c r="C5" s="212"/>
      <c r="D5" s="212"/>
      <c r="E5" s="202"/>
      <c r="F5" s="213"/>
      <c r="G5" s="214"/>
      <c r="H5" s="214"/>
      <c r="I5" s="215"/>
      <c r="J5" s="196"/>
    </row>
    <row r="6" spans="1:10" ht="15" customHeight="1" x14ac:dyDescent="0.25">
      <c r="A6" s="211"/>
      <c r="B6" s="212"/>
      <c r="C6" s="212"/>
      <c r="D6" s="212"/>
      <c r="E6" s="216"/>
      <c r="F6" s="216"/>
      <c r="G6" s="212"/>
      <c r="H6" s="217" t="s">
        <v>134</v>
      </c>
      <c r="I6" s="218">
        <v>4</v>
      </c>
      <c r="J6" s="196"/>
    </row>
    <row r="7" spans="1:10" ht="15" customHeight="1" x14ac:dyDescent="0.25">
      <c r="A7" s="211"/>
      <c r="B7" s="212"/>
      <c r="C7" s="212"/>
      <c r="D7" s="212"/>
      <c r="E7" s="216"/>
      <c r="F7" s="216"/>
      <c r="G7" s="212"/>
      <c r="H7" s="217" t="s">
        <v>135</v>
      </c>
      <c r="I7" s="218" t="s">
        <v>136</v>
      </c>
      <c r="J7" s="196"/>
    </row>
    <row r="8" spans="1:10" ht="12.75" customHeight="1" x14ac:dyDescent="0.25">
      <c r="A8" s="208"/>
      <c r="B8" s="208"/>
      <c r="C8" s="219"/>
      <c r="D8" s="210"/>
      <c r="E8" s="210"/>
      <c r="F8" s="219"/>
      <c r="G8" s="220"/>
      <c r="H8" s="220"/>
      <c r="I8" s="210"/>
      <c r="J8" s="196"/>
    </row>
    <row r="9" spans="1:10" ht="15" customHeight="1" x14ac:dyDescent="0.25">
      <c r="A9" s="211"/>
      <c r="B9" s="212"/>
      <c r="C9" s="212"/>
      <c r="D9" s="212"/>
      <c r="E9" s="216"/>
      <c r="F9" s="216"/>
      <c r="G9" s="212"/>
      <c r="H9" s="217" t="s">
        <v>137</v>
      </c>
      <c r="I9" s="218">
        <v>0.5</v>
      </c>
      <c r="J9" s="196"/>
    </row>
    <row r="10" spans="1:10" ht="15" customHeight="1" x14ac:dyDescent="0.25">
      <c r="A10" s="211"/>
      <c r="B10" s="212"/>
      <c r="C10" s="212"/>
      <c r="D10" s="212"/>
      <c r="E10" s="216"/>
      <c r="F10" s="216"/>
      <c r="G10" s="212"/>
      <c r="H10" s="217" t="s">
        <v>138</v>
      </c>
      <c r="I10" s="218">
        <f>4-I9</f>
        <v>3.5</v>
      </c>
      <c r="J10" s="196"/>
    </row>
    <row r="11" spans="1:10" ht="12.75" customHeight="1" x14ac:dyDescent="0.25">
      <c r="A11" s="221"/>
      <c r="B11" s="221"/>
      <c r="C11" s="197"/>
      <c r="D11" s="198"/>
      <c r="E11" s="198"/>
      <c r="F11" s="197"/>
      <c r="G11" s="199"/>
      <c r="H11" s="199"/>
      <c r="I11" s="198"/>
      <c r="J11" s="196"/>
    </row>
    <row r="12" spans="1:10" ht="12.75" customHeight="1" x14ac:dyDescent="0.25">
      <c r="A12" s="221"/>
      <c r="B12" s="221" t="s">
        <v>139</v>
      </c>
      <c r="C12" s="222"/>
      <c r="D12" s="223"/>
      <c r="E12" s="223"/>
      <c r="F12" s="222"/>
      <c r="G12" s="224"/>
      <c r="H12" s="224"/>
      <c r="I12" s="198"/>
      <c r="J12" s="196"/>
    </row>
    <row r="13" spans="1:10" ht="13.5" customHeight="1" thickBot="1" x14ac:dyDescent="0.3">
      <c r="A13" s="221"/>
      <c r="B13" s="221"/>
      <c r="C13" s="197"/>
      <c r="D13" s="198"/>
      <c r="E13" s="198"/>
      <c r="F13" s="197"/>
      <c r="G13" s="199"/>
      <c r="H13" s="199"/>
      <c r="I13" s="198"/>
      <c r="J13" s="196"/>
    </row>
    <row r="14" spans="1:10" ht="16.5" customHeight="1" thickTop="1" x14ac:dyDescent="0.3">
      <c r="A14" s="221"/>
      <c r="B14" s="225"/>
      <c r="C14" s="226" t="s">
        <v>140</v>
      </c>
      <c r="D14" s="227" t="s">
        <v>141</v>
      </c>
      <c r="E14" s="227"/>
      <c r="F14" s="226"/>
      <c r="G14" s="228"/>
      <c r="H14" s="228" t="s">
        <v>142</v>
      </c>
      <c r="I14" s="229" t="s">
        <v>143</v>
      </c>
      <c r="J14" s="196"/>
    </row>
    <row r="15" spans="1:10" ht="12.75" customHeight="1" x14ac:dyDescent="0.25">
      <c r="A15" s="221"/>
      <c r="B15" s="230" t="s">
        <v>23</v>
      </c>
      <c r="C15" s="231" t="s">
        <v>144</v>
      </c>
      <c r="D15" s="232" t="s">
        <v>145</v>
      </c>
      <c r="E15" s="232"/>
      <c r="F15" s="231" t="s">
        <v>146</v>
      </c>
      <c r="G15" s="233" t="s">
        <v>147</v>
      </c>
      <c r="H15" s="233" t="s">
        <v>148</v>
      </c>
      <c r="I15" s="234" t="s">
        <v>149</v>
      </c>
      <c r="J15" s="196"/>
    </row>
    <row r="16" spans="1:10" ht="13.5" customHeight="1" thickBot="1" x14ac:dyDescent="0.3">
      <c r="A16" s="221"/>
      <c r="B16" s="235"/>
      <c r="C16" s="236" t="s">
        <v>150</v>
      </c>
      <c r="D16" s="237" t="s">
        <v>151</v>
      </c>
      <c r="E16" s="237" t="s">
        <v>152</v>
      </c>
      <c r="F16" s="236" t="s">
        <v>153</v>
      </c>
      <c r="G16" s="238" t="s">
        <v>154</v>
      </c>
      <c r="H16" s="238" t="s">
        <v>154</v>
      </c>
      <c r="I16" s="239" t="s">
        <v>155</v>
      </c>
      <c r="J16" s="196"/>
    </row>
    <row r="17" spans="1:10" ht="13.5" customHeight="1" thickTop="1" x14ac:dyDescent="0.25">
      <c r="A17" s="221"/>
      <c r="B17" s="240">
        <v>1</v>
      </c>
      <c r="C17" s="241">
        <f>VLOOKUP(1,'Operational Worksheet'!$A$9:$O$32,9)</f>
        <v>0.53924840636499127</v>
      </c>
      <c r="D17" s="241">
        <f>VLOOKUP(1,'Operational Worksheet'!$A$9:$O$32,7)</f>
        <v>2.1461715698242187</v>
      </c>
      <c r="E17" s="241"/>
      <c r="F17" s="241">
        <f>(VLOOKUP(1,'Operational Worksheet'!$A$9:$O$32,5)-32)/1.8</f>
        <v>9.0980772522684141</v>
      </c>
      <c r="G17" s="242">
        <f>C17*D17</f>
        <v>1.1573195988135616</v>
      </c>
      <c r="H17" s="243">
        <f>VLOOKUP(1,'Operational Worksheet'!$A$9:$O$32,8)</f>
        <v>5.6000000000000005</v>
      </c>
      <c r="I17" s="244">
        <f>G17/H17</f>
        <v>0.20666421407385027</v>
      </c>
      <c r="J17" s="196"/>
    </row>
    <row r="18" spans="1:10" ht="12.75" customHeight="1" x14ac:dyDescent="0.25">
      <c r="A18" s="221"/>
      <c r="B18" s="245">
        <v>2</v>
      </c>
      <c r="C18" s="241">
        <f>VLOOKUP(1,'Operational Worksheet'!$A$33:$O$56,9)</f>
        <v>1.1566781634575867</v>
      </c>
      <c r="D18" s="241">
        <f>VLOOKUP(1,'Operational Worksheet'!$A$33:$O$56,7)</f>
        <v>1.9745224714279175</v>
      </c>
      <c r="E18" s="241"/>
      <c r="F18" s="241">
        <f>(VLOOKUP(1,'Operational Worksheet'!$A$33:$O$56,5)-32)/1.8</f>
        <v>9.4803266090288929</v>
      </c>
      <c r="G18" s="243">
        <f>C18*D18</f>
        <v>2.2838870259569788</v>
      </c>
      <c r="H18" s="243">
        <f>VLOOKUP(1,'Operational Worksheet'!$A$33:$O$56,8)</f>
        <v>5.6000000000000005</v>
      </c>
      <c r="I18" s="246">
        <f>G18/H18</f>
        <v>0.40783696892088905</v>
      </c>
      <c r="J18" s="196"/>
    </row>
    <row r="19" spans="1:10" ht="12.75" customHeight="1" x14ac:dyDescent="0.25">
      <c r="A19" s="221"/>
      <c r="B19" s="245">
        <v>3</v>
      </c>
      <c r="C19" s="241">
        <f>VLOOKUP(1,'Operational Worksheet'!$A$57:$O$80,9)</f>
        <v>1.5238387819393868</v>
      </c>
      <c r="D19" s="241">
        <f>VLOOKUP(1,'Operational Worksheet'!$A$57:$O$80,7)</f>
        <v>2.2834694385528564</v>
      </c>
      <c r="E19" s="241"/>
      <c r="F19" s="241">
        <f>(VLOOKUP(1,'Operational Worksheet'!$A$57:$O$80,5)-32)/1.8</f>
        <v>8.5820414139156167</v>
      </c>
      <c r="G19" s="243">
        <f>C19*D19</f>
        <v>3.4796392878402003</v>
      </c>
      <c r="H19" s="243">
        <f>VLOOKUP(1,'Operational Worksheet'!$A$57:$O$80,8)</f>
        <v>5.9499999999999993</v>
      </c>
      <c r="I19" s="246">
        <f>G19/H19</f>
        <v>0.58481332568742872</v>
      </c>
      <c r="J19" s="196"/>
    </row>
    <row r="20" spans="1:10" ht="12.75" customHeight="1" x14ac:dyDescent="0.25">
      <c r="A20" s="221"/>
      <c r="B20" s="245">
        <v>4</v>
      </c>
      <c r="C20" s="241">
        <f>VLOOKUP(1,'Operational Worksheet'!$A$81:$O$104,9)</f>
        <v>1.5294587501496546</v>
      </c>
      <c r="D20" s="241">
        <f>VLOOKUP(1,'Operational Worksheet'!$A$81:$O$104,7)</f>
        <v>2.3453233242034912</v>
      </c>
      <c r="E20" s="241"/>
      <c r="F20" s="241">
        <f>(VLOOKUP(1,'Operational Worksheet'!$A$81:$O$104,5)-32)/1.8</f>
        <v>7.8846952650282116</v>
      </c>
      <c r="G20" s="243">
        <f>C20*D20</f>
        <v>3.5870752801331047</v>
      </c>
      <c r="H20" s="243">
        <f>VLOOKUP(1,'Operational Worksheet'!$A$81:$O$104,8)</f>
        <v>6.3000000000000007</v>
      </c>
      <c r="I20" s="246">
        <f>G20/H20</f>
        <v>0.56937702859255623</v>
      </c>
      <c r="J20" s="196"/>
    </row>
    <row r="21" spans="1:10" ht="12.75" customHeight="1" x14ac:dyDescent="0.25">
      <c r="A21" s="221"/>
      <c r="B21" s="245">
        <v>5</v>
      </c>
      <c r="C21" s="241">
        <f>VLOOKUP(1,'Operational Worksheet'!$A$105:$O$128,9)</f>
        <v>1.5166385361876622</v>
      </c>
      <c r="D21" s="241">
        <f>VLOOKUP(1,'Operational Worksheet'!$A$105:$O$128,7)</f>
        <v>2.1049714088439941</v>
      </c>
      <c r="E21" s="241"/>
      <c r="F21" s="241">
        <f>(VLOOKUP(1,'Operational Worksheet'!$A$105:$O$128,5)-32)/1.8</f>
        <v>7.7944013807508679</v>
      </c>
      <c r="G21" s="243">
        <f>C21*D21</f>
        <v>3.1924807562260362</v>
      </c>
      <c r="H21" s="243">
        <f>VLOOKUP(1,'Operational Worksheet'!$A$105:$O$128,8)</f>
        <v>6.3000000000000007</v>
      </c>
      <c r="I21" s="246">
        <f>G21/H21</f>
        <v>0.50674297717873584</v>
      </c>
      <c r="J21" s="196"/>
    </row>
    <row r="22" spans="1:10" ht="12.75" customHeight="1" x14ac:dyDescent="0.25">
      <c r="A22" s="221"/>
      <c r="B22" s="245">
        <v>6</v>
      </c>
      <c r="C22" s="241">
        <f>VLOOKUP(1,'Operational Worksheet'!$A$129:$O$152,9)</f>
        <v>1.1196568136650935</v>
      </c>
      <c r="D22" s="241">
        <f>VLOOKUP(1,'Operational Worksheet'!$A$129:$O$152,7)</f>
        <v>2.3248836994171143</v>
      </c>
      <c r="E22" s="241"/>
      <c r="F22" s="241">
        <f>VLOOKUP(1,'Operational Worksheet'!$A$129:$O$152,5)-32/1.8</f>
        <v>27.418297661675346</v>
      </c>
      <c r="G22" s="243">
        <f>C22*D22</f>
        <v>2.6030718750312811</v>
      </c>
      <c r="H22" s="243">
        <f>VLOOKUP(1,'Operational Worksheet'!$A$129:$O$152,8)</f>
        <v>6.3000000000000007</v>
      </c>
      <c r="I22" s="246">
        <f>G22/H22</f>
        <v>0.41318601190972709</v>
      </c>
      <c r="J22" s="196"/>
    </row>
    <row r="23" spans="1:10" ht="12.75" customHeight="1" x14ac:dyDescent="0.25">
      <c r="A23" s="221"/>
      <c r="B23" s="245">
        <v>7</v>
      </c>
      <c r="C23" s="241">
        <f>VLOOKUP(1,'Operational Worksheet'!$A$153:$O$176,9)</f>
        <v>1.2882679071817413</v>
      </c>
      <c r="D23" s="241">
        <f>VLOOKUP(1,'Operational Worksheet'!$A$153:$O$176,7)</f>
        <v>2.1323668956756592</v>
      </c>
      <c r="E23" s="241"/>
      <c r="F23" s="241">
        <f>(VLOOKUP(1,'Operational Worksheet'!$A$153:$O$176,5)-32)/1.8</f>
        <v>5.0443585713704424</v>
      </c>
      <c r="G23" s="243">
        <f>C23*D23</f>
        <v>2.7470598380357081</v>
      </c>
      <c r="H23" s="243">
        <f>VLOOKUP(1,'Operational Worksheet'!$A$153:$O$176,8)</f>
        <v>7</v>
      </c>
      <c r="I23" s="246">
        <f>G23/H23</f>
        <v>0.39243711971938688</v>
      </c>
      <c r="J23" s="196"/>
    </row>
    <row r="24" spans="1:10" ht="12.75" customHeight="1" x14ac:dyDescent="0.25">
      <c r="A24" s="221"/>
      <c r="B24" s="245">
        <v>8</v>
      </c>
      <c r="C24" s="241">
        <f>VLOOKUP(1,'Operational Worksheet'!$A$177:$O$200,9)</f>
        <v>1.2985637440627813</v>
      </c>
      <c r="D24" s="241">
        <f>VLOOKUP(1,'Operational Worksheet'!$A$177:$O$200,7)</f>
        <v>2.1323668956756592</v>
      </c>
      <c r="E24" s="241"/>
      <c r="F24" s="241">
        <f>(VLOOKUP(1,'Operational Worksheet'!$A$177:$O$200,5)-32)/1.8</f>
        <v>4.7675874498155384</v>
      </c>
      <c r="G24" s="243">
        <f>C24*D24</f>
        <v>2.769014339764114</v>
      </c>
      <c r="H24" s="243">
        <f>VLOOKUP(1,'Operational Worksheet'!$A$177:$O$200,8)</f>
        <v>7.7875000000000005</v>
      </c>
      <c r="I24" s="246">
        <f>G24/H24</f>
        <v>0.35557166481722169</v>
      </c>
      <c r="J24" s="196"/>
    </row>
    <row r="25" spans="1:10" ht="12.75" customHeight="1" x14ac:dyDescent="0.25">
      <c r="A25" s="221"/>
      <c r="B25" s="245">
        <v>9</v>
      </c>
      <c r="C25" s="241">
        <f>VLOOKUP(1,'Operational Worksheet'!$A$201:$O$224,9)</f>
        <v>1.2035206497703992</v>
      </c>
      <c r="D25" s="241">
        <f>VLOOKUP(1,'Operational Worksheet'!$A$201:$O$224,7)</f>
        <v>2.2973811626434326</v>
      </c>
      <c r="E25" s="241"/>
      <c r="F25" s="241">
        <f>(VLOOKUP(1,'Operational Worksheet'!$A$201:$O$224,5)-32)/1.8</f>
        <v>5.0875430636935759</v>
      </c>
      <c r="G25" s="243">
        <f>C25*D25</f>
        <v>2.7649456696348991</v>
      </c>
      <c r="H25" s="243">
        <f>VLOOKUP(1,'Operational Worksheet'!$A$201:$O$224,8)</f>
        <v>7</v>
      </c>
      <c r="I25" s="246">
        <f>G25/H25</f>
        <v>0.39499223851927129</v>
      </c>
      <c r="J25" s="196"/>
    </row>
    <row r="26" spans="1:10" ht="12.75" customHeight="1" x14ac:dyDescent="0.25">
      <c r="A26" s="221"/>
      <c r="B26" s="245">
        <v>10</v>
      </c>
      <c r="C26" s="241">
        <f>VLOOKUP(1,'Operational Worksheet'!$A$225:$O$248,9)</f>
        <v>0.95470552124878505</v>
      </c>
      <c r="D26" s="241">
        <f>VLOOKUP(1,'Operational Worksheet'!$A$225:$O$248,7)</f>
        <v>2.5516448020935059</v>
      </c>
      <c r="E26" s="241"/>
      <c r="F26" s="241">
        <f>(VLOOKUP(1,'Operational Worksheet'!$A$225:$O$248,5)-32)/1.8</f>
        <v>6.2044419182671442</v>
      </c>
      <c r="G26" s="243">
        <f>C26*D26</f>
        <v>2.4360693808244336</v>
      </c>
      <c r="H26" s="243">
        <f>VLOOKUP(1,'Operational Worksheet'!$A$225:$O$248,8)</f>
        <v>6.6499999999999995</v>
      </c>
      <c r="I26" s="246">
        <f>G26/H26</f>
        <v>0.36632622268036596</v>
      </c>
      <c r="J26" s="196"/>
    </row>
    <row r="27" spans="1:10" ht="12.75" customHeight="1" x14ac:dyDescent="0.25">
      <c r="A27" s="221"/>
      <c r="B27" s="245">
        <v>11</v>
      </c>
      <c r="C27" s="241">
        <f>VLOOKUP(1,'Operational Worksheet'!$A$249:$O$272,9)</f>
        <v>1.0250747126064754</v>
      </c>
      <c r="D27" s="241">
        <f>VLOOKUP(1,'Operational Worksheet'!$A$249:$O$272,7)</f>
        <v>2.4897909164428711</v>
      </c>
      <c r="E27" s="241"/>
      <c r="F27" s="241">
        <f>(VLOOKUP(1,'Operational Worksheet'!$A$249:$O$272,5)-32)/1.8</f>
        <v>4.4417444864908857</v>
      </c>
      <c r="G27" s="243">
        <f>C27*D27</f>
        <v>2.5522217081228891</v>
      </c>
      <c r="H27" s="243">
        <f>VLOOKUP(1,'Operational Worksheet'!$A$249:$O$272,8)</f>
        <v>7.7875000000000005</v>
      </c>
      <c r="I27" s="246">
        <f>G27/H27</f>
        <v>0.32773312463857324</v>
      </c>
      <c r="J27" s="196"/>
    </row>
    <row r="28" spans="1:10" ht="12.75" customHeight="1" x14ac:dyDescent="0.25">
      <c r="A28" s="221"/>
      <c r="B28" s="245">
        <v>12</v>
      </c>
      <c r="C28" s="241">
        <f>VLOOKUP(1,'Operational Worksheet'!$A$273:$O$296,9)</f>
        <v>1.0263131295062866</v>
      </c>
      <c r="D28" s="241">
        <f>VLOOKUP(1,'Operational Worksheet'!$A$273:$O$296,7)</f>
        <v>2.3590207099914551</v>
      </c>
      <c r="E28" s="241"/>
      <c r="F28" s="241">
        <f>(VLOOKUP(1,'Operational Worksheet'!$A$273:$O$296,5)-32)/1.8</f>
        <v>4.4444906661165717</v>
      </c>
      <c r="G28" s="243">
        <f>C28*D28</f>
        <v>2.4210939274414724</v>
      </c>
      <c r="H28" s="243">
        <f>VLOOKUP(1,'Operational Worksheet'!$A$273:$O$296,8)</f>
        <v>7.7875000000000005</v>
      </c>
      <c r="I28" s="246">
        <f>G28/H28</f>
        <v>0.31089488634882467</v>
      </c>
      <c r="J28" s="196"/>
    </row>
    <row r="29" spans="1:10" ht="12.75" customHeight="1" x14ac:dyDescent="0.25">
      <c r="A29" s="221"/>
      <c r="B29" s="245">
        <v>13</v>
      </c>
      <c r="C29" s="241">
        <f>VLOOKUP(1,'Operational Worksheet'!$A$297:$O$320,9)</f>
        <v>1.1278428001026872</v>
      </c>
      <c r="D29" s="241">
        <f>VLOOKUP(1,'Operational Worksheet'!$A$297:$O$320,7)</f>
        <v>2.2698788642883301</v>
      </c>
      <c r="E29" s="241"/>
      <c r="F29" s="241">
        <f>(VLOOKUP(1,'Operational Worksheet'!$A$297:$O$320,5)-32)/1.8</f>
        <v>3.8862397935655379</v>
      </c>
      <c r="G29" s="243">
        <f>C29*D29</f>
        <v>2.5600665341928579</v>
      </c>
      <c r="H29" s="243">
        <f>VLOOKUP(1,'Operational Worksheet'!$A$297:$O$320,8)</f>
        <v>8.5750000000000011</v>
      </c>
      <c r="I29" s="246">
        <f>G29/H29</f>
        <v>0.29855003314202422</v>
      </c>
      <c r="J29" s="196"/>
    </row>
    <row r="30" spans="1:10" ht="12.75" customHeight="1" x14ac:dyDescent="0.25">
      <c r="A30" s="221"/>
      <c r="B30" s="245">
        <v>14</v>
      </c>
      <c r="C30" s="241">
        <f>VLOOKUP(1,'Operational Worksheet'!$A$321:$O$344,9)</f>
        <v>0.90201096784081836</v>
      </c>
      <c r="D30" s="241">
        <f>VLOOKUP(1,'Operational Worksheet'!$A$321:$O$344,7)</f>
        <v>2.400648832321167</v>
      </c>
      <c r="E30" s="241"/>
      <c r="F30" s="241">
        <f>(VLOOKUP(1,'Operational Worksheet'!$A$321:$O$344,5)-32)/1.8</f>
        <v>4.2101203070746527</v>
      </c>
      <c r="G30" s="243">
        <f>C30*D30</f>
        <v>2.1654115766879465</v>
      </c>
      <c r="H30" s="243">
        <f>VLOOKUP(1,'Operational Worksheet'!$A$321:$O$344,8)</f>
        <v>7.7875000000000005</v>
      </c>
      <c r="I30" s="246">
        <f>G30/H30</f>
        <v>0.27806248175768172</v>
      </c>
      <c r="J30" s="196"/>
    </row>
    <row r="31" spans="1:10" ht="12.75" customHeight="1" x14ac:dyDescent="0.25">
      <c r="A31" s="221"/>
      <c r="B31" s="245">
        <v>15</v>
      </c>
      <c r="C31" s="241">
        <f>VLOOKUP(1,'Operational Worksheet'!$A$345:$O$368,9)</f>
        <v>1.1254128800762002</v>
      </c>
      <c r="D31" s="241">
        <f>VLOOKUP(1,'Operational Worksheet'!$A$345:$O$368,7)</f>
        <v>2.3866300582885742</v>
      </c>
      <c r="E31" s="241"/>
      <c r="F31" s="241">
        <f>(VLOOKUP(1,'Operational Worksheet'!$A$345:$O$368,5)-32)/1.8</f>
        <v>4.8873265584309893</v>
      </c>
      <c r="G31" s="243">
        <f>C31*D31</f>
        <v>2.6859442075749738</v>
      </c>
      <c r="H31" s="243">
        <f>VLOOKUP(1,'Operational Worksheet'!$A$345:$O$368,8)</f>
        <v>7.7875000000000005</v>
      </c>
      <c r="I31" s="246">
        <f>G31/H31</f>
        <v>0.34490455313964347</v>
      </c>
      <c r="J31" s="196"/>
    </row>
    <row r="32" spans="1:10" ht="12.75" customHeight="1" x14ac:dyDescent="0.25">
      <c r="A32" s="221"/>
      <c r="B32" s="245">
        <v>16</v>
      </c>
      <c r="C32" s="241">
        <f>VLOOKUP(1,'Operational Worksheet'!$A$369:$O$392,9)</f>
        <v>1.1235884492220964</v>
      </c>
      <c r="D32" s="241">
        <f>VLOOKUP(1,'Operational Worksheet'!$A$369:$O$392,7)</f>
        <v>2.3729324340820313</v>
      </c>
      <c r="E32" s="241"/>
      <c r="F32" s="241">
        <f>(VLOOKUP(1,'Operational Worksheet'!$A$369:$O$392,5)-32)/1.8</f>
        <v>4.467264811197917</v>
      </c>
      <c r="G32" s="243">
        <f>C32*D32</f>
        <v>2.6661994737190442</v>
      </c>
      <c r="H32" s="243">
        <f>VLOOKUP(1,'Operational Worksheet'!$A$369:$O$392,8)</f>
        <v>7.7875000000000005</v>
      </c>
      <c r="I32" s="246">
        <f>G32/H32</f>
        <v>0.34236911380019824</v>
      </c>
      <c r="J32" s="196"/>
    </row>
    <row r="33" spans="1:10" ht="12.75" customHeight="1" x14ac:dyDescent="0.25">
      <c r="A33" s="221"/>
      <c r="B33" s="245">
        <v>17</v>
      </c>
      <c r="C33" s="241">
        <f>VLOOKUP(1,'Operational Worksheet'!$A$393:$O$416,9)</f>
        <v>1.12874577941943</v>
      </c>
      <c r="D33" s="241">
        <f>VLOOKUP(1,'Operational Worksheet'!$A$393:$O$416,7)</f>
        <v>2.4762005805969238</v>
      </c>
      <c r="E33" s="241"/>
      <c r="F33" s="241">
        <f>(VLOOKUP(1,'Operational Worksheet'!$A$393:$O$416,5)-32)/1.8</f>
        <v>3.9333491855197482</v>
      </c>
      <c r="G33" s="243">
        <f>C33*D33</f>
        <v>2.7950009543447201</v>
      </c>
      <c r="H33" s="243">
        <f>VLOOKUP(1,'Operational Worksheet'!$A$393:$O$416,8)</f>
        <v>8.5750000000000011</v>
      </c>
      <c r="I33" s="246">
        <f>G33/H33</f>
        <v>0.32594763315973407</v>
      </c>
      <c r="J33" s="196"/>
    </row>
    <row r="34" spans="1:10" ht="12.75" customHeight="1" x14ac:dyDescent="0.25">
      <c r="A34" s="221"/>
      <c r="B34" s="245">
        <v>18</v>
      </c>
      <c r="C34" s="241">
        <f>VLOOKUP(1,'Operational Worksheet'!$A$417:$O$440,9)</f>
        <v>0.95033020668911694</v>
      </c>
      <c r="D34" s="241">
        <f>VLOOKUP(1,'Operational Worksheet'!$A$417:$O$440,7)</f>
        <v>2.6893706321716309</v>
      </c>
      <c r="E34" s="241"/>
      <c r="F34" s="241">
        <f>(VLOOKUP(1,'Operational Worksheet'!$A$417:$O$440,5)-32)/1.8</f>
        <v>4.5850372314453125</v>
      </c>
      <c r="G34" s="243">
        <f>C34*D34</f>
        <v>2.5557901487353072</v>
      </c>
      <c r="H34" s="243">
        <f>VLOOKUP(1,'Operational Worksheet'!$A$417:$O$440,8)</f>
        <v>7.7875000000000005</v>
      </c>
      <c r="I34" s="246">
        <f>G34/H34</f>
        <v>0.32819135136247923</v>
      </c>
      <c r="J34" s="196"/>
    </row>
    <row r="35" spans="1:10" ht="12.75" customHeight="1" x14ac:dyDescent="0.25">
      <c r="A35" s="221"/>
      <c r="B35" s="245">
        <v>19</v>
      </c>
      <c r="C35" s="241">
        <f>VLOOKUP(1,'Operational Worksheet'!$A$441:$O$464,9)</f>
        <v>1.1325239181522779</v>
      </c>
      <c r="D35" s="241">
        <f>VLOOKUP(1,'Operational Worksheet'!$A$441:$O$464,7)</f>
        <v>2.5242493152618408</v>
      </c>
      <c r="E35" s="241"/>
      <c r="F35" s="241">
        <f>(VLOOKUP(1,'Operational Worksheet'!$A$441:$O$464,5)-32)/1.8</f>
        <v>3.8185134710144948</v>
      </c>
      <c r="G35" s="243">
        <f>C35*D35</f>
        <v>2.8587727249135448</v>
      </c>
      <c r="H35" s="243">
        <f>VLOOKUP(1,'Operational Worksheet'!$A$441:$O$464,8)</f>
        <v>8.5750000000000011</v>
      </c>
      <c r="I35" s="246">
        <f>G35/H35</f>
        <v>0.33338457433394103</v>
      </c>
      <c r="J35" s="196"/>
    </row>
    <row r="36" spans="1:10" ht="12.75" customHeight="1" x14ac:dyDescent="0.25">
      <c r="A36" s="221"/>
      <c r="B36" s="245">
        <v>20</v>
      </c>
      <c r="C36" s="241">
        <f>VLOOKUP(1,'Operational Worksheet'!$A$465:$O$488,9)</f>
        <v>1.1311142328655299</v>
      </c>
      <c r="D36" s="241">
        <f>VLOOKUP(1,'Operational Worksheet'!$A$465:$O$488,7)</f>
        <v>2.2837905883789062</v>
      </c>
      <c r="E36" s="241"/>
      <c r="F36" s="241">
        <f>(VLOOKUP(1,'Operational Worksheet'!$A$465:$O$488,5)-32)/1.8</f>
        <v>3.8903915043576216</v>
      </c>
      <c r="G36" s="243">
        <f>C36*D36</f>
        <v>2.5832280393997236</v>
      </c>
      <c r="H36" s="243">
        <f>VLOOKUP(1,'Operational Worksheet'!$A$465:$O$488,8)</f>
        <v>8.5750000000000011</v>
      </c>
      <c r="I36" s="246">
        <f>G36/H36</f>
        <v>0.30125108331192108</v>
      </c>
      <c r="J36" s="196"/>
    </row>
    <row r="37" spans="1:10" ht="12.75" customHeight="1" x14ac:dyDescent="0.25">
      <c r="A37" s="221"/>
      <c r="B37" s="245">
        <v>21</v>
      </c>
      <c r="C37" s="241">
        <f>VLOOKUP(1,'Operational Worksheet'!$A$489:$O$512,9)</f>
        <v>1.1232032300138655</v>
      </c>
      <c r="D37" s="241">
        <f>VLOOKUP(1,'Operational Worksheet'!$A$489:$O$512,7)</f>
        <v>2.3590207099914551</v>
      </c>
      <c r="E37" s="241"/>
      <c r="F37" s="241">
        <f>(VLOOKUP(1,'Operational Worksheet'!$A$489:$O$512,5)-32)/1.8</f>
        <v>2.9215182682596974</v>
      </c>
      <c r="G37" s="243">
        <f>C37*D37</f>
        <v>2.6496596811320043</v>
      </c>
      <c r="H37" s="243">
        <f>VLOOKUP(1,'Operational Worksheet'!$A$489:$O$512,8)</f>
        <v>9.3624999999999989</v>
      </c>
      <c r="I37" s="246">
        <f>G37/H37</f>
        <v>0.2830077096002141</v>
      </c>
      <c r="J37" s="196"/>
    </row>
    <row r="38" spans="1:10" ht="12.75" customHeight="1" x14ac:dyDescent="0.25">
      <c r="A38" s="221"/>
      <c r="B38" s="245">
        <v>22</v>
      </c>
      <c r="C38" s="241">
        <f>VLOOKUP(1,'Operational Worksheet'!$A$513:$O$536,9)</f>
        <v>0.89987059775851108</v>
      </c>
      <c r="D38" s="241">
        <f>VLOOKUP(1,'Operational Worksheet'!$A$513:$O$536,7)</f>
        <v>2.2563953399658203</v>
      </c>
      <c r="E38" s="241"/>
      <c r="F38" s="241">
        <f>(VLOOKUP(1,'Operational Worksheet'!$A$513:$O$536,5)-32)/1.8</f>
        <v>4.6105575561523437</v>
      </c>
      <c r="G38" s="243">
        <f>C38*D38</f>
        <v>2.0304638233545615</v>
      </c>
      <c r="H38" s="243">
        <f>VLOOKUP(1,'Operational Worksheet'!$A$513:$O$536,8)</f>
        <v>7.7875000000000005</v>
      </c>
      <c r="I38" s="246">
        <f>G38/H38</f>
        <v>0.26073371728469491</v>
      </c>
      <c r="J38" s="196"/>
    </row>
    <row r="39" spans="1:10" ht="12.75" customHeight="1" x14ac:dyDescent="0.25">
      <c r="A39" s="221"/>
      <c r="B39" s="245">
        <v>23</v>
      </c>
      <c r="C39" s="241">
        <f>VLOOKUP(1,'Operational Worksheet'!$A$537:$O$560,9)</f>
        <v>1.1157001230661296</v>
      </c>
      <c r="D39" s="241">
        <f>VLOOKUP(1,'Operational Worksheet'!$A$537:$O$560,7)</f>
        <v>2.1877999305725098</v>
      </c>
      <c r="E39" s="241"/>
      <c r="F39" s="241">
        <f>(VLOOKUP(1,'Operational Worksheet'!$A$537:$O$560,5)-32)/1.8</f>
        <v>3.9156828986273871</v>
      </c>
      <c r="G39" s="243">
        <f>C39*D39</f>
        <v>2.4409286517838189</v>
      </c>
      <c r="H39" s="243">
        <f>VLOOKUP(1,'Operational Worksheet'!$A$537:$O$560,8)</f>
        <v>8.5750000000000011</v>
      </c>
      <c r="I39" s="246">
        <f>G39/H39</f>
        <v>0.28465640254038699</v>
      </c>
      <c r="J39" s="196"/>
    </row>
    <row r="40" spans="1:10" ht="12.75" customHeight="1" x14ac:dyDescent="0.25">
      <c r="A40" s="221"/>
      <c r="B40" s="245">
        <v>24</v>
      </c>
      <c r="C40" s="241">
        <f>VLOOKUP(1,'Operational Worksheet'!$A$561:$O$584,9)</f>
        <v>1.1291244515467422</v>
      </c>
      <c r="D40" s="241">
        <f>VLOOKUP(1,'Operational Worksheet'!$A$561:$O$584,7)</f>
        <v>2.4071767330169678</v>
      </c>
      <c r="E40" s="241"/>
      <c r="F40" s="241">
        <f>(VLOOKUP(1,'Operational Worksheet'!$A$561:$O$584,5)-32)/1.8</f>
        <v>3.6114332411024304</v>
      </c>
      <c r="G40" s="243">
        <f>C40*D40</f>
        <v>2.7180021084438626</v>
      </c>
      <c r="H40" s="243">
        <f>VLOOKUP(1,'Operational Worksheet'!$A$561:$O$584,8)</f>
        <v>8.5750000000000011</v>
      </c>
      <c r="I40" s="246">
        <f>G40/H40</f>
        <v>0.31696817591182069</v>
      </c>
      <c r="J40" s="196"/>
    </row>
    <row r="41" spans="1:10" ht="12.75" customHeight="1" x14ac:dyDescent="0.25">
      <c r="A41" s="221"/>
      <c r="B41" s="245">
        <v>25</v>
      </c>
      <c r="C41" s="241">
        <f>VLOOKUP(1,'Operational Worksheet'!$A$585:$O$608,9)</f>
        <v>0.90666210421668425</v>
      </c>
      <c r="D41" s="241">
        <f>VLOOKUP(1,'Operational Worksheet'!$A$585:$O$608,7)</f>
        <v>2.3868441581726074</v>
      </c>
      <c r="E41" s="241"/>
      <c r="F41" s="241">
        <f>(VLOOKUP(1,'Operational Worksheet'!$A$585:$O$608,5)-32)/1.8</f>
        <v>4.404449462890625</v>
      </c>
      <c r="G41" s="243">
        <f>C41*D41</f>
        <v>2.1640611468860764</v>
      </c>
      <c r="H41" s="243">
        <f>VLOOKUP(1,'Operational Worksheet'!$A$585:$O$608,8)</f>
        <v>7.7875000000000005</v>
      </c>
      <c r="I41" s="246">
        <f>G41/H41</f>
        <v>0.27788907183127787</v>
      </c>
      <c r="J41" s="196"/>
    </row>
    <row r="42" spans="1:10" ht="12.75" customHeight="1" x14ac:dyDescent="0.25">
      <c r="A42" s="221"/>
      <c r="B42" s="245">
        <v>26</v>
      </c>
      <c r="C42" s="241">
        <f>VLOOKUP(1,'Operational Worksheet'!$A$609:$O$632,9)</f>
        <v>0.90370864762271053</v>
      </c>
      <c r="D42" s="241">
        <f>VLOOKUP(1,'Operational Worksheet'!$A$609:$O$632,7)</f>
        <v>2.1876928806304932</v>
      </c>
      <c r="E42" s="241"/>
      <c r="F42" s="241">
        <f>(VLOOKUP(1,'Operational Worksheet'!$A$609:$O$632,5)-32)/1.8</f>
        <v>3.4245480190687316</v>
      </c>
      <c r="G42" s="243">
        <f>C42*D42</f>
        <v>1.9770369745684149</v>
      </c>
      <c r="H42" s="243">
        <f>VLOOKUP(1,'Operational Worksheet'!$A$609:$O$632,8)</f>
        <v>8.5750000000000011</v>
      </c>
      <c r="I42" s="246">
        <f>G42/H42</f>
        <v>0.23055824776308043</v>
      </c>
      <c r="J42" s="196"/>
    </row>
    <row r="43" spans="1:10" ht="12.75" customHeight="1" x14ac:dyDescent="0.25">
      <c r="A43" s="221"/>
      <c r="B43" s="245">
        <v>27</v>
      </c>
      <c r="C43" s="241">
        <f>VLOOKUP(1,'Operational Worksheet'!$A$633:$O$656,9)</f>
        <v>0.89410738712183357</v>
      </c>
      <c r="D43" s="241">
        <f>VLOOKUP(1,'Operational Worksheet'!$A$633:$O$656,7)</f>
        <v>2.3521721363067627</v>
      </c>
      <c r="E43" s="241"/>
      <c r="F43" s="241">
        <f>(VLOOKUP(1,'Operational Worksheet'!$A$633:$O$656,5)-32)/1.8</f>
        <v>1.9802517361111112</v>
      </c>
      <c r="G43" s="243">
        <f>C43*D43</f>
        <v>2.1030944828540208</v>
      </c>
      <c r="H43" s="243">
        <f>VLOOKUP(1,'Operational Worksheet'!$A$633:$O$656,8)</f>
        <v>10.149999999999999</v>
      </c>
      <c r="I43" s="246">
        <f>G43/H43</f>
        <v>0.20720142688216955</v>
      </c>
      <c r="J43" s="196"/>
    </row>
    <row r="44" spans="1:10" ht="12.75" customHeight="1" x14ac:dyDescent="0.25">
      <c r="A44" s="221"/>
      <c r="B44" s="245">
        <v>28</v>
      </c>
      <c r="C44" s="241">
        <f>VLOOKUP(1,'Operational Worksheet'!$A$657:$O$680,9)</f>
        <v>0.90184405130874223</v>
      </c>
      <c r="D44" s="241">
        <f>VLOOKUP(1,'Operational Worksheet'!$A$657:$O$680,7)</f>
        <v>2.2974882125854492</v>
      </c>
      <c r="E44" s="241"/>
      <c r="F44" s="241">
        <f>(VLOOKUP(1,'Operational Worksheet'!$A$657:$O$680,5)-32)/1.8</f>
        <v>1.8310695224338107</v>
      </c>
      <c r="G44" s="243">
        <f>C44*D44</f>
        <v>2.0719760774721423</v>
      </c>
      <c r="H44" s="243">
        <f>VLOOKUP(1,'Operational Worksheet'!$A$657:$O$680,8)</f>
        <v>10.149999999999999</v>
      </c>
      <c r="I44" s="246">
        <f>G44/H44</f>
        <v>0.20413557413518646</v>
      </c>
      <c r="J44" s="196"/>
    </row>
    <row r="45" spans="1:10" ht="12.75" customHeight="1" x14ac:dyDescent="0.25">
      <c r="A45" s="221"/>
      <c r="B45" s="247">
        <f>IF('[1]EPA Monthly Summary'!F5&lt;&gt;2,31,"")</f>
        <v>31</v>
      </c>
      <c r="C45" s="241">
        <f>IF('EPA Monthly Summary'!F5&lt;&gt;2,VLOOKUP(1,'Operational Worksheet'!$A$681:$O$704,9),"")</f>
        <v>0.89900217036685792</v>
      </c>
      <c r="D45" s="241">
        <f>IF('EPA Monthly Summary'!F5&lt;&gt;2,VLOOKUP(1,'Operational Worksheet'!$A$681:$O$704,7),"")</f>
        <v>2.1394298076629639</v>
      </c>
      <c r="E45" s="248"/>
      <c r="F45" s="241">
        <f>IF('EPA Monthly Summary'!F5&lt;&gt;2,(VLOOKUP(1,'Operational Worksheet'!$A$681:$O$704,5)-32)/1.8,"")</f>
        <v>1.7572064511421221</v>
      </c>
      <c r="G45" s="243">
        <f>IF('EPA Monthly Summary'!F5&lt;&gt;2,C45*D45,"")</f>
        <v>1.9233520404365538</v>
      </c>
      <c r="H45" s="243">
        <f>IF('EPA Monthly Summary'!F5&lt;&gt;2,VLOOKUP(1,'Operational Worksheet'!$A$681:$O$704,8),"")</f>
        <v>10.149999999999999</v>
      </c>
      <c r="I45" s="246">
        <f>IF('EPA Monthly Summary'!F5&lt;&gt;2,G45/H45,"")</f>
        <v>0.18949281186567035</v>
      </c>
      <c r="J45" s="196"/>
    </row>
    <row r="46" spans="1:10" ht="12.75" customHeight="1" x14ac:dyDescent="0.25">
      <c r="A46" s="221"/>
      <c r="B46" s="247">
        <f>IF('[1]EPA Monthly Summary'!F5&lt;&gt;2,31,"")</f>
        <v>31</v>
      </c>
      <c r="C46" s="241">
        <f>IF('EPA Monthly Summary'!F5&lt;&gt;2,VLOOKUP(1,'Operational Worksheet'!$A$705:$O$728,9),"")</f>
        <v>0.8952131570159243</v>
      </c>
      <c r="D46" s="241">
        <f>IF('EPA Monthly Summary'!F5&lt;&gt;2,VLOOKUP(1,'Operational Worksheet'!$A$705:$O$728,7),"")</f>
        <v>2.4142396450042725</v>
      </c>
      <c r="E46" s="248"/>
      <c r="F46" s="241">
        <f>IF('EPA Monthly Summary'!F5&lt;&gt;2,(VLOOKUP(1,'Operational Worksheet'!$A$705:$O$728,5)-32)/1.8,"")</f>
        <v>1.9822141859266493</v>
      </c>
      <c r="G46" s="243">
        <f>IF('EPA Monthly Summary'!F5&lt;&gt;2,C46*D46,"")</f>
        <v>2.1612590943972791</v>
      </c>
      <c r="H46" s="243">
        <f>IF('EPA Monthly Summary'!F5&lt;&gt;2,VLOOKUP(1,'Operational Worksheet'!$A$705:$O$728,8),"")</f>
        <v>10.149999999999999</v>
      </c>
      <c r="I46" s="246">
        <f>IF('EPA Monthly Summary'!F5&lt;&gt;2,G46/H46,"")</f>
        <v>0.21293193048249059</v>
      </c>
      <c r="J46" s="196"/>
    </row>
    <row r="47" spans="1:10" ht="13.5" customHeight="1" thickBot="1" x14ac:dyDescent="0.3">
      <c r="A47" s="221"/>
      <c r="B47" s="249" t="str">
        <f>IF(OR('[1]EPA Monthly Summary'!F5=1,'[1]EPA Monthly Summary'!F5=3,'[1]EPA Monthly Summary'!F5=5,'[1]EPA Monthly Summary'!F5=7,'[1]EPA Monthly Summary'!F5=8, '[1]EPA Monthly Summary'!F5=10, '[1]EPA Monthly Summary'!F5=12),31,"")</f>
        <v/>
      </c>
      <c r="C47" s="241" t="str">
        <f>IF(OR('EPA Monthly Summary'!F5=1,'EPA Monthly Summary'!F5=3,'EPA Monthly Summary'!F5=5,'EPA Monthly Summary'!F5=7,'EPA Monthly Summary'!F5=8, 'EPA Monthly Summary'!F5=10, 'EPA Monthly Summary'!F5=12),VLOOKUP(1,'Operational Worksheet'!$A$729:$O$752,9),"")</f>
        <v/>
      </c>
      <c r="D47" s="241" t="str">
        <f>IF(OR('EPA Monthly Summary'!F5=1,'EPA Monthly Summary'!F5=3,'EPA Monthly Summary'!F5=5,'EPA Monthly Summary'!F5=7,'EPA Monthly Summary'!F5=8, 'EPA Monthly Summary'!F5=10, 'EPA Monthly Summary'!F5=12),VLOOKUP(1,'Operational Worksheet'!$A$729:$O$752,7),"")</f>
        <v/>
      </c>
      <c r="E47" s="250"/>
      <c r="F47" s="241" t="str">
        <f>IF(OR('EPA Monthly Summary'!F5=1,'EPA Monthly Summary'!F5=3,'EPA Monthly Summary'!F5=5,'EPA Monthly Summary'!F5=7,'EPA Monthly Summary'!F5=8, 'EPA Monthly Summary'!F5=10, 'EPA Monthly Summary'!F5=12),(VLOOKUP(1,'Operational Worksheet'!$A$729:$O$752,5)-32)/1.8,"")</f>
        <v/>
      </c>
      <c r="G47" s="243" t="str">
        <f>IF(OR('EPA Monthly Summary'!F5=1,'EPA Monthly Summary'!F5=3,'EPA Monthly Summary'!F5=5,'EPA Monthly Summary'!F5=7,'EPA Monthly Summary'!F5=8, 'EPA Monthly Summary'!F5=10, 'EPA Monthly Summary'!F5=12),C47*D47,"")</f>
        <v/>
      </c>
      <c r="H47" s="243" t="str">
        <f>IF(OR('EPA Monthly Summary'!F5=1,'EPA Monthly Summary'!F5=3,'EPA Monthly Summary'!F5=5,'EPA Monthly Summary'!F5=7,'EPA Monthly Summary'!F5=8, 'EPA Monthly Summary'!F5=10, 'EPA Monthly Summary'!F5=12),VLOOKUP(1,'Operational Worksheet'!$A$729:$O$752,8),"")</f>
        <v/>
      </c>
      <c r="I47" s="246" t="str">
        <f>IF(OR('EPA Monthly Summary'!F5=1,'EPA Monthly Summary'!F5=3,'EPA Monthly Summary'!F5=5,'EPA Monthly Summary'!F5=7,'EPA Monthly Summary'!F5=8, 'EPA Monthly Summary'!F5=10, 'EPA Monthly Summary'!F5=12),G47/H47,"")</f>
        <v/>
      </c>
      <c r="J47" s="196"/>
    </row>
    <row r="48" spans="1:10" ht="13.5" customHeight="1" thickTop="1" x14ac:dyDescent="0.25">
      <c r="A48" s="221"/>
      <c r="B48" s="225" t="s">
        <v>156</v>
      </c>
      <c r="C48" s="251" t="e">
        <v>#DIV/0!</v>
      </c>
      <c r="D48" s="252" t="e">
        <v>#DIV/0!</v>
      </c>
      <c r="E48" s="252" t="e">
        <v>#DIV/0!</v>
      </c>
      <c r="F48" s="251" t="e">
        <v>#DIV/0!</v>
      </c>
      <c r="G48" s="251">
        <v>0</v>
      </c>
      <c r="H48" s="251">
        <v>0</v>
      </c>
      <c r="I48" s="253">
        <v>0</v>
      </c>
      <c r="J48" s="196"/>
    </row>
    <row r="49" spans="1:10" ht="12.75" customHeight="1" x14ac:dyDescent="0.25">
      <c r="A49" s="221"/>
      <c r="B49" s="254" t="s">
        <v>157</v>
      </c>
      <c r="C49" s="255">
        <v>0</v>
      </c>
      <c r="D49" s="256">
        <v>0</v>
      </c>
      <c r="E49" s="256">
        <v>0</v>
      </c>
      <c r="F49" s="255">
        <v>0</v>
      </c>
      <c r="G49" s="255">
        <v>0</v>
      </c>
      <c r="H49" s="255">
        <v>0</v>
      </c>
      <c r="I49" s="257">
        <v>0</v>
      </c>
      <c r="J49" s="196"/>
    </row>
    <row r="50" spans="1:10" ht="13.5" customHeight="1" thickBot="1" x14ac:dyDescent="0.3">
      <c r="A50" s="221"/>
      <c r="B50" s="235" t="s">
        <v>158</v>
      </c>
      <c r="C50" s="258">
        <v>0</v>
      </c>
      <c r="D50" s="259">
        <v>0</v>
      </c>
      <c r="E50" s="259">
        <v>0</v>
      </c>
      <c r="F50" s="258">
        <v>0</v>
      </c>
      <c r="G50" s="258">
        <v>0</v>
      </c>
      <c r="H50" s="258">
        <v>0</v>
      </c>
      <c r="I50" s="260">
        <v>0</v>
      </c>
      <c r="J50" s="196"/>
    </row>
    <row r="51" spans="1:10" ht="13.5" customHeight="1" thickTop="1" x14ac:dyDescent="0.25">
      <c r="A51" s="196"/>
      <c r="B51" s="196"/>
      <c r="C51" s="197"/>
      <c r="D51" s="198"/>
      <c r="E51" s="198"/>
      <c r="F51" s="197"/>
      <c r="G51" s="199"/>
      <c r="H51" s="199"/>
      <c r="I51" s="198"/>
      <c r="J51" s="196"/>
    </row>
    <row r="52" spans="1:10" ht="12.75" customHeight="1" x14ac:dyDescent="0.25">
      <c r="A52" s="196"/>
      <c r="B52" s="196"/>
      <c r="C52" s="197"/>
      <c r="D52" s="198"/>
      <c r="E52" s="261"/>
      <c r="F52" s="197"/>
      <c r="G52" s="199"/>
      <c r="H52" s="199"/>
      <c r="I52" s="198"/>
      <c r="J52" s="196"/>
    </row>
    <row r="53" spans="1:10" ht="12.75" customHeight="1" x14ac:dyDescent="0.25">
      <c r="A53" s="196"/>
      <c r="B53" s="196"/>
      <c r="C53" s="197"/>
      <c r="D53" s="198"/>
      <c r="E53" s="198"/>
      <c r="F53" s="197"/>
      <c r="G53" s="199"/>
      <c r="H53" s="199"/>
      <c r="I53" s="198"/>
      <c r="J53" s="196"/>
    </row>
    <row r="54" spans="1:10" ht="12.75" customHeight="1" x14ac:dyDescent="0.25">
      <c r="A54" s="196"/>
      <c r="B54" s="196"/>
      <c r="C54" s="197"/>
      <c r="D54" s="198"/>
      <c r="E54" s="198"/>
      <c r="F54" s="197"/>
      <c r="G54" s="199"/>
      <c r="H54" s="199"/>
      <c r="I54" s="198"/>
      <c r="J54" s="196"/>
    </row>
    <row r="55" spans="1:10" ht="12.75" customHeight="1" x14ac:dyDescent="0.25">
      <c r="A55" s="196"/>
      <c r="B55" s="196"/>
      <c r="C55" s="197"/>
      <c r="D55" s="198"/>
      <c r="E55" s="198"/>
      <c r="F55" s="197"/>
      <c r="G55" s="199"/>
      <c r="H55" s="199"/>
      <c r="I55" s="198"/>
      <c r="J55" s="196"/>
    </row>
    <row r="56" spans="1:10" ht="12.75" customHeight="1" x14ac:dyDescent="0.25">
      <c r="A56" s="196"/>
      <c r="B56" s="196"/>
      <c r="C56" s="197"/>
      <c r="D56" s="198"/>
      <c r="E56" s="198"/>
      <c r="F56" s="197"/>
      <c r="G56" s="199"/>
      <c r="H56" s="199"/>
      <c r="I56" s="198"/>
      <c r="J56" s="196"/>
    </row>
    <row r="57" spans="1:10" ht="12.75" customHeight="1" x14ac:dyDescent="0.25">
      <c r="A57" s="196"/>
      <c r="B57" s="196"/>
      <c r="C57" s="197"/>
      <c r="D57" s="198"/>
      <c r="E57" s="198"/>
      <c r="F57" s="197"/>
      <c r="G57" s="199"/>
      <c r="H57" s="199"/>
      <c r="I57" s="198"/>
      <c r="J57" s="196"/>
    </row>
    <row r="58" spans="1:10" ht="12.75" customHeight="1" x14ac:dyDescent="0.25">
      <c r="A58" s="196"/>
      <c r="B58" s="196"/>
      <c r="C58" s="197"/>
      <c r="D58" s="198"/>
      <c r="E58" s="198"/>
      <c r="F58" s="197"/>
      <c r="G58" s="199"/>
      <c r="H58" s="199"/>
      <c r="I58" s="198"/>
      <c r="J58" s="196"/>
    </row>
    <row r="59" spans="1:10" ht="12.75" customHeight="1" x14ac:dyDescent="0.25">
      <c r="A59" s="196"/>
      <c r="B59" s="196"/>
      <c r="C59" s="197"/>
      <c r="D59" s="198"/>
      <c r="E59" s="198"/>
      <c r="F59" s="197"/>
      <c r="G59" s="199"/>
      <c r="H59" s="199"/>
      <c r="I59" s="198"/>
      <c r="J59" s="196"/>
    </row>
    <row r="60" spans="1:10" ht="12.75" customHeight="1" x14ac:dyDescent="0.25">
      <c r="A60" s="196"/>
      <c r="B60" s="196"/>
      <c r="C60" s="197"/>
      <c r="D60" s="198"/>
      <c r="E60" s="198"/>
      <c r="F60" s="197"/>
      <c r="G60" s="199"/>
      <c r="H60" s="199"/>
      <c r="I60" s="198"/>
      <c r="J60" s="19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EPA Monthly Summary</vt:lpstr>
      <vt:lpstr>Turbidity Daily Data Sheet</vt:lpstr>
      <vt:lpstr>Unit(1) DI Testing</vt:lpstr>
      <vt:lpstr>Unit(2) DI Testing</vt:lpstr>
      <vt:lpstr>Unit(3) DI Testing</vt:lpstr>
      <vt:lpstr>Unit(4) DI Testing</vt:lpstr>
      <vt:lpstr>Operational Worksheet</vt:lpstr>
      <vt:lpstr>Disinfection Report</vt:lpstr>
      <vt:lpstr>Sequence 1</vt:lpstr>
      <vt:lpstr>Sequence 2</vt:lpstr>
      <vt:lpstr>CT Description</vt:lpstr>
      <vt:lpstr>'Operational Worksheet'!Print_Area</vt:lpstr>
    </vt:vector>
  </TitlesOfParts>
  <Company>PCMC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2015-12-03T01:07:18Z</dcterms:created>
  <dcterms:modified xsi:type="dcterms:W3CDTF">2015-12-03T01:07:51Z</dcterms:modified>
</cp:coreProperties>
</file>